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8_{09640E5B-3A5E-44BF-A0B1-AD1C40757F69}" xr6:coauthVersionLast="43" xr6:coauthVersionMax="43" xr10:uidLastSave="{00000000-0000-0000-0000-000000000000}"/>
  <bookViews>
    <workbookView xWindow="3120" yWindow="1755" windowWidth="15510" windowHeight="11745" firstSheet="2" activeTab="7" xr2:uid="{00000000-000D-0000-FFFF-FFFF00000000}"/>
  </bookViews>
  <sheets>
    <sheet name="enero" sheetId="1" r:id="rId1"/>
    <sheet name="febrero" sheetId="8" r:id="rId2"/>
    <sheet name="marzo" sheetId="10" r:id="rId3"/>
    <sheet name="abril" sheetId="11" r:id="rId4"/>
    <sheet name="mayo" sheetId="13" r:id="rId5"/>
    <sheet name="junio" sheetId="14" r:id="rId6"/>
    <sheet name="julio" sheetId="16" r:id="rId7"/>
    <sheet name="agosto" sheetId="17" r:id="rId8"/>
    <sheet name="pagos" sheetId="2" r:id="rId9"/>
    <sheet name="pagos varios" sheetId="12" r:id="rId10"/>
    <sheet name="cierres" sheetId="3" r:id="rId11"/>
    <sheet name="Seaboard" sheetId="4" r:id="rId12"/>
    <sheet name="Tyson" sheetId="5" r:id="rId13"/>
    <sheet name="smithfield" sheetId="9" r:id="rId14"/>
    <sheet name="Proledo" sheetId="6" r:id="rId15"/>
    <sheet name="Zavaleta" sheetId="7" r:id="rId16"/>
    <sheet name="Hoja1" sheetId="15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59" i="2" l="1"/>
  <c r="C858" i="2"/>
  <c r="AB66" i="17"/>
  <c r="P68" i="17"/>
  <c r="E2195" i="6"/>
  <c r="B2195" i="6"/>
  <c r="C2195" i="6"/>
  <c r="F63" i="17"/>
  <c r="C848" i="2"/>
  <c r="C829" i="2"/>
  <c r="C855" i="2"/>
  <c r="F60" i="17"/>
  <c r="C843" i="2"/>
  <c r="C866" i="2"/>
  <c r="F62" i="17"/>
  <c r="C892" i="2" l="1"/>
  <c r="C891" i="2"/>
  <c r="C2190" i="6" l="1"/>
  <c r="E2190" i="6" s="1"/>
  <c r="B2190" i="6"/>
  <c r="C882" i="2" l="1"/>
  <c r="C879" i="2"/>
  <c r="P65" i="17" l="1"/>
  <c r="C2184" i="6"/>
  <c r="B2184" i="6"/>
  <c r="E2184" i="6" s="1"/>
  <c r="C849" i="2"/>
  <c r="F59" i="17"/>
  <c r="F54" i="17"/>
  <c r="C883" i="2" l="1"/>
  <c r="P63" i="17"/>
  <c r="P62" i="17"/>
  <c r="P60" i="17"/>
  <c r="P59" i="17"/>
  <c r="U57" i="17"/>
  <c r="S57" i="17"/>
  <c r="R57" i="17"/>
  <c r="X57" i="17" s="1"/>
  <c r="T57" i="17" s="1"/>
  <c r="H57" i="17"/>
  <c r="C2175" i="6"/>
  <c r="E2175" i="6"/>
  <c r="B2175" i="6"/>
  <c r="G45" i="17"/>
  <c r="Y57" i="17" l="1"/>
  <c r="Z57" i="17" s="1"/>
  <c r="C880" i="2" l="1"/>
  <c r="J45" i="17"/>
  <c r="B2169" i="6" l="1"/>
  <c r="C2169" i="6"/>
  <c r="E2169" i="6" s="1"/>
  <c r="C809" i="2"/>
  <c r="F50" i="17"/>
  <c r="F51" i="17"/>
  <c r="G44" i="17"/>
  <c r="C877" i="2"/>
  <c r="C834" i="2"/>
  <c r="C833" i="2"/>
  <c r="C838" i="2"/>
  <c r="P54" i="17" l="1"/>
  <c r="C821" i="2"/>
  <c r="C808" i="2"/>
  <c r="C814" i="2"/>
  <c r="F46" i="17"/>
  <c r="F43" i="17"/>
  <c r="G41" i="17"/>
  <c r="F41" i="17"/>
  <c r="F21" i="17"/>
  <c r="E2161" i="6"/>
  <c r="B2161" i="6"/>
  <c r="C2161" i="6"/>
  <c r="F24" i="17"/>
  <c r="F49" i="17"/>
  <c r="C844" i="2"/>
  <c r="C827" i="2"/>
  <c r="C826" i="2"/>
  <c r="C875" i="2"/>
  <c r="C874" i="2"/>
  <c r="E40" i="17" l="1"/>
  <c r="P51" i="17"/>
  <c r="P50" i="17"/>
  <c r="E2152" i="6"/>
  <c r="C2152" i="6"/>
  <c r="B2152" i="6"/>
  <c r="C873" i="2" l="1"/>
  <c r="C872" i="2"/>
  <c r="C822" i="2"/>
  <c r="F42" i="17"/>
  <c r="C2146" i="6" l="1"/>
  <c r="E2146" i="6" s="1"/>
  <c r="B2146" i="6"/>
  <c r="C2135" i="6" l="1"/>
  <c r="E2135" i="6" s="1"/>
  <c r="B2135" i="6"/>
  <c r="C865" i="2"/>
  <c r="U34" i="17"/>
  <c r="S34" i="17"/>
  <c r="R34" i="17"/>
  <c r="H34" i="17"/>
  <c r="Z30" i="17"/>
  <c r="H30" i="17"/>
  <c r="X34" i="17" l="1"/>
  <c r="T34" i="17" s="1"/>
  <c r="Y34" i="17" s="1"/>
  <c r="Z34" i="17" s="1"/>
  <c r="P49" i="17"/>
  <c r="P46" i="17"/>
  <c r="P43" i="17"/>
  <c r="P42" i="17"/>
  <c r="P31" i="17"/>
  <c r="P35" i="17"/>
  <c r="C864" i="2"/>
  <c r="G25" i="17" l="1"/>
  <c r="G22" i="17"/>
  <c r="J25" i="17"/>
  <c r="C861" i="2" l="1"/>
  <c r="C860" i="2"/>
  <c r="Z26" i="17"/>
  <c r="H26" i="17"/>
  <c r="C818" i="2"/>
  <c r="F32" i="17"/>
  <c r="F35" i="17"/>
  <c r="E22" i="17" l="1"/>
  <c r="C856" i="2"/>
  <c r="F23" i="17"/>
  <c r="F31" i="17"/>
  <c r="P27" i="17"/>
  <c r="U41" i="17"/>
  <c r="S41" i="17"/>
  <c r="R41" i="17"/>
  <c r="H41" i="17"/>
  <c r="H40" i="17"/>
  <c r="X41" i="17" l="1"/>
  <c r="T41" i="17" s="1"/>
  <c r="Y41" i="17" s="1"/>
  <c r="Z41" i="17" s="1"/>
  <c r="C854" i="2"/>
  <c r="F27" i="17"/>
  <c r="J22" i="17"/>
  <c r="H17" i="17"/>
  <c r="H18" i="17"/>
  <c r="G16" i="17"/>
  <c r="E2127" i="6" l="1"/>
  <c r="C2127" i="6"/>
  <c r="B2127" i="6"/>
  <c r="C2121" i="6"/>
  <c r="E2121" i="6" s="1"/>
  <c r="B2121" i="6"/>
  <c r="G15" i="17" l="1"/>
  <c r="J15" i="17"/>
  <c r="C813" i="2" l="1"/>
  <c r="Z18" i="17"/>
  <c r="Z17" i="17"/>
  <c r="C804" i="2"/>
  <c r="C2114" i="6"/>
  <c r="E2114" i="6" s="1"/>
  <c r="B2114" i="6"/>
  <c r="C795" i="2"/>
  <c r="C851" i="2"/>
  <c r="C850" i="2"/>
  <c r="F14" i="17"/>
  <c r="E14" i="17"/>
  <c r="F16" i="17"/>
  <c r="H16" i="17" s="1"/>
  <c r="F20" i="17"/>
  <c r="C796" i="2"/>
  <c r="Z16" i="17" l="1"/>
  <c r="P32" i="17"/>
  <c r="C790" i="2"/>
  <c r="C841" i="2"/>
  <c r="C840" i="2"/>
  <c r="F19" i="17"/>
  <c r="H254" i="5" l="1"/>
  <c r="H248" i="5"/>
  <c r="H249" i="5"/>
  <c r="H250" i="5"/>
  <c r="H251" i="5"/>
  <c r="H252" i="5"/>
  <c r="H253" i="5"/>
  <c r="H355" i="4"/>
  <c r="H356" i="4"/>
  <c r="H357" i="4"/>
  <c r="H358" i="4"/>
  <c r="H359" i="4"/>
  <c r="H360" i="4"/>
  <c r="H361" i="4"/>
  <c r="H362" i="4"/>
  <c r="H363" i="4"/>
  <c r="F12" i="17"/>
  <c r="P24" i="17"/>
  <c r="P23" i="17"/>
  <c r="P20" i="17"/>
  <c r="P19" i="17"/>
  <c r="C791" i="2"/>
  <c r="C462" i="3"/>
  <c r="C461" i="3"/>
  <c r="C459" i="3"/>
  <c r="C458" i="3"/>
  <c r="C455" i="3"/>
  <c r="C454" i="3"/>
  <c r="C450" i="3"/>
  <c r="C449" i="3"/>
  <c r="C448" i="3"/>
  <c r="C447" i="3"/>
  <c r="C444" i="3"/>
  <c r="C443" i="3"/>
  <c r="C442" i="3"/>
  <c r="C439" i="3"/>
  <c r="C438" i="3"/>
  <c r="C430" i="3"/>
  <c r="C429" i="3"/>
  <c r="B2105" i="6" l="1"/>
  <c r="C2105" i="6"/>
  <c r="E2105" i="6" s="1"/>
  <c r="F9" i="17" l="1"/>
  <c r="C837" i="2"/>
  <c r="C836" i="2"/>
  <c r="J104" i="16"/>
  <c r="G104" i="16"/>
  <c r="X89" i="17" l="1"/>
  <c r="T89" i="17" s="1"/>
  <c r="Y89" i="17" s="1"/>
  <c r="Z89" i="17" s="1"/>
  <c r="H89" i="17"/>
  <c r="U88" i="17"/>
  <c r="S88" i="17"/>
  <c r="R88" i="17"/>
  <c r="H88" i="17"/>
  <c r="U87" i="17"/>
  <c r="S87" i="17"/>
  <c r="R87" i="17"/>
  <c r="H87" i="17"/>
  <c r="X85" i="17"/>
  <c r="T85" i="17" s="1"/>
  <c r="Y85" i="17" s="1"/>
  <c r="Z85" i="17" s="1"/>
  <c r="H85" i="17"/>
  <c r="X84" i="17"/>
  <c r="T84" i="17" s="1"/>
  <c r="Y84" i="17" s="1"/>
  <c r="Z84" i="17" s="1"/>
  <c r="H84" i="17"/>
  <c r="U83" i="17"/>
  <c r="S83" i="17"/>
  <c r="R83" i="17"/>
  <c r="H83" i="17"/>
  <c r="U82" i="17"/>
  <c r="S82" i="17"/>
  <c r="R82" i="17"/>
  <c r="H82" i="17"/>
  <c r="X81" i="17"/>
  <c r="T81" i="17" s="1"/>
  <c r="Y81" i="17" s="1"/>
  <c r="Z81" i="17" s="1"/>
  <c r="H81" i="17"/>
  <c r="U80" i="17"/>
  <c r="S80" i="17"/>
  <c r="R80" i="17"/>
  <c r="H80" i="17"/>
  <c r="U79" i="17"/>
  <c r="S79" i="17"/>
  <c r="R79" i="17"/>
  <c r="H79" i="17"/>
  <c r="X78" i="17"/>
  <c r="T78" i="17" s="1"/>
  <c r="Y78" i="17" s="1"/>
  <c r="Z78" i="17" s="1"/>
  <c r="H78" i="17"/>
  <c r="X77" i="17"/>
  <c r="T77" i="17" s="1"/>
  <c r="Y77" i="17" s="1"/>
  <c r="Z77" i="17" s="1"/>
  <c r="H77" i="17"/>
  <c r="U76" i="17"/>
  <c r="S76" i="17"/>
  <c r="R76" i="17"/>
  <c r="H76" i="17"/>
  <c r="U75" i="17"/>
  <c r="S75" i="17"/>
  <c r="R75" i="17"/>
  <c r="H75" i="17"/>
  <c r="X73" i="17"/>
  <c r="T73" i="17" s="1"/>
  <c r="Y73" i="17" s="1"/>
  <c r="Z73" i="17" s="1"/>
  <c r="H73" i="17"/>
  <c r="U72" i="17"/>
  <c r="S72" i="17"/>
  <c r="R72" i="17"/>
  <c r="H72" i="17"/>
  <c r="U71" i="17"/>
  <c r="S71" i="17"/>
  <c r="R71" i="17"/>
  <c r="H71" i="17"/>
  <c r="X69" i="17"/>
  <c r="T69" i="17" s="1"/>
  <c r="Y69" i="17" s="1"/>
  <c r="Z69" i="17" s="1"/>
  <c r="H69" i="17"/>
  <c r="X68" i="17"/>
  <c r="T68" i="17" s="1"/>
  <c r="Y68" i="17" s="1"/>
  <c r="Z68" i="17" s="1"/>
  <c r="H68" i="17"/>
  <c r="U67" i="17"/>
  <c r="S67" i="17"/>
  <c r="R67" i="17"/>
  <c r="H67" i="17"/>
  <c r="U66" i="17"/>
  <c r="S66" i="17"/>
  <c r="R66" i="17"/>
  <c r="H66" i="17"/>
  <c r="X65" i="17"/>
  <c r="T65" i="17" s="1"/>
  <c r="Y65" i="17" s="1"/>
  <c r="Z65" i="17" s="1"/>
  <c r="H65" i="17"/>
  <c r="U64" i="17"/>
  <c r="S64" i="17"/>
  <c r="R64" i="17"/>
  <c r="H64" i="17"/>
  <c r="X63" i="17"/>
  <c r="T63" i="17" s="1"/>
  <c r="Y63" i="17" s="1"/>
  <c r="Z63" i="17" s="1"/>
  <c r="H63" i="17"/>
  <c r="X62" i="17"/>
  <c r="T62" i="17" s="1"/>
  <c r="Y62" i="17" s="1"/>
  <c r="Z62" i="17" s="1"/>
  <c r="H62" i="17"/>
  <c r="U61" i="17"/>
  <c r="H61" i="17"/>
  <c r="X60" i="17"/>
  <c r="T60" i="17" s="1"/>
  <c r="Y60" i="17" s="1"/>
  <c r="Z60" i="17" s="1"/>
  <c r="H60" i="17"/>
  <c r="X59" i="17"/>
  <c r="T59" i="17" s="1"/>
  <c r="Y59" i="17" s="1"/>
  <c r="Z59" i="17" s="1"/>
  <c r="H59" i="17"/>
  <c r="U58" i="17"/>
  <c r="S58" i="17"/>
  <c r="R58" i="17"/>
  <c r="H58" i="17"/>
  <c r="U56" i="17"/>
  <c r="S56" i="17"/>
  <c r="R56" i="17"/>
  <c r="H56" i="17"/>
  <c r="X51" i="17"/>
  <c r="T51" i="17" s="1"/>
  <c r="Y51" i="17" s="1"/>
  <c r="Z51" i="17" s="1"/>
  <c r="H51" i="17"/>
  <c r="X49" i="17"/>
  <c r="T49" i="17" s="1"/>
  <c r="Y49" i="17" s="1"/>
  <c r="Z49" i="17" s="1"/>
  <c r="H49" i="17"/>
  <c r="H36" i="17"/>
  <c r="X36" i="17"/>
  <c r="Y36" i="17"/>
  <c r="Z36" i="17" s="1"/>
  <c r="X32" i="17"/>
  <c r="T32" i="17" s="1"/>
  <c r="Y32" i="17" s="1"/>
  <c r="Z32" i="17" s="1"/>
  <c r="H32" i="17"/>
  <c r="X31" i="17"/>
  <c r="T31" i="17" s="1"/>
  <c r="Y31" i="17" s="1"/>
  <c r="Z31" i="17" s="1"/>
  <c r="H31" i="17"/>
  <c r="Z102" i="16"/>
  <c r="X103" i="16"/>
  <c r="H102" i="16"/>
  <c r="E2096" i="6"/>
  <c r="B2096" i="6"/>
  <c r="C2096" i="6"/>
  <c r="P12" i="17"/>
  <c r="H12" i="17"/>
  <c r="U11" i="17"/>
  <c r="S11" i="17"/>
  <c r="R11" i="17"/>
  <c r="H11" i="17"/>
  <c r="U10" i="17"/>
  <c r="S10" i="17"/>
  <c r="R10" i="17"/>
  <c r="H10" i="17"/>
  <c r="Y8" i="17"/>
  <c r="Z8" i="17" s="1"/>
  <c r="X8" i="17"/>
  <c r="H8" i="17"/>
  <c r="P9" i="17"/>
  <c r="X9" i="17" s="1"/>
  <c r="T9" i="17" s="1"/>
  <c r="H9" i="17"/>
  <c r="U7" i="17"/>
  <c r="S7" i="17"/>
  <c r="R7" i="17"/>
  <c r="H7" i="17"/>
  <c r="U6" i="17"/>
  <c r="S6" i="17"/>
  <c r="R6" i="17"/>
  <c r="H6" i="17"/>
  <c r="P5" i="17"/>
  <c r="F5" i="17"/>
  <c r="H5" i="17" s="1"/>
  <c r="P4" i="17"/>
  <c r="X4" i="17" s="1"/>
  <c r="F4" i="17"/>
  <c r="H4" i="17" s="1"/>
  <c r="P3" i="17"/>
  <c r="F3" i="17"/>
  <c r="H3" i="17" s="1"/>
  <c r="P21" i="17"/>
  <c r="H97" i="16"/>
  <c r="T4" i="17" l="1"/>
  <c r="Y4" i="17" s="1"/>
  <c r="Z4" i="17" s="1"/>
  <c r="X75" i="17"/>
  <c r="T75" i="17" s="1"/>
  <c r="X76" i="17"/>
  <c r="T76" i="17" s="1"/>
  <c r="Y76" i="17" s="1"/>
  <c r="Z76" i="17" s="1"/>
  <c r="X56" i="17"/>
  <c r="T56" i="17" s="1"/>
  <c r="Y56" i="17" s="1"/>
  <c r="Z56" i="17" s="1"/>
  <c r="X58" i="17"/>
  <c r="T58" i="17" s="1"/>
  <c r="Y58" i="17" s="1"/>
  <c r="Z58" i="17" s="1"/>
  <c r="X64" i="17"/>
  <c r="T64" i="17" s="1"/>
  <c r="Y64" i="17" s="1"/>
  <c r="Z64" i="17" s="1"/>
  <c r="X80" i="17"/>
  <c r="T80" i="17" s="1"/>
  <c r="Y80" i="17" s="1"/>
  <c r="Z80" i="17" s="1"/>
  <c r="X71" i="17"/>
  <c r="T71" i="17" s="1"/>
  <c r="Y71" i="17" s="1"/>
  <c r="Z71" i="17" s="1"/>
  <c r="X72" i="17"/>
  <c r="T72" i="17" s="1"/>
  <c r="Y72" i="17" s="1"/>
  <c r="Z72" i="17" s="1"/>
  <c r="X87" i="17"/>
  <c r="T87" i="17" s="1"/>
  <c r="Y87" i="17" s="1"/>
  <c r="Z87" i="17" s="1"/>
  <c r="X88" i="17"/>
  <c r="T88" i="17" s="1"/>
  <c r="X66" i="17"/>
  <c r="T66" i="17" s="1"/>
  <c r="Y66" i="17" s="1"/>
  <c r="Z66" i="17" s="1"/>
  <c r="X67" i="17"/>
  <c r="T67" i="17" s="1"/>
  <c r="Y67" i="17" s="1"/>
  <c r="Z67" i="17" s="1"/>
  <c r="X6" i="17"/>
  <c r="T6" i="17" s="1"/>
  <c r="Y6" i="17" s="1"/>
  <c r="Z6" i="17" s="1"/>
  <c r="Y75" i="17"/>
  <c r="Z75" i="17" s="1"/>
  <c r="X82" i="17"/>
  <c r="T82" i="17" s="1"/>
  <c r="Y82" i="17" s="1"/>
  <c r="Z82" i="17" s="1"/>
  <c r="X83" i="17"/>
  <c r="T83" i="17" s="1"/>
  <c r="Y83" i="17" s="1"/>
  <c r="Z83" i="17" s="1"/>
  <c r="Y88" i="17"/>
  <c r="Z88" i="17" s="1"/>
  <c r="X79" i="17"/>
  <c r="T79" i="17" s="1"/>
  <c r="Y79" i="17" s="1"/>
  <c r="Z79" i="17" s="1"/>
  <c r="X61" i="17"/>
  <c r="T61" i="17" s="1"/>
  <c r="Y61" i="17" s="1"/>
  <c r="Z61" i="17" s="1"/>
  <c r="X11" i="17"/>
  <c r="T11" i="17" s="1"/>
  <c r="Y11" i="17" s="1"/>
  <c r="Z11" i="17" s="1"/>
  <c r="X3" i="17"/>
  <c r="T3" i="17" s="1"/>
  <c r="Y3" i="17" s="1"/>
  <c r="Z3" i="17" s="1"/>
  <c r="X7" i="17"/>
  <c r="T7" i="17" s="1"/>
  <c r="Y7" i="17" s="1"/>
  <c r="Z7" i="17" s="1"/>
  <c r="Y9" i="17"/>
  <c r="Z9" i="17" s="1"/>
  <c r="X10" i="17"/>
  <c r="T10" i="17" s="1"/>
  <c r="Y10" i="17" s="1"/>
  <c r="Z10" i="17" s="1"/>
  <c r="X5" i="17"/>
  <c r="T5" i="17" s="1"/>
  <c r="Y5" i="17" s="1"/>
  <c r="Z5" i="17" s="1"/>
  <c r="X12" i="17"/>
  <c r="T12" i="17" s="1"/>
  <c r="Y12" i="17" s="1"/>
  <c r="Z12" i="17" s="1"/>
  <c r="C807" i="2" l="1"/>
  <c r="G99" i="16"/>
  <c r="Z97" i="16"/>
  <c r="G96" i="16"/>
  <c r="H101" i="16"/>
  <c r="Z101" i="16"/>
  <c r="H100" i="16"/>
  <c r="Z100" i="16"/>
  <c r="C831" i="2"/>
  <c r="C830" i="2"/>
  <c r="F104" i="16"/>
  <c r="E104" i="16"/>
  <c r="AB99" i="16" l="1"/>
  <c r="X21" i="17"/>
  <c r="T21" i="17" s="1"/>
  <c r="Y21" i="17" s="1"/>
  <c r="Z21" i="17" s="1"/>
  <c r="H21" i="17"/>
  <c r="C786" i="2"/>
  <c r="P103" i="16"/>
  <c r="F103" i="16"/>
  <c r="C825" i="2"/>
  <c r="C824" i="2"/>
  <c r="C815" i="2"/>
  <c r="C784" i="2" l="1"/>
  <c r="X90" i="16"/>
  <c r="Y90" i="16"/>
  <c r="Z90" i="16" s="1"/>
  <c r="H90" i="16"/>
  <c r="F76" i="16"/>
  <c r="B2092" i="6" l="1"/>
  <c r="C2092" i="6"/>
  <c r="E2092" i="6" s="1"/>
  <c r="U93" i="16" l="1"/>
  <c r="S93" i="16"/>
  <c r="R93" i="16"/>
  <c r="H93" i="16"/>
  <c r="U95" i="16"/>
  <c r="S95" i="16"/>
  <c r="R95" i="16"/>
  <c r="H95" i="16"/>
  <c r="F98" i="16"/>
  <c r="F96" i="16"/>
  <c r="H96" i="16" s="1"/>
  <c r="Z96" i="16" l="1"/>
  <c r="X93" i="16"/>
  <c r="T93" i="16" s="1"/>
  <c r="Y93" i="16" s="1"/>
  <c r="Z93" i="16" s="1"/>
  <c r="X95" i="16"/>
  <c r="T95" i="16" s="1"/>
  <c r="Y95" i="16" s="1"/>
  <c r="Z95" i="16" s="1"/>
  <c r="C777" i="2"/>
  <c r="C776" i="2"/>
  <c r="X54" i="17"/>
  <c r="T54" i="17" s="1"/>
  <c r="Y54" i="17" s="1"/>
  <c r="Z54" i="17" s="1"/>
  <c r="H54" i="17"/>
  <c r="U53" i="17"/>
  <c r="S53" i="17"/>
  <c r="R53" i="17"/>
  <c r="H53" i="17"/>
  <c r="U52" i="17"/>
  <c r="S52" i="17"/>
  <c r="R52" i="17"/>
  <c r="H52" i="17"/>
  <c r="X50" i="17"/>
  <c r="T50" i="17" s="1"/>
  <c r="Y50" i="17" s="1"/>
  <c r="Z50" i="17" s="1"/>
  <c r="H50" i="17"/>
  <c r="U48" i="17"/>
  <c r="S48" i="17"/>
  <c r="R48" i="17"/>
  <c r="H48" i="17"/>
  <c r="U47" i="17"/>
  <c r="S47" i="17"/>
  <c r="R47" i="17"/>
  <c r="H47" i="17"/>
  <c r="X46" i="17"/>
  <c r="T46" i="17" s="1"/>
  <c r="Y46" i="17" s="1"/>
  <c r="Z46" i="17" s="1"/>
  <c r="H46" i="17"/>
  <c r="U45" i="17"/>
  <c r="S45" i="17"/>
  <c r="R45" i="17"/>
  <c r="H45" i="17"/>
  <c r="U44" i="17"/>
  <c r="H44" i="17"/>
  <c r="X43" i="17"/>
  <c r="T43" i="17" s="1"/>
  <c r="Y43" i="17" s="1"/>
  <c r="Z43" i="17" s="1"/>
  <c r="H43" i="17"/>
  <c r="X42" i="17"/>
  <c r="T42" i="17" s="1"/>
  <c r="Y42" i="17" s="1"/>
  <c r="Z42" i="17" s="1"/>
  <c r="H42" i="17"/>
  <c r="U40" i="17"/>
  <c r="S40" i="17"/>
  <c r="R40" i="17"/>
  <c r="U38" i="17"/>
  <c r="S38" i="17"/>
  <c r="R38" i="17"/>
  <c r="H38" i="17"/>
  <c r="C789" i="2"/>
  <c r="X44" i="17" l="1"/>
  <c r="T44" i="17" s="1"/>
  <c r="Y44" i="17" s="1"/>
  <c r="Z44" i="17" s="1"/>
  <c r="X52" i="17"/>
  <c r="T52" i="17" s="1"/>
  <c r="Y52" i="17" s="1"/>
  <c r="Z52" i="17" s="1"/>
  <c r="X53" i="17"/>
  <c r="T53" i="17" s="1"/>
  <c r="Y53" i="17" s="1"/>
  <c r="Z53" i="17" s="1"/>
  <c r="X45" i="17"/>
  <c r="T45" i="17" s="1"/>
  <c r="X47" i="17"/>
  <c r="T47" i="17" s="1"/>
  <c r="Y47" i="17" s="1"/>
  <c r="Z47" i="17" s="1"/>
  <c r="X48" i="17"/>
  <c r="T48" i="17" s="1"/>
  <c r="Y48" i="17" s="1"/>
  <c r="Z48" i="17" s="1"/>
  <c r="X38" i="17"/>
  <c r="T38" i="17" s="1"/>
  <c r="Y38" i="17" s="1"/>
  <c r="Z38" i="17" s="1"/>
  <c r="X40" i="17"/>
  <c r="T40" i="17" s="1"/>
  <c r="Y40" i="17" s="1"/>
  <c r="Z40" i="17" s="1"/>
  <c r="F78" i="16"/>
  <c r="Y45" i="17" l="1"/>
  <c r="Z45" i="17" s="1"/>
  <c r="B2087" i="6"/>
  <c r="C2087" i="6"/>
  <c r="E2087" i="6" s="1"/>
  <c r="C770" i="2"/>
  <c r="C769" i="2"/>
  <c r="AB85" i="16"/>
  <c r="E82" i="16"/>
  <c r="F89" i="16" l="1"/>
  <c r="C812" i="2"/>
  <c r="C811" i="2"/>
  <c r="C816" i="2"/>
  <c r="P98" i="16" l="1"/>
  <c r="C2083" i="6"/>
  <c r="E2083" i="6" s="1"/>
  <c r="B2083" i="6"/>
  <c r="X59" i="16" l="1"/>
  <c r="Y59" i="16"/>
  <c r="H61" i="16"/>
  <c r="F59" i="16"/>
  <c r="H59" i="16" s="1"/>
  <c r="C728" i="2"/>
  <c r="Z59" i="16" l="1"/>
  <c r="G82" i="16"/>
  <c r="J82" i="16"/>
  <c r="F86" i="16"/>
  <c r="C806" i="2"/>
  <c r="C805" i="2"/>
  <c r="F82" i="16"/>
  <c r="C800" i="2"/>
  <c r="C799" i="2"/>
  <c r="C2078" i="6" l="1"/>
  <c r="C783" i="2" l="1"/>
  <c r="C782" i="2"/>
  <c r="C781" i="2"/>
  <c r="C780" i="2"/>
  <c r="C779" i="2"/>
  <c r="F83" i="16"/>
  <c r="C765" i="2" l="1"/>
  <c r="C764" i="2"/>
  <c r="C763" i="2"/>
  <c r="B2078" i="6" l="1"/>
  <c r="E2078" i="6" s="1"/>
  <c r="P89" i="16"/>
  <c r="H5" i="16" l="1"/>
  <c r="H6" i="16"/>
  <c r="P86" i="16" l="1"/>
  <c r="U75" i="16"/>
  <c r="S75" i="16"/>
  <c r="R75" i="16"/>
  <c r="H75" i="16"/>
  <c r="U73" i="16"/>
  <c r="H73" i="16"/>
  <c r="F81" i="16"/>
  <c r="C759" i="2"/>
  <c r="F77" i="16"/>
  <c r="F79" i="16"/>
  <c r="X75" i="16" l="1"/>
  <c r="T75" i="16" s="1"/>
  <c r="Y75" i="16" s="1"/>
  <c r="Z75" i="16" s="1"/>
  <c r="X73" i="16"/>
  <c r="T73" i="16" s="1"/>
  <c r="Y73" i="16" s="1"/>
  <c r="Z73" i="16" s="1"/>
  <c r="C751" i="2"/>
  <c r="C745" i="2"/>
  <c r="C750" i="2"/>
  <c r="C744" i="2"/>
  <c r="F69" i="16" l="1"/>
  <c r="E69" i="16"/>
  <c r="P83" i="16" l="1"/>
  <c r="P81" i="16"/>
  <c r="F62" i="16"/>
  <c r="E62" i="16"/>
  <c r="F68" i="16" l="1"/>
  <c r="F67" i="16"/>
  <c r="X63" i="16" l="1"/>
  <c r="Y63" i="16"/>
  <c r="Z63" i="16" s="1"/>
  <c r="X64" i="16"/>
  <c r="Y64" i="16"/>
  <c r="Z64" i="16" s="1"/>
  <c r="H63" i="16"/>
  <c r="H64" i="16"/>
  <c r="P77" i="16"/>
  <c r="B2072" i="6"/>
  <c r="C2072" i="6"/>
  <c r="E2072" i="6" l="1"/>
  <c r="C740" i="2"/>
  <c r="R68" i="16"/>
  <c r="R67" i="16"/>
  <c r="P76" i="16" l="1"/>
  <c r="P79" i="16"/>
  <c r="P78" i="16"/>
  <c r="F70" i="16"/>
  <c r="B2067" i="6"/>
  <c r="C2067" i="6"/>
  <c r="E2067" i="6" s="1"/>
  <c r="C752" i="2"/>
  <c r="AB60" i="16"/>
  <c r="C773" i="2"/>
  <c r="C772" i="2"/>
  <c r="C775" i="2"/>
  <c r="C774" i="2"/>
  <c r="C739" i="2" l="1"/>
  <c r="C734" i="2"/>
  <c r="H345" i="4"/>
  <c r="H346" i="4"/>
  <c r="H347" i="4"/>
  <c r="P70" i="16"/>
  <c r="F60" i="16"/>
  <c r="H60" i="16" s="1"/>
  <c r="B2063" i="6"/>
  <c r="C2063" i="6"/>
  <c r="F66" i="16"/>
  <c r="C735" i="2"/>
  <c r="E2063" i="6" l="1"/>
  <c r="F56" i="16"/>
  <c r="F55" i="16"/>
  <c r="B2057" i="6"/>
  <c r="C2057" i="6"/>
  <c r="E2057" i="6" s="1"/>
  <c r="P67" i="16"/>
  <c r="U58" i="16" l="1"/>
  <c r="S58" i="16"/>
  <c r="R58" i="16"/>
  <c r="H58" i="16"/>
  <c r="U51" i="16"/>
  <c r="S51" i="16"/>
  <c r="R51" i="16"/>
  <c r="H51" i="16"/>
  <c r="U50" i="16"/>
  <c r="S50" i="16"/>
  <c r="R50" i="16"/>
  <c r="H50" i="16"/>
  <c r="X51" i="16" l="1"/>
  <c r="T51" i="16" s="1"/>
  <c r="Y51" i="16" s="1"/>
  <c r="Z51" i="16" s="1"/>
  <c r="X58" i="16"/>
  <c r="T58" i="16" s="1"/>
  <c r="Y58" i="16" s="1"/>
  <c r="Z58" i="16" s="1"/>
  <c r="X50" i="16"/>
  <c r="T50" i="16" s="1"/>
  <c r="Y50" i="16" s="1"/>
  <c r="Z50" i="16" s="1"/>
  <c r="F53" i="16" l="1"/>
  <c r="C723" i="2"/>
  <c r="B2053" i="6" l="1"/>
  <c r="C2053" i="6"/>
  <c r="E2053" i="6" s="1"/>
  <c r="C762" i="2"/>
  <c r="C761" i="2"/>
  <c r="C758" i="2"/>
  <c r="C757" i="2"/>
  <c r="C756" i="2"/>
  <c r="C755" i="2"/>
  <c r="C754" i="2"/>
  <c r="C753" i="2"/>
  <c r="C722" i="2"/>
  <c r="C749" i="2"/>
  <c r="C748" i="2"/>
  <c r="F45" i="16"/>
  <c r="H45" i="16" s="1"/>
  <c r="X45" i="16"/>
  <c r="Y45" i="16"/>
  <c r="F52" i="16"/>
  <c r="Z45" i="16" l="1"/>
  <c r="H34" i="16"/>
  <c r="X34" i="16"/>
  <c r="Y34" i="16"/>
  <c r="Z34" i="16" s="1"/>
  <c r="H33" i="16"/>
  <c r="X32" i="16"/>
  <c r="Y32" i="16"/>
  <c r="Z32" i="16" s="1"/>
  <c r="X33" i="16"/>
  <c r="Y33" i="16"/>
  <c r="Z33" i="16" s="1"/>
  <c r="H32" i="16"/>
  <c r="X31" i="16"/>
  <c r="Y31" i="16"/>
  <c r="Z31" i="16" s="1"/>
  <c r="H31" i="16"/>
  <c r="X65" i="16" l="1"/>
  <c r="Y65" i="16"/>
  <c r="Z65" i="16" s="1"/>
  <c r="H65" i="16"/>
  <c r="Q68" i="16"/>
  <c r="X68" i="16" s="1"/>
  <c r="T68" i="16" s="1"/>
  <c r="Y68" i="16" s="1"/>
  <c r="Z68" i="16" s="1"/>
  <c r="Q67" i="16"/>
  <c r="H68" i="16"/>
  <c r="P66" i="16"/>
  <c r="P60" i="16"/>
  <c r="F46" i="16"/>
  <c r="H46" i="16" s="1"/>
  <c r="C2049" i="6"/>
  <c r="E2049" i="6" s="1"/>
  <c r="B2049" i="6"/>
  <c r="H67" i="16"/>
  <c r="C716" i="2"/>
  <c r="C715" i="2"/>
  <c r="C714" i="2"/>
  <c r="X67" i="16" l="1"/>
  <c r="T67" i="16" s="1"/>
  <c r="Y67" i="16" s="1"/>
  <c r="Z67" i="16" s="1"/>
  <c r="P56" i="16"/>
  <c r="P55" i="16"/>
  <c r="P53" i="16"/>
  <c r="P52" i="16"/>
  <c r="F42" i="16" l="1"/>
  <c r="G37" i="16"/>
  <c r="F37" i="16"/>
  <c r="E37" i="16"/>
  <c r="X35" i="17" l="1"/>
  <c r="T35" i="17" s="1"/>
  <c r="H35" i="17"/>
  <c r="U39" i="17"/>
  <c r="S39" i="17"/>
  <c r="R39" i="17"/>
  <c r="H39" i="17"/>
  <c r="U33" i="17"/>
  <c r="S33" i="17"/>
  <c r="R33" i="17"/>
  <c r="H33" i="17"/>
  <c r="U29" i="17"/>
  <c r="S29" i="17"/>
  <c r="R29" i="17"/>
  <c r="H29" i="17"/>
  <c r="U28" i="17"/>
  <c r="S28" i="17"/>
  <c r="R28" i="17"/>
  <c r="H28" i="17"/>
  <c r="X27" i="17"/>
  <c r="T27" i="17" s="1"/>
  <c r="Y27" i="17" s="1"/>
  <c r="Z27" i="17" s="1"/>
  <c r="H27" i="17"/>
  <c r="U25" i="17"/>
  <c r="S25" i="17"/>
  <c r="R25" i="17"/>
  <c r="H25" i="17"/>
  <c r="X24" i="17"/>
  <c r="T24" i="17" s="1"/>
  <c r="Y24" i="17" s="1"/>
  <c r="Z24" i="17" s="1"/>
  <c r="H24" i="17"/>
  <c r="X23" i="17"/>
  <c r="T23" i="17" s="1"/>
  <c r="Y23" i="17" s="1"/>
  <c r="Z23" i="17" s="1"/>
  <c r="H23" i="17"/>
  <c r="U22" i="17"/>
  <c r="H22" i="17"/>
  <c r="X20" i="17"/>
  <c r="T20" i="17" s="1"/>
  <c r="Y20" i="17" s="1"/>
  <c r="Z20" i="17" s="1"/>
  <c r="H20" i="17"/>
  <c r="X19" i="17"/>
  <c r="T19" i="17" s="1"/>
  <c r="Y19" i="17" s="1"/>
  <c r="Z19" i="17" s="1"/>
  <c r="H19" i="17"/>
  <c r="U15" i="17"/>
  <c r="S15" i="17"/>
  <c r="R15" i="17"/>
  <c r="H15" i="17"/>
  <c r="U14" i="17"/>
  <c r="S14" i="17"/>
  <c r="R14" i="17"/>
  <c r="H14" i="17"/>
  <c r="X81" i="16"/>
  <c r="T81" i="16" s="1"/>
  <c r="Y81" i="16" s="1"/>
  <c r="Z81" i="16" s="1"/>
  <c r="H81" i="16"/>
  <c r="U104" i="16"/>
  <c r="S104" i="16"/>
  <c r="R104" i="16"/>
  <c r="H104" i="16"/>
  <c r="T103" i="16"/>
  <c r="Y103" i="16" s="1"/>
  <c r="Z103" i="16" s="1"/>
  <c r="H103" i="16"/>
  <c r="U99" i="16"/>
  <c r="H99" i="16"/>
  <c r="X98" i="16"/>
  <c r="T98" i="16" s="1"/>
  <c r="Y98" i="16" s="1"/>
  <c r="Z98" i="16" s="1"/>
  <c r="H98" i="16"/>
  <c r="U94" i="16"/>
  <c r="S94" i="16"/>
  <c r="R94" i="16"/>
  <c r="H94" i="16"/>
  <c r="U92" i="16"/>
  <c r="S92" i="16"/>
  <c r="R92" i="16"/>
  <c r="H92" i="16"/>
  <c r="B2044" i="6"/>
  <c r="C2044" i="6"/>
  <c r="E2044" i="6" s="1"/>
  <c r="P39" i="16"/>
  <c r="F39" i="16"/>
  <c r="G30" i="16"/>
  <c r="F30" i="16"/>
  <c r="E30" i="16"/>
  <c r="Y35" i="17" l="1"/>
  <c r="Z35" i="17" s="1"/>
  <c r="X22" i="17"/>
  <c r="T22" i="17" s="1"/>
  <c r="Y22" i="17" s="1"/>
  <c r="Z22" i="17" s="1"/>
  <c r="X33" i="17"/>
  <c r="T33" i="17" s="1"/>
  <c r="Y33" i="17" s="1"/>
  <c r="Z33" i="17" s="1"/>
  <c r="X39" i="17"/>
  <c r="T39" i="17" s="1"/>
  <c r="Y39" i="17" s="1"/>
  <c r="Z39" i="17" s="1"/>
  <c r="X28" i="17"/>
  <c r="T28" i="17" s="1"/>
  <c r="Y28" i="17" s="1"/>
  <c r="Z28" i="17" s="1"/>
  <c r="X29" i="17"/>
  <c r="T29" i="17" s="1"/>
  <c r="Y29" i="17" s="1"/>
  <c r="Z29" i="17" s="1"/>
  <c r="X14" i="17"/>
  <c r="T14" i="17" s="1"/>
  <c r="Y14" i="17" s="1"/>
  <c r="Z14" i="17" s="1"/>
  <c r="X15" i="17"/>
  <c r="T15" i="17" s="1"/>
  <c r="Y15" i="17" s="1"/>
  <c r="Z15" i="17" s="1"/>
  <c r="X25" i="17"/>
  <c r="T25" i="17" s="1"/>
  <c r="Y25" i="17" s="1"/>
  <c r="Z25" i="17" s="1"/>
  <c r="X92" i="16"/>
  <c r="T92" i="16" s="1"/>
  <c r="Y92" i="16" s="1"/>
  <c r="Z92" i="16" s="1"/>
  <c r="X94" i="16"/>
  <c r="T94" i="16" s="1"/>
  <c r="Y94" i="16" s="1"/>
  <c r="Z94" i="16" s="1"/>
  <c r="X104" i="16"/>
  <c r="T104" i="16" s="1"/>
  <c r="Y104" i="16" s="1"/>
  <c r="Z104" i="16" s="1"/>
  <c r="X99" i="16"/>
  <c r="T99" i="16" s="1"/>
  <c r="Y99" i="16" s="1"/>
  <c r="Z99" i="16" s="1"/>
  <c r="C711" i="2"/>
  <c r="C708" i="2"/>
  <c r="C707" i="2"/>
  <c r="F38" i="16"/>
  <c r="AB38" i="16"/>
  <c r="P46" i="16"/>
  <c r="F36" i="16"/>
  <c r="F35" i="16"/>
  <c r="H35" i="16" s="1"/>
  <c r="H238" i="5"/>
  <c r="H239" i="5"/>
  <c r="H240" i="5"/>
  <c r="B2040" i="6"/>
  <c r="C2040" i="6"/>
  <c r="X89" i="16"/>
  <c r="T89" i="16" s="1"/>
  <c r="Y89" i="16" s="1"/>
  <c r="Z89" i="16" s="1"/>
  <c r="H89" i="16"/>
  <c r="U88" i="16"/>
  <c r="S88" i="16"/>
  <c r="R88" i="16"/>
  <c r="H88" i="16"/>
  <c r="U87" i="16"/>
  <c r="S87" i="16"/>
  <c r="R87" i="16"/>
  <c r="H87" i="16"/>
  <c r="X86" i="16"/>
  <c r="T86" i="16" s="1"/>
  <c r="Y86" i="16" s="1"/>
  <c r="Z86" i="16" s="1"/>
  <c r="H86" i="16"/>
  <c r="U85" i="16"/>
  <c r="S85" i="16"/>
  <c r="R85" i="16"/>
  <c r="H85" i="16"/>
  <c r="U84" i="16"/>
  <c r="S84" i="16"/>
  <c r="R84" i="16"/>
  <c r="H84" i="16"/>
  <c r="X83" i="16"/>
  <c r="T83" i="16" s="1"/>
  <c r="Y83" i="16" s="1"/>
  <c r="Z83" i="16" s="1"/>
  <c r="H83" i="16"/>
  <c r="U82" i="16"/>
  <c r="S82" i="16"/>
  <c r="R82" i="16"/>
  <c r="H82" i="16"/>
  <c r="X79" i="16"/>
  <c r="T79" i="16" s="1"/>
  <c r="Y79" i="16" s="1"/>
  <c r="Z79" i="16" s="1"/>
  <c r="H79" i="16"/>
  <c r="X78" i="16"/>
  <c r="T78" i="16" s="1"/>
  <c r="Y78" i="16" s="1"/>
  <c r="Z78" i="16" s="1"/>
  <c r="H78" i="16"/>
  <c r="U80" i="16"/>
  <c r="H80" i="16"/>
  <c r="X77" i="16"/>
  <c r="T77" i="16" s="1"/>
  <c r="Y77" i="16" s="1"/>
  <c r="Z77" i="16" s="1"/>
  <c r="H77" i="16"/>
  <c r="X76" i="16"/>
  <c r="T76" i="16" s="1"/>
  <c r="Y76" i="16" s="1"/>
  <c r="Z76" i="16" s="1"/>
  <c r="H76" i="16"/>
  <c r="U74" i="16"/>
  <c r="S74" i="16"/>
  <c r="R74" i="16"/>
  <c r="H74" i="16"/>
  <c r="U72" i="16"/>
  <c r="H72" i="16"/>
  <c r="G27" i="16"/>
  <c r="F27" i="16"/>
  <c r="E27" i="16"/>
  <c r="E2040" i="6" l="1"/>
  <c r="X80" i="16"/>
  <c r="X84" i="16"/>
  <c r="T84" i="16" s="1"/>
  <c r="Y84" i="16" s="1"/>
  <c r="Z84" i="16" s="1"/>
  <c r="X85" i="16"/>
  <c r="T85" i="16" s="1"/>
  <c r="Y85" i="16" s="1"/>
  <c r="Z85" i="16" s="1"/>
  <c r="X72" i="16"/>
  <c r="T72" i="16" s="1"/>
  <c r="Y72" i="16" s="1"/>
  <c r="Z72" i="16" s="1"/>
  <c r="X87" i="16"/>
  <c r="T87" i="16" s="1"/>
  <c r="Y87" i="16" s="1"/>
  <c r="Z87" i="16" s="1"/>
  <c r="X88" i="16"/>
  <c r="T88" i="16" s="1"/>
  <c r="Y88" i="16" s="1"/>
  <c r="Z88" i="16" s="1"/>
  <c r="X82" i="16"/>
  <c r="T82" i="16" s="1"/>
  <c r="Y82" i="16" s="1"/>
  <c r="Z82" i="16" s="1"/>
  <c r="X74" i="16"/>
  <c r="T74" i="16" s="1"/>
  <c r="Y74" i="16" s="1"/>
  <c r="Z74" i="16" s="1"/>
  <c r="B2033" i="6"/>
  <c r="C2033" i="6"/>
  <c r="E2033" i="6" s="1"/>
  <c r="C747" i="2"/>
  <c r="C746" i="2"/>
  <c r="U26" i="16"/>
  <c r="S26" i="16"/>
  <c r="R26" i="16"/>
  <c r="H26" i="16"/>
  <c r="T80" i="16" l="1"/>
  <c r="Y80" i="16" s="1"/>
  <c r="Z80" i="16" s="1"/>
  <c r="X26" i="16"/>
  <c r="T26" i="16" s="1"/>
  <c r="Y26" i="16" s="1"/>
  <c r="Z26" i="16" s="1"/>
  <c r="F23" i="16"/>
  <c r="H23" i="16" s="1"/>
  <c r="X23" i="16"/>
  <c r="F15" i="16"/>
  <c r="H15" i="16" s="1"/>
  <c r="X15" i="16"/>
  <c r="Y15" i="16"/>
  <c r="X14" i="16"/>
  <c r="Y14" i="16"/>
  <c r="Z14" i="16" s="1"/>
  <c r="H14" i="16"/>
  <c r="Z15" i="16" l="1"/>
  <c r="T23" i="16"/>
  <c r="Y23" i="16" s="1"/>
  <c r="Z23" i="16" s="1"/>
  <c r="X6" i="16"/>
  <c r="Y6" i="16"/>
  <c r="Z6" i="16" s="1"/>
  <c r="X5" i="16"/>
  <c r="Y5" i="16"/>
  <c r="Z5" i="16" s="1"/>
  <c r="X87" i="14"/>
  <c r="Y87" i="14"/>
  <c r="Z87" i="14" s="1"/>
  <c r="H87" i="14"/>
  <c r="C737" i="2" l="1"/>
  <c r="C736" i="2"/>
  <c r="C733" i="2"/>
  <c r="C732" i="2"/>
  <c r="C727" i="2"/>
  <c r="C726" i="2"/>
  <c r="C725" i="2"/>
  <c r="C721" i="2"/>
  <c r="C720" i="2"/>
  <c r="C692" i="2"/>
  <c r="F28" i="16"/>
  <c r="P42" i="16" l="1"/>
  <c r="P38" i="16"/>
  <c r="C2028" i="6"/>
  <c r="E2028" i="6" s="1"/>
  <c r="B2028" i="6"/>
  <c r="C688" i="2"/>
  <c r="F29" i="16"/>
  <c r="F22" i="16"/>
  <c r="C699" i="2" l="1"/>
  <c r="C698" i="2"/>
  <c r="C691" i="2"/>
  <c r="P36" i="16"/>
  <c r="X36" i="16" s="1"/>
  <c r="T36" i="16" s="1"/>
  <c r="Y36" i="16" s="1"/>
  <c r="Z36" i="16" s="1"/>
  <c r="P35" i="16"/>
  <c r="P29" i="16"/>
  <c r="P28" i="16"/>
  <c r="X70" i="16"/>
  <c r="T70" i="16" s="1"/>
  <c r="Y70" i="16" s="1"/>
  <c r="Z70" i="16" s="1"/>
  <c r="H70" i="16"/>
  <c r="U69" i="16"/>
  <c r="H69" i="16"/>
  <c r="X66" i="16"/>
  <c r="T66" i="16" s="1"/>
  <c r="Y66" i="16" s="1"/>
  <c r="Z66" i="16" s="1"/>
  <c r="H66" i="16"/>
  <c r="U62" i="16"/>
  <c r="S62" i="16"/>
  <c r="R62" i="16"/>
  <c r="H62" i="16"/>
  <c r="U61" i="16"/>
  <c r="S61" i="16"/>
  <c r="R61" i="16"/>
  <c r="X60" i="16"/>
  <c r="T60" i="16" s="1"/>
  <c r="Y60" i="16" s="1"/>
  <c r="Z60" i="16" s="1"/>
  <c r="U57" i="16"/>
  <c r="S57" i="16"/>
  <c r="R57" i="16"/>
  <c r="H57" i="16"/>
  <c r="X56" i="16"/>
  <c r="T56" i="16" s="1"/>
  <c r="Y56" i="16" s="1"/>
  <c r="Z56" i="16" s="1"/>
  <c r="H56" i="16"/>
  <c r="X55" i="16"/>
  <c r="T55" i="16" s="1"/>
  <c r="Y55" i="16" s="1"/>
  <c r="Z55" i="16" s="1"/>
  <c r="H55" i="16"/>
  <c r="U54" i="16"/>
  <c r="H54" i="16"/>
  <c r="X53" i="16"/>
  <c r="T53" i="16" s="1"/>
  <c r="Y53" i="16" s="1"/>
  <c r="Z53" i="16" s="1"/>
  <c r="H53" i="16"/>
  <c r="X52" i="16"/>
  <c r="T52" i="16" s="1"/>
  <c r="Y52" i="16" s="1"/>
  <c r="Z52" i="16" s="1"/>
  <c r="H52" i="16"/>
  <c r="U49" i="16"/>
  <c r="S49" i="16"/>
  <c r="R49" i="16"/>
  <c r="H49" i="16"/>
  <c r="U48" i="16"/>
  <c r="S48" i="16"/>
  <c r="R48" i="16"/>
  <c r="H48" i="16"/>
  <c r="H36" i="16"/>
  <c r="T65" i="13"/>
  <c r="U13" i="16"/>
  <c r="S13" i="16"/>
  <c r="R13" i="16"/>
  <c r="H13" i="16"/>
  <c r="X62" i="16" l="1"/>
  <c r="T62" i="16" s="1"/>
  <c r="Y62" i="16" s="1"/>
  <c r="Z62" i="16" s="1"/>
  <c r="X49" i="16"/>
  <c r="T49" i="16" s="1"/>
  <c r="Y49" i="16" s="1"/>
  <c r="Z49" i="16" s="1"/>
  <c r="X61" i="16"/>
  <c r="T61" i="16" s="1"/>
  <c r="Y61" i="16" s="1"/>
  <c r="Z61" i="16" s="1"/>
  <c r="X48" i="16"/>
  <c r="T48" i="16" s="1"/>
  <c r="Y48" i="16" s="1"/>
  <c r="Z48" i="16" s="1"/>
  <c r="X57" i="16"/>
  <c r="T57" i="16" s="1"/>
  <c r="Y57" i="16" s="1"/>
  <c r="Z57" i="16" s="1"/>
  <c r="X54" i="16"/>
  <c r="T54" i="16" s="1"/>
  <c r="Y54" i="16" s="1"/>
  <c r="Z54" i="16" s="1"/>
  <c r="X69" i="16"/>
  <c r="T69" i="16" s="1"/>
  <c r="Y69" i="16" s="1"/>
  <c r="Z69" i="16" s="1"/>
  <c r="X13" i="16"/>
  <c r="T13" i="16" s="1"/>
  <c r="Y13" i="16" s="1"/>
  <c r="Z13" i="16" s="1"/>
  <c r="C2024" i="6" l="1"/>
  <c r="B2024" i="6"/>
  <c r="E2024" i="6" s="1"/>
  <c r="G9" i="16"/>
  <c r="F9" i="16"/>
  <c r="E9" i="16"/>
  <c r="F17" i="16"/>
  <c r="F16" i="16"/>
  <c r="H16" i="16" s="1"/>
  <c r="AB17" i="16"/>
  <c r="P22" i="16" l="1"/>
  <c r="C416" i="3"/>
  <c r="C415" i="3"/>
  <c r="C410" i="3"/>
  <c r="C409" i="3"/>
  <c r="C408" i="3"/>
  <c r="C407" i="3"/>
  <c r="C406" i="3"/>
  <c r="C405" i="3"/>
  <c r="C404" i="3"/>
  <c r="C403" i="3"/>
  <c r="C402" i="3"/>
  <c r="C401" i="3"/>
  <c r="C400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3" i="3"/>
  <c r="C372" i="3"/>
  <c r="C371" i="3"/>
  <c r="C370" i="3"/>
  <c r="C369" i="3"/>
  <c r="C719" i="2"/>
  <c r="C718" i="2"/>
  <c r="C710" i="2"/>
  <c r="C709" i="2"/>
  <c r="C700" i="2"/>
  <c r="B2017" i="6"/>
  <c r="C2017" i="6"/>
  <c r="E2017" i="6" s="1"/>
  <c r="C705" i="2" l="1"/>
  <c r="C704" i="2"/>
  <c r="C701" i="2" l="1"/>
  <c r="C702" i="2"/>
  <c r="C697" i="2"/>
  <c r="C696" i="2"/>
  <c r="F11" i="16"/>
  <c r="G4" i="16"/>
  <c r="F4" i="16"/>
  <c r="E4" i="16"/>
  <c r="C684" i="2" l="1"/>
  <c r="C677" i="2"/>
  <c r="X29" i="16"/>
  <c r="T29" i="16" s="1"/>
  <c r="Y29" i="16" s="1"/>
  <c r="Z29" i="16" s="1"/>
  <c r="H29" i="16"/>
  <c r="H343" i="4"/>
  <c r="H344" i="4"/>
  <c r="H348" i="4"/>
  <c r="H349" i="4"/>
  <c r="H350" i="4"/>
  <c r="H351" i="4"/>
  <c r="H352" i="4"/>
  <c r="H353" i="4"/>
  <c r="H354" i="4"/>
  <c r="C676" i="2"/>
  <c r="H89" i="14"/>
  <c r="R89" i="14"/>
  <c r="S89" i="14"/>
  <c r="U89" i="14"/>
  <c r="H90" i="14"/>
  <c r="R90" i="14"/>
  <c r="S90" i="14"/>
  <c r="X90" i="14" s="1"/>
  <c r="T90" i="14" s="1"/>
  <c r="Y90" i="14" s="1"/>
  <c r="Z90" i="14" s="1"/>
  <c r="U90" i="14"/>
  <c r="F8" i="16"/>
  <c r="P17" i="16"/>
  <c r="P16" i="16"/>
  <c r="X89" i="14" l="1"/>
  <c r="T89" i="14" s="1"/>
  <c r="Y89" i="14" s="1"/>
  <c r="Z89" i="14" s="1"/>
  <c r="X82" i="14"/>
  <c r="Y82" i="14"/>
  <c r="Z82" i="14" s="1"/>
  <c r="H82" i="14"/>
  <c r="F76" i="14"/>
  <c r="H76" i="14" s="1"/>
  <c r="X76" i="14"/>
  <c r="Y76" i="14"/>
  <c r="F59" i="14"/>
  <c r="H59" i="14" s="1"/>
  <c r="X59" i="14"/>
  <c r="Y59" i="14"/>
  <c r="Z76" i="14" l="1"/>
  <c r="Z59" i="14"/>
  <c r="H54" i="14"/>
  <c r="X54" i="14"/>
  <c r="Y54" i="14"/>
  <c r="Z54" i="14" s="1"/>
  <c r="C2012" i="6" l="1"/>
  <c r="C664" i="2" l="1"/>
  <c r="C675" i="2"/>
  <c r="F7" i="16"/>
  <c r="C669" i="2" l="1"/>
  <c r="P78" i="14"/>
  <c r="F86" i="14"/>
  <c r="F78" i="14"/>
  <c r="P11" i="16"/>
  <c r="X11" i="16" s="1"/>
  <c r="T11" i="16" s="1"/>
  <c r="Y11" i="16" s="1"/>
  <c r="Z11" i="16" s="1"/>
  <c r="P10" i="16"/>
  <c r="P8" i="16"/>
  <c r="P7" i="16"/>
  <c r="H17" i="16"/>
  <c r="X17" i="16"/>
  <c r="T17" i="16" s="1"/>
  <c r="Y17" i="16" s="1"/>
  <c r="Z17" i="16" s="1"/>
  <c r="H11" i="16"/>
  <c r="U27" i="16"/>
  <c r="S27" i="16"/>
  <c r="R27" i="16"/>
  <c r="H27" i="16"/>
  <c r="X46" i="16"/>
  <c r="T46" i="16" s="1"/>
  <c r="Y46" i="16" s="1"/>
  <c r="Z46" i="16" s="1"/>
  <c r="U44" i="16"/>
  <c r="S44" i="16"/>
  <c r="R44" i="16"/>
  <c r="H44" i="16"/>
  <c r="U43" i="16"/>
  <c r="S43" i="16"/>
  <c r="R43" i="16"/>
  <c r="H43" i="16"/>
  <c r="X42" i="16"/>
  <c r="T42" i="16" s="1"/>
  <c r="Y42" i="16" s="1"/>
  <c r="Z42" i="16" s="1"/>
  <c r="H42" i="16"/>
  <c r="U41" i="16"/>
  <c r="S41" i="16"/>
  <c r="R41" i="16"/>
  <c r="H41" i="16"/>
  <c r="U40" i="16"/>
  <c r="S40" i="16"/>
  <c r="R40" i="16"/>
  <c r="H40" i="16"/>
  <c r="X38" i="16"/>
  <c r="T38" i="16" s="1"/>
  <c r="Y38" i="16" s="1"/>
  <c r="Z38" i="16" s="1"/>
  <c r="H38" i="16"/>
  <c r="U37" i="16"/>
  <c r="S37" i="16"/>
  <c r="R37" i="16"/>
  <c r="H37" i="16"/>
  <c r="X35" i="16"/>
  <c r="T35" i="16" s="1"/>
  <c r="Y35" i="16" s="1"/>
  <c r="Z35" i="16" s="1"/>
  <c r="U30" i="16"/>
  <c r="S30" i="16"/>
  <c r="R30" i="16"/>
  <c r="H30" i="16"/>
  <c r="X39" i="16"/>
  <c r="T39" i="16" s="1"/>
  <c r="Y39" i="16" s="1"/>
  <c r="Z39" i="16" s="1"/>
  <c r="H39" i="16"/>
  <c r="X28" i="16"/>
  <c r="T28" i="16" s="1"/>
  <c r="Y28" i="16" s="1"/>
  <c r="Z28" i="16" s="1"/>
  <c r="H28" i="16"/>
  <c r="U25" i="16"/>
  <c r="S25" i="16"/>
  <c r="R25" i="16"/>
  <c r="H25" i="16"/>
  <c r="S4" i="16"/>
  <c r="R4" i="16"/>
  <c r="H4" i="16"/>
  <c r="B2012" i="6"/>
  <c r="E2012" i="6"/>
  <c r="X43" i="16" l="1"/>
  <c r="T43" i="16" s="1"/>
  <c r="Y43" i="16" s="1"/>
  <c r="Z43" i="16" s="1"/>
  <c r="X37" i="16"/>
  <c r="T37" i="16" s="1"/>
  <c r="Y37" i="16" s="1"/>
  <c r="Z37" i="16" s="1"/>
  <c r="X27" i="16"/>
  <c r="T27" i="16" s="1"/>
  <c r="Y27" i="16" s="1"/>
  <c r="Z27" i="16" s="1"/>
  <c r="X40" i="16"/>
  <c r="T40" i="16" s="1"/>
  <c r="Y40" i="16" s="1"/>
  <c r="Z40" i="16" s="1"/>
  <c r="X41" i="16"/>
  <c r="T41" i="16" s="1"/>
  <c r="Y41" i="16" s="1"/>
  <c r="Z41" i="16" s="1"/>
  <c r="X30" i="16"/>
  <c r="T30" i="16" s="1"/>
  <c r="Y30" i="16" s="1"/>
  <c r="Z30" i="16" s="1"/>
  <c r="X44" i="16"/>
  <c r="T44" i="16" s="1"/>
  <c r="Y44" i="16" s="1"/>
  <c r="Z44" i="16" s="1"/>
  <c r="X25" i="16"/>
  <c r="T25" i="16" s="1"/>
  <c r="Y25" i="16" s="1"/>
  <c r="Z25" i="16" s="1"/>
  <c r="G77" i="14"/>
  <c r="F77" i="14"/>
  <c r="E77" i="14"/>
  <c r="C2003" i="6"/>
  <c r="E2003" i="6" s="1"/>
  <c r="B2003" i="6"/>
  <c r="H77" i="14" l="1"/>
  <c r="C695" i="2"/>
  <c r="C694" i="2"/>
  <c r="C662" i="2"/>
  <c r="G74" i="14"/>
  <c r="F74" i="14"/>
  <c r="E74" i="14"/>
  <c r="F79" i="14"/>
  <c r="P79" i="14"/>
  <c r="C659" i="2" l="1"/>
  <c r="C658" i="2"/>
  <c r="C663" i="2"/>
  <c r="F83" i="14"/>
  <c r="AB80" i="14"/>
  <c r="P86" i="14"/>
  <c r="G71" i="14" l="1"/>
  <c r="F71" i="14"/>
  <c r="E71" i="14"/>
  <c r="F75" i="14"/>
  <c r="C686" i="2" l="1"/>
  <c r="U71" i="14"/>
  <c r="S71" i="14"/>
  <c r="R71" i="14"/>
  <c r="R70" i="14"/>
  <c r="F70" i="14"/>
  <c r="G70" i="14"/>
  <c r="E70" i="14"/>
  <c r="U70" i="14" s="1"/>
  <c r="C685" i="2"/>
  <c r="C683" i="2"/>
  <c r="C682" i="2"/>
  <c r="C681" i="2"/>
  <c r="C680" i="2"/>
  <c r="C644" i="2"/>
  <c r="F73" i="14"/>
  <c r="P72" i="14"/>
  <c r="F72" i="14"/>
  <c r="C652" i="2"/>
  <c r="C651" i="2"/>
  <c r="C643" i="2"/>
  <c r="B1997" i="6"/>
  <c r="C1997" i="6"/>
  <c r="E1997" i="6" s="1"/>
  <c r="S70" i="14" l="1"/>
  <c r="P83" i="14"/>
  <c r="C639" i="2"/>
  <c r="C642" i="2"/>
  <c r="P75" i="14" l="1"/>
  <c r="P73" i="14"/>
  <c r="B1993" i="6"/>
  <c r="C1993" i="6"/>
  <c r="E1993" i="6" s="1"/>
  <c r="G60" i="14" l="1"/>
  <c r="F60" i="14"/>
  <c r="E60" i="14"/>
  <c r="C557" i="2" l="1"/>
  <c r="C558" i="2"/>
  <c r="C679" i="2" l="1"/>
  <c r="C678" i="2"/>
  <c r="G56" i="14"/>
  <c r="F62" i="14"/>
  <c r="C635" i="2" l="1"/>
  <c r="C638" i="2" l="1"/>
  <c r="C634" i="2"/>
  <c r="F56" i="14"/>
  <c r="E56" i="14"/>
  <c r="X22" i="16"/>
  <c r="T22" i="16" s="1"/>
  <c r="Y22" i="16" s="1"/>
  <c r="Z22" i="16" s="1"/>
  <c r="H22" i="16"/>
  <c r="U21" i="16"/>
  <c r="S21" i="16"/>
  <c r="R21" i="16"/>
  <c r="H21" i="16"/>
  <c r="U20" i="16"/>
  <c r="S20" i="16"/>
  <c r="R20" i="16"/>
  <c r="H20" i="16"/>
  <c r="U19" i="16"/>
  <c r="S19" i="16"/>
  <c r="R19" i="16"/>
  <c r="H19" i="16"/>
  <c r="U18" i="16"/>
  <c r="S18" i="16"/>
  <c r="R18" i="16"/>
  <c r="H18" i="16"/>
  <c r="X16" i="16"/>
  <c r="T16" i="16" s="1"/>
  <c r="Y16" i="16" s="1"/>
  <c r="Z16" i="16" s="1"/>
  <c r="U12" i="16"/>
  <c r="S12" i="16"/>
  <c r="R12" i="16"/>
  <c r="H12" i="16"/>
  <c r="X10" i="16"/>
  <c r="T10" i="16" s="1"/>
  <c r="Y10" i="16" s="1"/>
  <c r="Z10" i="16" s="1"/>
  <c r="H10" i="16"/>
  <c r="U9" i="16"/>
  <c r="S9" i="16"/>
  <c r="R9" i="16"/>
  <c r="H9" i="16"/>
  <c r="X8" i="16"/>
  <c r="T8" i="16" s="1"/>
  <c r="Y8" i="16" s="1"/>
  <c r="Z8" i="16" s="1"/>
  <c r="H8" i="16"/>
  <c r="X7" i="16"/>
  <c r="T7" i="16" s="1"/>
  <c r="Y7" i="16" s="1"/>
  <c r="Z7" i="16" s="1"/>
  <c r="H7" i="16"/>
  <c r="U4" i="16"/>
  <c r="X4" i="16" s="1"/>
  <c r="T4" i="16" s="1"/>
  <c r="Y4" i="16" s="1"/>
  <c r="Z4" i="16" s="1"/>
  <c r="C1988" i="6"/>
  <c r="E1988" i="6" s="1"/>
  <c r="B1988" i="6"/>
  <c r="F65" i="14"/>
  <c r="F61" i="14"/>
  <c r="AB63" i="14"/>
  <c r="P68" i="14"/>
  <c r="C629" i="2"/>
  <c r="H335" i="4"/>
  <c r="H336" i="4"/>
  <c r="H337" i="4"/>
  <c r="H338" i="4"/>
  <c r="R80" i="14"/>
  <c r="S80" i="14"/>
  <c r="C673" i="2"/>
  <c r="C672" i="2"/>
  <c r="C671" i="2"/>
  <c r="C670" i="2"/>
  <c r="X12" i="16" l="1"/>
  <c r="T12" i="16" s="1"/>
  <c r="Y12" i="16" s="1"/>
  <c r="Z12" i="16" s="1"/>
  <c r="X19" i="16"/>
  <c r="T19" i="16" s="1"/>
  <c r="Y19" i="16" s="1"/>
  <c r="Z19" i="16" s="1"/>
  <c r="X20" i="16"/>
  <c r="T20" i="16" s="1"/>
  <c r="Y20" i="16" s="1"/>
  <c r="Z20" i="16" s="1"/>
  <c r="X21" i="16"/>
  <c r="T21" i="16" s="1"/>
  <c r="Y21" i="16" s="1"/>
  <c r="Z21" i="16" s="1"/>
  <c r="X9" i="16"/>
  <c r="T9" i="16" s="1"/>
  <c r="Y9" i="16" s="1"/>
  <c r="Z9" i="16" s="1"/>
  <c r="X18" i="16"/>
  <c r="T18" i="16" s="1"/>
  <c r="Y18" i="16" s="1"/>
  <c r="Z18" i="16" s="1"/>
  <c r="G53" i="14"/>
  <c r="F53" i="14"/>
  <c r="E53" i="14"/>
  <c r="R53" i="14" s="1"/>
  <c r="S53" i="14" l="1"/>
  <c r="F58" i="14" l="1"/>
  <c r="F57" i="14"/>
  <c r="B1984" i="6" l="1"/>
  <c r="C1984" i="6"/>
  <c r="S51" i="14"/>
  <c r="R51" i="14"/>
  <c r="E1984" i="6" l="1"/>
  <c r="C622" i="2"/>
  <c r="F55" i="14"/>
  <c r="C621" i="2"/>
  <c r="P62" i="14" l="1"/>
  <c r="C661" i="2" l="1"/>
  <c r="C660" i="2"/>
  <c r="C656" i="2"/>
  <c r="C655" i="2"/>
  <c r="F40" i="14"/>
  <c r="H40" i="14" s="1"/>
  <c r="Y40" i="14"/>
  <c r="X40" i="14"/>
  <c r="F39" i="14"/>
  <c r="H39" i="14" s="1"/>
  <c r="F32" i="14"/>
  <c r="Z40" i="14" l="1"/>
  <c r="P58" i="14"/>
  <c r="P65" i="14"/>
  <c r="P61" i="14"/>
  <c r="F49" i="14" l="1"/>
  <c r="C654" i="2"/>
  <c r="P57" i="14" l="1"/>
  <c r="P55" i="14"/>
  <c r="C1979" i="6"/>
  <c r="B1979" i="6"/>
  <c r="G37" i="14"/>
  <c r="E1979" i="6" l="1"/>
  <c r="C618" i="2"/>
  <c r="C617" i="2"/>
  <c r="B1973" i="6" l="1"/>
  <c r="C1973" i="6"/>
  <c r="E1973" i="6" s="1"/>
  <c r="F45" i="14"/>
  <c r="F46" i="14"/>
  <c r="X38" i="14" l="1"/>
  <c r="Y38" i="14"/>
  <c r="Z38" i="14" s="1"/>
  <c r="X39" i="14"/>
  <c r="Y39" i="14"/>
  <c r="Z39" i="14" s="1"/>
  <c r="H38" i="14"/>
  <c r="B1967" i="6"/>
  <c r="C1967" i="6"/>
  <c r="E1967" i="6" s="1"/>
  <c r="G33" i="14"/>
  <c r="C653" i="2"/>
  <c r="C650" i="2"/>
  <c r="C649" i="2"/>
  <c r="C647" i="2"/>
  <c r="X34" i="14"/>
  <c r="Y34" i="14"/>
  <c r="Z34" i="14" s="1"/>
  <c r="X35" i="14"/>
  <c r="Y35" i="14"/>
  <c r="Z35" i="14" s="1"/>
  <c r="H34" i="14"/>
  <c r="H35" i="14"/>
  <c r="F41" i="14"/>
  <c r="H41" i="14" s="1"/>
  <c r="F42" i="14"/>
  <c r="C613" i="2"/>
  <c r="C612" i="2" l="1"/>
  <c r="AB36" i="14"/>
  <c r="P49" i="14"/>
  <c r="F36" i="14"/>
  <c r="F30" i="14"/>
  <c r="E30" i="14"/>
  <c r="B1964" i="6" l="1"/>
  <c r="C1964" i="6"/>
  <c r="C648" i="2"/>
  <c r="P46" i="14"/>
  <c r="E1964" i="6" l="1"/>
  <c r="G29" i="14"/>
  <c r="F29" i="14"/>
  <c r="E29" i="14"/>
  <c r="C608" i="2"/>
  <c r="F31" i="14" l="1"/>
  <c r="X26" i="14"/>
  <c r="Y26" i="14"/>
  <c r="Z26" i="14" s="1"/>
  <c r="H26" i="14"/>
  <c r="F18" i="14"/>
  <c r="H18" i="14" s="1"/>
  <c r="H14" i="14"/>
  <c r="Y14" i="14"/>
  <c r="Z14" i="14" s="1"/>
  <c r="X14" i="14"/>
  <c r="Y18" i="14"/>
  <c r="X18" i="14"/>
  <c r="X11" i="14"/>
  <c r="Y11" i="14"/>
  <c r="Z11" i="14" s="1"/>
  <c r="H11" i="14"/>
  <c r="C637" i="2"/>
  <c r="C636" i="2"/>
  <c r="C633" i="2"/>
  <c r="C632" i="2"/>
  <c r="C628" i="2"/>
  <c r="C627" i="2"/>
  <c r="C626" i="2"/>
  <c r="F23" i="14"/>
  <c r="P42" i="14"/>
  <c r="P45" i="14"/>
  <c r="Z18" i="14" l="1"/>
  <c r="C1958" i="6"/>
  <c r="B1958" i="6"/>
  <c r="P41" i="14"/>
  <c r="E1958" i="6" l="1"/>
  <c r="F27" i="14"/>
  <c r="S33" i="14"/>
  <c r="R33" i="14"/>
  <c r="S30" i="14"/>
  <c r="R30" i="14"/>
  <c r="S29" i="14"/>
  <c r="R29" i="14"/>
  <c r="C625" i="2" l="1"/>
  <c r="C624" i="2"/>
  <c r="B1955" i="6"/>
  <c r="C1955" i="6"/>
  <c r="E1955" i="6" s="1"/>
  <c r="C623" i="2"/>
  <c r="P36" i="14"/>
  <c r="P32" i="14"/>
  <c r="R43" i="14" l="1"/>
  <c r="S43" i="14"/>
  <c r="X86" i="14"/>
  <c r="T86" i="14" s="1"/>
  <c r="Y86" i="14" s="1"/>
  <c r="Z86" i="14" s="1"/>
  <c r="H86" i="14"/>
  <c r="U85" i="14"/>
  <c r="S85" i="14"/>
  <c r="R85" i="14"/>
  <c r="H85" i="14"/>
  <c r="U84" i="14"/>
  <c r="S84" i="14"/>
  <c r="R84" i="14"/>
  <c r="H84" i="14"/>
  <c r="X83" i="14"/>
  <c r="T83" i="14" s="1"/>
  <c r="Y83" i="14" s="1"/>
  <c r="Z83" i="14" s="1"/>
  <c r="H83" i="14"/>
  <c r="U81" i="14"/>
  <c r="S81" i="14"/>
  <c r="R81" i="14"/>
  <c r="H81" i="14"/>
  <c r="U80" i="14"/>
  <c r="X80" i="14" s="1"/>
  <c r="T80" i="14" s="1"/>
  <c r="Y80" i="14" s="1"/>
  <c r="Z80" i="14" s="1"/>
  <c r="H80" i="14"/>
  <c r="X79" i="14"/>
  <c r="T79" i="14" s="1"/>
  <c r="Y79" i="14" s="1"/>
  <c r="Z79" i="14" s="1"/>
  <c r="H79" i="14"/>
  <c r="X78" i="14"/>
  <c r="T78" i="14" s="1"/>
  <c r="Y78" i="14" s="1"/>
  <c r="Z78" i="14" s="1"/>
  <c r="H78" i="14"/>
  <c r="U77" i="14"/>
  <c r="S77" i="14"/>
  <c r="R77" i="14"/>
  <c r="X75" i="14"/>
  <c r="T75" i="14" s="1"/>
  <c r="Y75" i="14" s="1"/>
  <c r="Z75" i="14" s="1"/>
  <c r="H75" i="14"/>
  <c r="U74" i="14"/>
  <c r="S74" i="14"/>
  <c r="R74" i="14"/>
  <c r="H74" i="14"/>
  <c r="X73" i="14"/>
  <c r="T73" i="14" s="1"/>
  <c r="Y73" i="14" s="1"/>
  <c r="Z73" i="14" s="1"/>
  <c r="H73" i="14"/>
  <c r="X72" i="14"/>
  <c r="T72" i="14" s="1"/>
  <c r="Y72" i="14" s="1"/>
  <c r="Z72" i="14" s="1"/>
  <c r="H72" i="14"/>
  <c r="X71" i="14"/>
  <c r="H71" i="14"/>
  <c r="X70" i="14"/>
  <c r="H70" i="14"/>
  <c r="X77" i="14" l="1"/>
  <c r="T77" i="14" s="1"/>
  <c r="X81" i="14"/>
  <c r="T81" i="14" s="1"/>
  <c r="T70" i="14"/>
  <c r="Y70" i="14" s="1"/>
  <c r="Z70" i="14" s="1"/>
  <c r="T71" i="14"/>
  <c r="Y71" i="14" s="1"/>
  <c r="Z71" i="14" s="1"/>
  <c r="X85" i="14"/>
  <c r="T85" i="14" s="1"/>
  <c r="Y85" i="14" s="1"/>
  <c r="Z85" i="14" s="1"/>
  <c r="X74" i="14"/>
  <c r="T74" i="14" s="1"/>
  <c r="Y74" i="14" s="1"/>
  <c r="Z74" i="14" s="1"/>
  <c r="Y77" i="14"/>
  <c r="Z77" i="14" s="1"/>
  <c r="Y81" i="14"/>
  <c r="Z81" i="14" s="1"/>
  <c r="X84" i="14"/>
  <c r="T84" i="14" s="1"/>
  <c r="Y84" i="14" s="1"/>
  <c r="Z84" i="14" s="1"/>
  <c r="C597" i="2" l="1"/>
  <c r="C603" i="2"/>
  <c r="C602" i="2"/>
  <c r="X46" i="14"/>
  <c r="T46" i="14" s="1"/>
  <c r="Y46" i="14" s="1"/>
  <c r="Z46" i="14" s="1"/>
  <c r="H46" i="14"/>
  <c r="X42" i="14"/>
  <c r="T42" i="14" s="1"/>
  <c r="Y42" i="14" s="1"/>
  <c r="Z42" i="14" s="1"/>
  <c r="H42" i="14"/>
  <c r="P31" i="14"/>
  <c r="C596" i="2"/>
  <c r="G17" i="14"/>
  <c r="F17" i="14" l="1"/>
  <c r="H17" i="14" s="1"/>
  <c r="E17" i="14"/>
  <c r="G13" i="14" l="1"/>
  <c r="C590" i="2"/>
  <c r="F20" i="14"/>
  <c r="C591" i="2" l="1"/>
  <c r="B1949" i="6"/>
  <c r="C1949" i="6"/>
  <c r="E1949" i="6" s="1"/>
  <c r="AB21" i="14"/>
  <c r="P27" i="14"/>
  <c r="F19" i="14"/>
  <c r="H19" i="14" s="1"/>
  <c r="C587" i="2" l="1"/>
  <c r="H331" i="4"/>
  <c r="H332" i="4"/>
  <c r="H333" i="4"/>
  <c r="H334" i="4"/>
  <c r="H339" i="4"/>
  <c r="H340" i="4"/>
  <c r="H341" i="4"/>
  <c r="H342" i="4"/>
  <c r="F15" i="14"/>
  <c r="H15" i="14" s="1"/>
  <c r="F16" i="14"/>
  <c r="H16" i="14" s="1"/>
  <c r="X68" i="14"/>
  <c r="T68" i="14" s="1"/>
  <c r="Y68" i="14" s="1"/>
  <c r="Z68" i="14" s="1"/>
  <c r="H68" i="14"/>
  <c r="U67" i="14"/>
  <c r="S67" i="14"/>
  <c r="R67" i="14"/>
  <c r="H67" i="14"/>
  <c r="U66" i="14"/>
  <c r="S66" i="14"/>
  <c r="R66" i="14"/>
  <c r="H66" i="14"/>
  <c r="X65" i="14"/>
  <c r="T65" i="14" s="1"/>
  <c r="Y65" i="14" s="1"/>
  <c r="Z65" i="14" s="1"/>
  <c r="H65" i="14"/>
  <c r="U64" i="14"/>
  <c r="S64" i="14"/>
  <c r="R64" i="14"/>
  <c r="H64" i="14"/>
  <c r="U63" i="14"/>
  <c r="S63" i="14"/>
  <c r="R63" i="14"/>
  <c r="H63" i="14"/>
  <c r="X61" i="14"/>
  <c r="T61" i="14" s="1"/>
  <c r="Y61" i="14" s="1"/>
  <c r="Z61" i="14" s="1"/>
  <c r="H61" i="14"/>
  <c r="U60" i="14"/>
  <c r="S60" i="14"/>
  <c r="R60" i="14"/>
  <c r="H60" i="14"/>
  <c r="X58" i="14"/>
  <c r="T58" i="14" s="1"/>
  <c r="Y58" i="14" s="1"/>
  <c r="Z58" i="14" s="1"/>
  <c r="H58" i="14"/>
  <c r="X57" i="14"/>
  <c r="T57" i="14" s="1"/>
  <c r="Y57" i="14" s="1"/>
  <c r="Z57" i="14" s="1"/>
  <c r="H57" i="14"/>
  <c r="U56" i="14"/>
  <c r="S56" i="14"/>
  <c r="R56" i="14"/>
  <c r="H56" i="14"/>
  <c r="X62" i="14"/>
  <c r="T62" i="14" s="1"/>
  <c r="Y62" i="14" s="1"/>
  <c r="Z62" i="14" s="1"/>
  <c r="H62" i="14"/>
  <c r="X55" i="14"/>
  <c r="T55" i="14" s="1"/>
  <c r="Y55" i="14" s="1"/>
  <c r="Z55" i="14" s="1"/>
  <c r="H55" i="14"/>
  <c r="U53" i="14"/>
  <c r="X53" i="14" s="1"/>
  <c r="T53" i="14" s="1"/>
  <c r="Y53" i="14" s="1"/>
  <c r="Z53" i="14" s="1"/>
  <c r="H53" i="14"/>
  <c r="U52" i="14"/>
  <c r="S52" i="14"/>
  <c r="R52" i="14"/>
  <c r="H52" i="14"/>
  <c r="U51" i="14"/>
  <c r="X51" i="14" s="1"/>
  <c r="T51" i="14" s="1"/>
  <c r="Y51" i="14" s="1"/>
  <c r="Z51" i="14" s="1"/>
  <c r="H51" i="14"/>
  <c r="X67" i="14" l="1"/>
  <c r="T67" i="14" s="1"/>
  <c r="Y67" i="14" s="1"/>
  <c r="Z67" i="14" s="1"/>
  <c r="X60" i="14"/>
  <c r="T60" i="14" s="1"/>
  <c r="Y60" i="14" s="1"/>
  <c r="Z60" i="14" s="1"/>
  <c r="X63" i="14"/>
  <c r="T63" i="14" s="1"/>
  <c r="Y63" i="14" s="1"/>
  <c r="Z63" i="14" s="1"/>
  <c r="X64" i="14"/>
  <c r="T64" i="14" s="1"/>
  <c r="Y64" i="14" s="1"/>
  <c r="Z64" i="14" s="1"/>
  <c r="X52" i="14"/>
  <c r="T52" i="14" s="1"/>
  <c r="Y52" i="14" s="1"/>
  <c r="Z52" i="14" s="1"/>
  <c r="X56" i="14"/>
  <c r="T56" i="14" s="1"/>
  <c r="Y56" i="14" s="1"/>
  <c r="Z56" i="14" s="1"/>
  <c r="X66" i="14"/>
  <c r="T66" i="14" s="1"/>
  <c r="Y66" i="14" s="1"/>
  <c r="Z66" i="14" s="1"/>
  <c r="C353" i="3"/>
  <c r="C352" i="3"/>
  <c r="C351" i="3"/>
  <c r="C350" i="3"/>
  <c r="C349" i="3"/>
  <c r="C348" i="3"/>
  <c r="C345" i="3"/>
  <c r="C344" i="3"/>
  <c r="C343" i="3"/>
  <c r="C335" i="3"/>
  <c r="C334" i="3"/>
  <c r="C331" i="3"/>
  <c r="C330" i="3"/>
  <c r="C329" i="3"/>
  <c r="C328" i="3"/>
  <c r="C327" i="3"/>
  <c r="C326" i="3"/>
  <c r="C325" i="3"/>
  <c r="C324" i="3"/>
  <c r="C323" i="3"/>
  <c r="C322" i="3"/>
  <c r="C578" i="2" l="1"/>
  <c r="C573" i="2"/>
  <c r="F12" i="14"/>
  <c r="C579" i="2"/>
  <c r="F4" i="14"/>
  <c r="H4" i="14" s="1"/>
  <c r="C615" i="2"/>
  <c r="C614" i="2"/>
  <c r="C610" i="2"/>
  <c r="C609" i="2"/>
  <c r="C1944" i="6"/>
  <c r="C1945" i="6" s="1"/>
  <c r="E1945" i="6" s="1"/>
  <c r="B1945" i="6"/>
  <c r="P6" i="14"/>
  <c r="X6" i="14" s="1"/>
  <c r="F6" i="14"/>
  <c r="H6" i="14" s="1"/>
  <c r="P5" i="14"/>
  <c r="X5" i="14" s="1"/>
  <c r="T5" i="14" s="1"/>
  <c r="F5" i="14"/>
  <c r="H5" i="14" s="1"/>
  <c r="P4" i="14"/>
  <c r="X4" i="14" s="1"/>
  <c r="T4" i="14" s="1"/>
  <c r="Y4" i="14" s="1"/>
  <c r="Z4" i="14" s="1"/>
  <c r="T6" i="14" l="1"/>
  <c r="Y6" i="14" s="1"/>
  <c r="Z6" i="14" s="1"/>
  <c r="Y5" i="14"/>
  <c r="Z5" i="14" s="1"/>
  <c r="P23" i="14"/>
  <c r="P20" i="14"/>
  <c r="P19" i="14"/>
  <c r="Y93" i="13" l="1"/>
  <c r="Z93" i="13" s="1"/>
  <c r="X93" i="13"/>
  <c r="H93" i="13"/>
  <c r="C604" i="2"/>
  <c r="C569" i="2" l="1"/>
  <c r="B1939" i="6" l="1"/>
  <c r="C1939" i="6"/>
  <c r="E1939" i="6" l="1"/>
  <c r="F90" i="13"/>
  <c r="H90" i="13" s="1"/>
  <c r="X90" i="13"/>
  <c r="Y90" i="13"/>
  <c r="P16" i="14"/>
  <c r="P12" i="14"/>
  <c r="P15" i="14"/>
  <c r="Z90" i="13" l="1"/>
  <c r="C1932" i="6"/>
  <c r="C605" i="2"/>
  <c r="G89" i="13"/>
  <c r="G86" i="13" l="1"/>
  <c r="C584" i="2"/>
  <c r="C565" i="2"/>
  <c r="C600" i="2"/>
  <c r="AB90" i="13"/>
  <c r="B1932" i="6"/>
  <c r="E1932" i="6" l="1"/>
  <c r="G83" i="13"/>
  <c r="C599" i="2" l="1"/>
  <c r="C598" i="2"/>
  <c r="F88" i="13"/>
  <c r="F87" i="13"/>
  <c r="C561" i="2" l="1"/>
  <c r="G82" i="13"/>
  <c r="F82" i="13"/>
  <c r="E82" i="13"/>
  <c r="F84" i="13"/>
  <c r="F85" i="13"/>
  <c r="H230" i="5" l="1"/>
  <c r="H231" i="5"/>
  <c r="H232" i="5"/>
  <c r="H233" i="5"/>
  <c r="H234" i="5"/>
  <c r="H235" i="5"/>
  <c r="H236" i="5"/>
  <c r="H237" i="5"/>
  <c r="H241" i="5"/>
  <c r="H242" i="5"/>
  <c r="H243" i="5"/>
  <c r="H244" i="5"/>
  <c r="H245" i="5"/>
  <c r="H246" i="5"/>
  <c r="H247" i="5"/>
  <c r="C550" i="2"/>
  <c r="C551" i="2"/>
  <c r="H69" i="13" l="1"/>
  <c r="X69" i="13"/>
  <c r="Y69" i="13"/>
  <c r="Z69" i="13"/>
  <c r="H66" i="13"/>
  <c r="H67" i="13"/>
  <c r="H68" i="13"/>
  <c r="X66" i="13"/>
  <c r="Y66" i="13"/>
  <c r="Z66" i="13" s="1"/>
  <c r="X67" i="13"/>
  <c r="Y67" i="13"/>
  <c r="Z67" i="13" s="1"/>
  <c r="X68" i="13"/>
  <c r="Y68" i="13"/>
  <c r="Z68" i="13" s="1"/>
  <c r="X72" i="13"/>
  <c r="Y72" i="13"/>
  <c r="Z72" i="13" s="1"/>
  <c r="H72" i="13"/>
  <c r="X47" i="13"/>
  <c r="Y47" i="13"/>
  <c r="F47" i="13"/>
  <c r="H47" i="13" s="1"/>
  <c r="Z47" i="13" l="1"/>
  <c r="C589" i="2"/>
  <c r="C588" i="2"/>
  <c r="C585" i="2"/>
  <c r="F80" i="13"/>
  <c r="C583" i="2" l="1"/>
  <c r="C582" i="2"/>
  <c r="C581" i="2"/>
  <c r="C580" i="2"/>
  <c r="C577" i="2"/>
  <c r="C576" i="2"/>
  <c r="C575" i="2"/>
  <c r="C574" i="2"/>
  <c r="C566" i="2"/>
  <c r="C562" i="2"/>
  <c r="C560" i="2"/>
  <c r="C556" i="2"/>
  <c r="C555" i="2"/>
  <c r="P88" i="13"/>
  <c r="P87" i="13"/>
  <c r="P85" i="13"/>
  <c r="P84" i="13"/>
  <c r="C554" i="2"/>
  <c r="C553" i="2"/>
  <c r="G73" i="13" l="1"/>
  <c r="F73" i="13"/>
  <c r="E73" i="13"/>
  <c r="C544" i="2" l="1"/>
  <c r="X49" i="14" l="1"/>
  <c r="T49" i="14" s="1"/>
  <c r="Y49" i="14" s="1"/>
  <c r="Z49" i="14" s="1"/>
  <c r="H49" i="14"/>
  <c r="U48" i="14"/>
  <c r="S48" i="14"/>
  <c r="R48" i="14"/>
  <c r="H48" i="14"/>
  <c r="U47" i="14"/>
  <c r="S47" i="14"/>
  <c r="R47" i="14"/>
  <c r="H47" i="14"/>
  <c r="X45" i="14"/>
  <c r="T45" i="14" s="1"/>
  <c r="Y45" i="14" s="1"/>
  <c r="Z45" i="14" s="1"/>
  <c r="H45" i="14"/>
  <c r="U44" i="14"/>
  <c r="S44" i="14"/>
  <c r="R44" i="14"/>
  <c r="H44" i="14"/>
  <c r="U43" i="14"/>
  <c r="H43" i="14"/>
  <c r="X41" i="14"/>
  <c r="T41" i="14" s="1"/>
  <c r="Y41" i="14" s="1"/>
  <c r="Z41" i="14" s="1"/>
  <c r="U37" i="14"/>
  <c r="S37" i="14"/>
  <c r="R37" i="14"/>
  <c r="H37" i="14"/>
  <c r="X36" i="14"/>
  <c r="T36" i="14" s="1"/>
  <c r="Y36" i="14" s="1"/>
  <c r="Z36" i="14" s="1"/>
  <c r="H36" i="14"/>
  <c r="U33" i="14"/>
  <c r="H33" i="14"/>
  <c r="X32" i="14"/>
  <c r="T32" i="14" s="1"/>
  <c r="Y32" i="14" s="1"/>
  <c r="Z32" i="14" s="1"/>
  <c r="H32" i="14"/>
  <c r="X31" i="14"/>
  <c r="T31" i="14" s="1"/>
  <c r="Y31" i="14" s="1"/>
  <c r="Z31" i="14" s="1"/>
  <c r="H31" i="14"/>
  <c r="U30" i="14"/>
  <c r="H30" i="14"/>
  <c r="U29" i="14"/>
  <c r="H29" i="14"/>
  <c r="H27" i="14"/>
  <c r="U25" i="14"/>
  <c r="S25" i="14"/>
  <c r="R25" i="14"/>
  <c r="H25" i="14"/>
  <c r="U24" i="14"/>
  <c r="S24" i="14"/>
  <c r="R24" i="14"/>
  <c r="H24" i="14"/>
  <c r="X23" i="14"/>
  <c r="T23" i="14" s="1"/>
  <c r="H23" i="14"/>
  <c r="U22" i="14"/>
  <c r="S22" i="14"/>
  <c r="R22" i="14"/>
  <c r="H22" i="14"/>
  <c r="U21" i="14"/>
  <c r="S21" i="14"/>
  <c r="R21" i="14"/>
  <c r="H21" i="14"/>
  <c r="U17" i="14"/>
  <c r="S17" i="14"/>
  <c r="R17" i="14"/>
  <c r="X16" i="14"/>
  <c r="T16" i="14" s="1"/>
  <c r="U13" i="14"/>
  <c r="S13" i="14"/>
  <c r="R13" i="14"/>
  <c r="H13" i="14"/>
  <c r="X20" i="14"/>
  <c r="T20" i="14" s="1"/>
  <c r="Y20" i="14" s="1"/>
  <c r="Z20" i="14" s="1"/>
  <c r="H20" i="14"/>
  <c r="H12" i="14"/>
  <c r="U10" i="14"/>
  <c r="S10" i="14"/>
  <c r="R10" i="14"/>
  <c r="H10" i="14"/>
  <c r="U9" i="14"/>
  <c r="S9" i="14"/>
  <c r="R9" i="14"/>
  <c r="H9" i="14"/>
  <c r="U8" i="14"/>
  <c r="S8" i="14"/>
  <c r="R8" i="14"/>
  <c r="H8" i="14"/>
  <c r="C542" i="2"/>
  <c r="G65" i="13"/>
  <c r="F65" i="13"/>
  <c r="E65" i="13"/>
  <c r="H65" i="13" l="1"/>
  <c r="X24" i="14"/>
  <c r="T24" i="14" s="1"/>
  <c r="Y24" i="14" s="1"/>
  <c r="Z24" i="14" s="1"/>
  <c r="X25" i="14"/>
  <c r="T25" i="14" s="1"/>
  <c r="Y25" i="14" s="1"/>
  <c r="Z25" i="14" s="1"/>
  <c r="X33" i="14"/>
  <c r="T33" i="14" s="1"/>
  <c r="Y33" i="14" s="1"/>
  <c r="Z33" i="14" s="1"/>
  <c r="X47" i="14"/>
  <c r="T47" i="14" s="1"/>
  <c r="Y47" i="14" s="1"/>
  <c r="Z47" i="14" s="1"/>
  <c r="X48" i="14"/>
  <c r="T48" i="14" s="1"/>
  <c r="Y48" i="14" s="1"/>
  <c r="Z48" i="14" s="1"/>
  <c r="X17" i="14"/>
  <c r="T17" i="14" s="1"/>
  <c r="Y17" i="14" s="1"/>
  <c r="Z17" i="14" s="1"/>
  <c r="X29" i="14"/>
  <c r="T29" i="14" s="1"/>
  <c r="Y29" i="14" s="1"/>
  <c r="Z29" i="14" s="1"/>
  <c r="X30" i="14"/>
  <c r="T30" i="14" s="1"/>
  <c r="Y30" i="14" s="1"/>
  <c r="Z30" i="14" s="1"/>
  <c r="X37" i="14"/>
  <c r="T37" i="14" s="1"/>
  <c r="Y37" i="14" s="1"/>
  <c r="Z37" i="14" s="1"/>
  <c r="X43" i="14"/>
  <c r="T43" i="14" s="1"/>
  <c r="Y43" i="14" s="1"/>
  <c r="Z43" i="14" s="1"/>
  <c r="X44" i="14"/>
  <c r="T44" i="14" s="1"/>
  <c r="Y44" i="14" s="1"/>
  <c r="Z44" i="14" s="1"/>
  <c r="Y16" i="14"/>
  <c r="Z16" i="14" s="1"/>
  <c r="Y23" i="14"/>
  <c r="Z23" i="14" s="1"/>
  <c r="X8" i="14"/>
  <c r="T8" i="14" s="1"/>
  <c r="Y8" i="14" s="1"/>
  <c r="Z8" i="14" s="1"/>
  <c r="X9" i="14"/>
  <c r="T9" i="14" s="1"/>
  <c r="Y9" i="14" s="1"/>
  <c r="Z9" i="14" s="1"/>
  <c r="X10" i="14"/>
  <c r="T10" i="14" s="1"/>
  <c r="Y10" i="14" s="1"/>
  <c r="Z10" i="14" s="1"/>
  <c r="X13" i="14"/>
  <c r="T13" i="14" s="1"/>
  <c r="Y13" i="14" s="1"/>
  <c r="Z13" i="14" s="1"/>
  <c r="X12" i="14"/>
  <c r="T12" i="14" s="1"/>
  <c r="Y12" i="14" s="1"/>
  <c r="Z12" i="14" s="1"/>
  <c r="X15" i="14"/>
  <c r="T15" i="14" s="1"/>
  <c r="Y15" i="14" s="1"/>
  <c r="Z15" i="14" s="1"/>
  <c r="X19" i="14"/>
  <c r="T19" i="14" s="1"/>
  <c r="Y19" i="14" s="1"/>
  <c r="Z19" i="14" s="1"/>
  <c r="X21" i="14"/>
  <c r="T21" i="14" s="1"/>
  <c r="Y21" i="14" s="1"/>
  <c r="Z21" i="14" s="1"/>
  <c r="X22" i="14"/>
  <c r="T22" i="14" s="1"/>
  <c r="Y22" i="14" s="1"/>
  <c r="Z22" i="14" s="1"/>
  <c r="X27" i="14"/>
  <c r="T27" i="14" s="1"/>
  <c r="Y27" i="14" s="1"/>
  <c r="Z27" i="14" s="1"/>
  <c r="C547" i="2" l="1"/>
  <c r="F77" i="13"/>
  <c r="P80" i="13" l="1"/>
  <c r="U62" i="13"/>
  <c r="S62" i="13"/>
  <c r="R62" i="13"/>
  <c r="H62" i="13"/>
  <c r="X62" i="13" l="1"/>
  <c r="T62" i="13" s="1"/>
  <c r="Y62" i="13" s="1"/>
  <c r="Z62" i="13" s="1"/>
  <c r="F74" i="13" l="1"/>
  <c r="F71" i="13"/>
  <c r="F70" i="13"/>
  <c r="F64" i="13"/>
  <c r="F63" i="13"/>
  <c r="C535" i="2" l="1"/>
  <c r="C534" i="2"/>
  <c r="C546" i="2"/>
  <c r="C540" i="2"/>
  <c r="C527" i="2" l="1"/>
  <c r="C528" i="2"/>
  <c r="X42" i="13"/>
  <c r="Y42" i="13"/>
  <c r="Z42" i="13" s="1"/>
  <c r="H42" i="13"/>
  <c r="F37" i="13"/>
  <c r="C538" i="2"/>
  <c r="P77" i="13" l="1"/>
  <c r="P74" i="13"/>
  <c r="C1918" i="6"/>
  <c r="B1918" i="6"/>
  <c r="E1918" i="6" l="1"/>
  <c r="P71" i="13"/>
  <c r="P70" i="13"/>
  <c r="P63" i="13"/>
  <c r="P64" i="13"/>
  <c r="B1915" i="6" l="1"/>
  <c r="C1915" i="6"/>
  <c r="E1915" i="6" l="1"/>
  <c r="F56" i="13"/>
  <c r="C531" i="2"/>
  <c r="AC50" i="13"/>
  <c r="G46" i="13"/>
  <c r="C522" i="2" l="1"/>
  <c r="F87" i="8" l="1"/>
  <c r="F53" i="13" l="1"/>
  <c r="C1912" i="6"/>
  <c r="B1912" i="6"/>
  <c r="G44" i="13"/>
  <c r="C517" i="2"/>
  <c r="F48" i="13"/>
  <c r="F49" i="13"/>
  <c r="E1912" i="6" l="1"/>
  <c r="C523" i="2"/>
  <c r="C521" i="2"/>
  <c r="P56" i="13"/>
  <c r="B1904" i="6"/>
  <c r="C1904" i="6"/>
  <c r="G41" i="13"/>
  <c r="F52" i="13"/>
  <c r="F45" i="13"/>
  <c r="P52" i="13"/>
  <c r="E1904" i="6" l="1"/>
  <c r="P53" i="13"/>
  <c r="F41" i="13"/>
  <c r="E41" i="13"/>
  <c r="F43" i="13" l="1"/>
  <c r="C506" i="2" l="1"/>
  <c r="C513" i="2"/>
  <c r="C512" i="2"/>
  <c r="C505" i="2"/>
  <c r="C524" i="2"/>
  <c r="C545" i="2" l="1"/>
  <c r="C541" i="2"/>
  <c r="C539" i="2"/>
  <c r="C537" i="2"/>
  <c r="C536" i="2"/>
  <c r="C533" i="2"/>
  <c r="C532" i="2"/>
  <c r="C530" i="2"/>
  <c r="F15" i="13"/>
  <c r="H15" i="13" s="1"/>
  <c r="X15" i="13"/>
  <c r="Y15" i="13"/>
  <c r="H28" i="13"/>
  <c r="Y28" i="13"/>
  <c r="Z28" i="13" s="1"/>
  <c r="X28" i="13"/>
  <c r="H14" i="13"/>
  <c r="X14" i="13"/>
  <c r="Y14" i="13"/>
  <c r="Z14" i="13" s="1"/>
  <c r="Z15" i="13" l="1"/>
  <c r="X35" i="13" l="1"/>
  <c r="Y35" i="13"/>
  <c r="Z35" i="13" s="1"/>
  <c r="X36" i="13"/>
  <c r="Y36" i="13"/>
  <c r="Z36" i="13" s="1"/>
  <c r="H35" i="13"/>
  <c r="H36" i="13"/>
  <c r="B1898" i="6" l="1"/>
  <c r="C1898" i="6"/>
  <c r="E1898" i="6" l="1"/>
  <c r="P49" i="13"/>
  <c r="P48" i="13"/>
  <c r="P45" i="13"/>
  <c r="P43" i="13"/>
  <c r="C1893" i="6"/>
  <c r="B1893" i="6"/>
  <c r="E1893" i="6" l="1"/>
  <c r="B1886" i="6"/>
  <c r="C1886" i="6"/>
  <c r="E1886" i="6" l="1"/>
  <c r="G27" i="13"/>
  <c r="F27" i="13"/>
  <c r="E27" i="13"/>
  <c r="X57" i="13"/>
  <c r="Y57" i="13"/>
  <c r="Z57" i="13" s="1"/>
  <c r="H57" i="13"/>
  <c r="U95" i="13"/>
  <c r="S95" i="13"/>
  <c r="R95" i="13"/>
  <c r="H95" i="13"/>
  <c r="U94" i="13"/>
  <c r="S94" i="13"/>
  <c r="R94" i="13"/>
  <c r="H94" i="13"/>
  <c r="U92" i="13"/>
  <c r="S92" i="13"/>
  <c r="R92" i="13"/>
  <c r="H92" i="13"/>
  <c r="U91" i="13"/>
  <c r="S91" i="13"/>
  <c r="R91" i="13"/>
  <c r="H91" i="13"/>
  <c r="U89" i="13"/>
  <c r="S89" i="13"/>
  <c r="R89" i="13"/>
  <c r="H89" i="13"/>
  <c r="X88" i="13"/>
  <c r="T88" i="13" s="1"/>
  <c r="Y88" i="13" s="1"/>
  <c r="Z88" i="13" s="1"/>
  <c r="H88" i="13"/>
  <c r="X87" i="13"/>
  <c r="T87" i="13" s="1"/>
  <c r="H87" i="13"/>
  <c r="U86" i="13"/>
  <c r="S86" i="13"/>
  <c r="R86" i="13"/>
  <c r="H86" i="13"/>
  <c r="X85" i="13"/>
  <c r="T85" i="13" s="1"/>
  <c r="Y85" i="13" s="1"/>
  <c r="Z85" i="13" s="1"/>
  <c r="H85" i="13"/>
  <c r="H84" i="13"/>
  <c r="U83" i="13"/>
  <c r="S83" i="13"/>
  <c r="R83" i="13"/>
  <c r="H83" i="13"/>
  <c r="U82" i="13"/>
  <c r="S82" i="13"/>
  <c r="R82" i="13"/>
  <c r="H82" i="13"/>
  <c r="X89" i="13" l="1"/>
  <c r="T89" i="13" s="1"/>
  <c r="Y89" i="13" s="1"/>
  <c r="Z89" i="13" s="1"/>
  <c r="X92" i="13"/>
  <c r="T92" i="13" s="1"/>
  <c r="Y92" i="13" s="1"/>
  <c r="Z92" i="13" s="1"/>
  <c r="X82" i="13"/>
  <c r="T82" i="13" s="1"/>
  <c r="Y82" i="13" s="1"/>
  <c r="Z82" i="13" s="1"/>
  <c r="X83" i="13"/>
  <c r="T83" i="13" s="1"/>
  <c r="Y83" i="13" s="1"/>
  <c r="Z83" i="13" s="1"/>
  <c r="X94" i="13"/>
  <c r="T94" i="13" s="1"/>
  <c r="Y94" i="13" s="1"/>
  <c r="Z94" i="13" s="1"/>
  <c r="X95" i="13"/>
  <c r="T95" i="13" s="1"/>
  <c r="Y95" i="13" s="1"/>
  <c r="Z95" i="13" s="1"/>
  <c r="X84" i="13"/>
  <c r="T84" i="13" s="1"/>
  <c r="Y84" i="13" s="1"/>
  <c r="Z84" i="13" s="1"/>
  <c r="X86" i="13"/>
  <c r="T86" i="13" s="1"/>
  <c r="Y86" i="13" s="1"/>
  <c r="Z86" i="13" s="1"/>
  <c r="Y87" i="13"/>
  <c r="Z87" i="13" s="1"/>
  <c r="X91" i="13"/>
  <c r="T91" i="13" s="1"/>
  <c r="Y91" i="13" s="1"/>
  <c r="Z91" i="13" s="1"/>
  <c r="AC32" i="13" l="1"/>
  <c r="H81" i="11"/>
  <c r="X81" i="11"/>
  <c r="T81" i="11" s="1"/>
  <c r="Y81" i="11"/>
  <c r="Z81" i="11" s="1"/>
  <c r="G24" i="13"/>
  <c r="F24" i="13"/>
  <c r="E24" i="13"/>
  <c r="C499" i="2" l="1"/>
  <c r="F29" i="13"/>
  <c r="H29" i="13" s="1"/>
  <c r="C496" i="2"/>
  <c r="C497" i="2" l="1"/>
  <c r="F32" i="13" l="1"/>
  <c r="P37" i="13"/>
  <c r="F26" i="13"/>
  <c r="F25" i="13"/>
  <c r="C490" i="2" l="1"/>
  <c r="F22" i="13" l="1"/>
  <c r="F23" i="13"/>
  <c r="C489" i="2" l="1"/>
  <c r="C485" i="2"/>
  <c r="H329" i="4"/>
  <c r="H330" i="4"/>
  <c r="F5" i="13"/>
  <c r="C493" i="2"/>
  <c r="T5" i="7"/>
  <c r="B1881" i="6"/>
  <c r="C1881" i="6"/>
  <c r="C520" i="2"/>
  <c r="C519" i="2"/>
  <c r="C516" i="2"/>
  <c r="U21" i="13"/>
  <c r="S21" i="13"/>
  <c r="R21" i="13"/>
  <c r="H21" i="13"/>
  <c r="C307" i="3"/>
  <c r="C306" i="3"/>
  <c r="C305" i="3"/>
  <c r="C304" i="3"/>
  <c r="C303" i="3"/>
  <c r="C302" i="3"/>
  <c r="C515" i="2"/>
  <c r="C514" i="2"/>
  <c r="C510" i="2"/>
  <c r="C509" i="2"/>
  <c r="C508" i="2"/>
  <c r="C507" i="2"/>
  <c r="P32" i="13"/>
  <c r="P29" i="13"/>
  <c r="E1881" i="6" l="1"/>
  <c r="X21" i="13"/>
  <c r="T21" i="13" s="1"/>
  <c r="Y21" i="13" s="1"/>
  <c r="Z21" i="13" s="1"/>
  <c r="G7" i="13" l="1"/>
  <c r="P26" i="13" l="1"/>
  <c r="P25" i="13"/>
  <c r="B1877" i="6"/>
  <c r="C1877" i="6"/>
  <c r="C298" i="3"/>
  <c r="C297" i="3"/>
  <c r="C296" i="3"/>
  <c r="C295" i="3"/>
  <c r="C294" i="3"/>
  <c r="C293" i="3"/>
  <c r="C292" i="3"/>
  <c r="C288" i="3"/>
  <c r="C285" i="3"/>
  <c r="C282" i="3"/>
  <c r="C281" i="3"/>
  <c r="C280" i="3"/>
  <c r="C279" i="3"/>
  <c r="C278" i="3"/>
  <c r="C277" i="3"/>
  <c r="C276" i="3"/>
  <c r="C273" i="3"/>
  <c r="C272" i="3"/>
  <c r="C268" i="3"/>
  <c r="C267" i="3"/>
  <c r="C266" i="3"/>
  <c r="C265" i="3"/>
  <c r="C264" i="3"/>
  <c r="C263" i="3"/>
  <c r="E1877" i="6" l="1"/>
  <c r="F16" i="13"/>
  <c r="F11" i="13"/>
  <c r="P23" i="13"/>
  <c r="P22" i="13"/>
  <c r="U85" i="11"/>
  <c r="S85" i="11"/>
  <c r="R85" i="11"/>
  <c r="H85" i="11"/>
  <c r="B1872" i="6"/>
  <c r="C1872" i="6"/>
  <c r="E1872" i="6" s="1"/>
  <c r="X85" i="11" l="1"/>
  <c r="T85" i="11" s="1"/>
  <c r="Y85" i="11" s="1"/>
  <c r="Z85" i="11" s="1"/>
  <c r="AB9" i="13" l="1"/>
  <c r="C479" i="2"/>
  <c r="P16" i="13"/>
  <c r="H16" i="13"/>
  <c r="U13" i="13"/>
  <c r="S13" i="13"/>
  <c r="R13" i="13"/>
  <c r="H13" i="13"/>
  <c r="U12" i="13"/>
  <c r="X12" i="13" s="1"/>
  <c r="Y12" i="13" s="1"/>
  <c r="Z12" i="13" s="1"/>
  <c r="H12" i="13"/>
  <c r="P11" i="13"/>
  <c r="X11" i="13" s="1"/>
  <c r="T11" i="13" s="1"/>
  <c r="H11" i="13"/>
  <c r="P10" i="13"/>
  <c r="F10" i="13"/>
  <c r="U9" i="13"/>
  <c r="S9" i="13"/>
  <c r="R9" i="13"/>
  <c r="H9" i="13"/>
  <c r="U8" i="13"/>
  <c r="S8" i="13"/>
  <c r="R8" i="13"/>
  <c r="H8" i="13"/>
  <c r="U7" i="13"/>
  <c r="S7" i="13"/>
  <c r="R7" i="13"/>
  <c r="H7" i="13"/>
  <c r="P6" i="13"/>
  <c r="X6" i="13" s="1"/>
  <c r="F6" i="13"/>
  <c r="H6" i="13" s="1"/>
  <c r="P5" i="13"/>
  <c r="H5" i="13"/>
  <c r="P4" i="13"/>
  <c r="H4" i="13"/>
  <c r="X80" i="13"/>
  <c r="T80" i="13" s="1"/>
  <c r="H80" i="13"/>
  <c r="U79" i="13"/>
  <c r="S79" i="13"/>
  <c r="R79" i="13"/>
  <c r="H79" i="13"/>
  <c r="U78" i="13"/>
  <c r="S78" i="13"/>
  <c r="R78" i="13"/>
  <c r="H78" i="13"/>
  <c r="X77" i="13"/>
  <c r="T77" i="13" s="1"/>
  <c r="Y77" i="13" s="1"/>
  <c r="Z77" i="13" s="1"/>
  <c r="H77" i="13"/>
  <c r="U76" i="13"/>
  <c r="S76" i="13"/>
  <c r="R76" i="13"/>
  <c r="H76" i="13"/>
  <c r="U75" i="13"/>
  <c r="S75" i="13"/>
  <c r="R75" i="13"/>
  <c r="H75" i="13"/>
  <c r="X74" i="13"/>
  <c r="T74" i="13" s="1"/>
  <c r="Y74" i="13" s="1"/>
  <c r="Z74" i="13" s="1"/>
  <c r="H74" i="13"/>
  <c r="U73" i="13"/>
  <c r="S73" i="13"/>
  <c r="R73" i="13"/>
  <c r="H73" i="13"/>
  <c r="X71" i="13"/>
  <c r="T71" i="13" s="1"/>
  <c r="Y71" i="13" s="1"/>
  <c r="Z71" i="13" s="1"/>
  <c r="H71" i="13"/>
  <c r="X70" i="13"/>
  <c r="T70" i="13" s="1"/>
  <c r="Y70" i="13" s="1"/>
  <c r="Z70" i="13" s="1"/>
  <c r="H70" i="13"/>
  <c r="U65" i="13"/>
  <c r="S65" i="13"/>
  <c r="R65" i="13"/>
  <c r="X64" i="13"/>
  <c r="T64" i="13" s="1"/>
  <c r="Y64" i="13" s="1"/>
  <c r="Z64" i="13" s="1"/>
  <c r="H64" i="13"/>
  <c r="X63" i="13"/>
  <c r="T63" i="13" s="1"/>
  <c r="Y63" i="13" s="1"/>
  <c r="Z63" i="13" s="1"/>
  <c r="H63" i="13"/>
  <c r="U61" i="13"/>
  <c r="S61" i="13"/>
  <c r="R61" i="13"/>
  <c r="H61" i="13"/>
  <c r="U60" i="13"/>
  <c r="S60" i="13"/>
  <c r="R60" i="13"/>
  <c r="H60" i="13"/>
  <c r="U59" i="13"/>
  <c r="S59" i="13"/>
  <c r="R59" i="13"/>
  <c r="H59" i="13"/>
  <c r="X56" i="13"/>
  <c r="T56" i="13" s="1"/>
  <c r="Y56" i="13" s="1"/>
  <c r="Z56" i="13" s="1"/>
  <c r="H56" i="13"/>
  <c r="U55" i="13"/>
  <c r="S55" i="13"/>
  <c r="R55" i="13"/>
  <c r="H55" i="13"/>
  <c r="U54" i="13"/>
  <c r="H54" i="13"/>
  <c r="X52" i="13"/>
  <c r="T52" i="13" s="1"/>
  <c r="H52" i="13"/>
  <c r="U51" i="13"/>
  <c r="S51" i="13"/>
  <c r="R51" i="13"/>
  <c r="H51" i="13"/>
  <c r="U50" i="13"/>
  <c r="H50" i="13"/>
  <c r="X48" i="13"/>
  <c r="T48" i="13" s="1"/>
  <c r="Y48" i="13" s="1"/>
  <c r="Z48" i="13" s="1"/>
  <c r="H48" i="13"/>
  <c r="U46" i="13"/>
  <c r="X46" i="13" s="1"/>
  <c r="T46" i="13" s="1"/>
  <c r="H46" i="13"/>
  <c r="H53" i="13"/>
  <c r="X45" i="13"/>
  <c r="T45" i="13" s="1"/>
  <c r="Y45" i="13" s="1"/>
  <c r="Z45" i="13" s="1"/>
  <c r="H45" i="13"/>
  <c r="U44" i="13"/>
  <c r="S44" i="13"/>
  <c r="R44" i="13"/>
  <c r="H44" i="13"/>
  <c r="X49" i="13"/>
  <c r="T49" i="13" s="1"/>
  <c r="H49" i="13"/>
  <c r="X43" i="13"/>
  <c r="T43" i="13" s="1"/>
  <c r="Y43" i="13" s="1"/>
  <c r="Z43" i="13" s="1"/>
  <c r="H43" i="13"/>
  <c r="U41" i="13"/>
  <c r="S41" i="13"/>
  <c r="R41" i="13"/>
  <c r="H41" i="13"/>
  <c r="U40" i="13"/>
  <c r="S40" i="13"/>
  <c r="R40" i="13"/>
  <c r="H40" i="13"/>
  <c r="U39" i="13"/>
  <c r="S39" i="13"/>
  <c r="R39" i="13"/>
  <c r="H39" i="13"/>
  <c r="H32" i="13"/>
  <c r="X8" i="13" l="1"/>
  <c r="T8" i="13" s="1"/>
  <c r="X73" i="13"/>
  <c r="T73" i="13" s="1"/>
  <c r="Y73" i="13" s="1"/>
  <c r="Z73" i="13" s="1"/>
  <c r="T6" i="13"/>
  <c r="Y6" i="13" s="1"/>
  <c r="Z6" i="13" s="1"/>
  <c r="X39" i="13"/>
  <c r="T39" i="13" s="1"/>
  <c r="Y39" i="13" s="1"/>
  <c r="Z39" i="13" s="1"/>
  <c r="X40" i="13"/>
  <c r="T40" i="13" s="1"/>
  <c r="Y40" i="13" s="1"/>
  <c r="Z40" i="13" s="1"/>
  <c r="X41" i="13"/>
  <c r="T41" i="13" s="1"/>
  <c r="Y41" i="13" s="1"/>
  <c r="Z41" i="13" s="1"/>
  <c r="X59" i="13"/>
  <c r="T59" i="13" s="1"/>
  <c r="Y59" i="13" s="1"/>
  <c r="Z59" i="13" s="1"/>
  <c r="X60" i="13"/>
  <c r="T60" i="13" s="1"/>
  <c r="Y60" i="13" s="1"/>
  <c r="Z60" i="13" s="1"/>
  <c r="X61" i="13"/>
  <c r="T61" i="13" s="1"/>
  <c r="Y61" i="13" s="1"/>
  <c r="Z61" i="13" s="1"/>
  <c r="X75" i="13"/>
  <c r="T75" i="13" s="1"/>
  <c r="Y75" i="13" s="1"/>
  <c r="Z75" i="13" s="1"/>
  <c r="X9" i="13"/>
  <c r="T9" i="13" s="1"/>
  <c r="Y9" i="13" s="1"/>
  <c r="Z9" i="13" s="1"/>
  <c r="Y49" i="13"/>
  <c r="Z49" i="13" s="1"/>
  <c r="X44" i="13"/>
  <c r="T44" i="13" s="1"/>
  <c r="Y44" i="13" s="1"/>
  <c r="Z44" i="13" s="1"/>
  <c r="X53" i="13"/>
  <c r="T53" i="13" s="1"/>
  <c r="Y53" i="13" s="1"/>
  <c r="Z53" i="13" s="1"/>
  <c r="X50" i="13"/>
  <c r="T50" i="13" s="1"/>
  <c r="Y50" i="13" s="1"/>
  <c r="Z50" i="13" s="1"/>
  <c r="X51" i="13"/>
  <c r="T51" i="13" s="1"/>
  <c r="Y51" i="13" s="1"/>
  <c r="Z51" i="13" s="1"/>
  <c r="Y52" i="13"/>
  <c r="Z52" i="13" s="1"/>
  <c r="X54" i="13"/>
  <c r="Y54" i="13" s="1"/>
  <c r="Z54" i="13" s="1"/>
  <c r="X55" i="13"/>
  <c r="T55" i="13" s="1"/>
  <c r="Y55" i="13" s="1"/>
  <c r="Z55" i="13" s="1"/>
  <c r="X65" i="13"/>
  <c r="Y65" i="13" s="1"/>
  <c r="Z65" i="13" s="1"/>
  <c r="X78" i="13"/>
  <c r="T78" i="13" s="1"/>
  <c r="Y78" i="13" s="1"/>
  <c r="Z78" i="13" s="1"/>
  <c r="X79" i="13"/>
  <c r="T79" i="13" s="1"/>
  <c r="Y79" i="13" s="1"/>
  <c r="Z79" i="13" s="1"/>
  <c r="Y80" i="13"/>
  <c r="Z80" i="13" s="1"/>
  <c r="Y8" i="13"/>
  <c r="Z8" i="13" s="1"/>
  <c r="X7" i="13"/>
  <c r="T7" i="13" s="1"/>
  <c r="Y7" i="13" s="1"/>
  <c r="Z7" i="13" s="1"/>
  <c r="R4" i="13"/>
  <c r="X4" i="13" s="1"/>
  <c r="T4" i="13" s="1"/>
  <c r="X5" i="13"/>
  <c r="T5" i="13" s="1"/>
  <c r="Y5" i="13" s="1"/>
  <c r="Z5" i="13" s="1"/>
  <c r="H10" i="13"/>
  <c r="X10" i="13"/>
  <c r="T10" i="13" s="1"/>
  <c r="Y10" i="13" s="1"/>
  <c r="Z10" i="13" s="1"/>
  <c r="Y11" i="13"/>
  <c r="Z11" i="13" s="1"/>
  <c r="X16" i="13"/>
  <c r="T16" i="13" s="1"/>
  <c r="Y16" i="13" s="1"/>
  <c r="Z16" i="13" s="1"/>
  <c r="X13" i="13"/>
  <c r="T13" i="13" s="1"/>
  <c r="Y13" i="13" s="1"/>
  <c r="Z13" i="13" s="1"/>
  <c r="X76" i="13"/>
  <c r="T76" i="13" s="1"/>
  <c r="Y76" i="13" s="1"/>
  <c r="Z76" i="13" s="1"/>
  <c r="Y46" i="13"/>
  <c r="Z46" i="13" s="1"/>
  <c r="X32" i="13"/>
  <c r="T32" i="13" s="1"/>
  <c r="Y32" i="13" s="1"/>
  <c r="Z32" i="13" s="1"/>
  <c r="B1867" i="6"/>
  <c r="C1867" i="6"/>
  <c r="C472" i="2"/>
  <c r="E1867" i="6" l="1"/>
  <c r="Y4" i="13"/>
  <c r="Z4" i="13" s="1"/>
  <c r="C476" i="2"/>
  <c r="C474" i="2"/>
  <c r="C475" i="2"/>
  <c r="C473" i="2" l="1"/>
  <c r="U80" i="11" l="1"/>
  <c r="S80" i="11"/>
  <c r="R80" i="11"/>
  <c r="H80" i="11"/>
  <c r="F83" i="11"/>
  <c r="X80" i="11" l="1"/>
  <c r="T80" i="11" s="1"/>
  <c r="Y80" i="11" s="1"/>
  <c r="Z80" i="11" s="1"/>
  <c r="C466" i="2"/>
  <c r="H224" i="5"/>
  <c r="H225" i="5"/>
  <c r="H226" i="5"/>
  <c r="H227" i="5"/>
  <c r="H228" i="5"/>
  <c r="H229" i="5"/>
  <c r="X70" i="11"/>
  <c r="Y70" i="11"/>
  <c r="Z70" i="11" s="1"/>
  <c r="H70" i="11"/>
  <c r="X74" i="11"/>
  <c r="Y74" i="11"/>
  <c r="F74" i="11"/>
  <c r="H74" i="11" s="1"/>
  <c r="C482" i="2"/>
  <c r="C498" i="2"/>
  <c r="C495" i="2"/>
  <c r="C494" i="2"/>
  <c r="Z74" i="11" l="1"/>
  <c r="B1864" i="6"/>
  <c r="C1864" i="6"/>
  <c r="E1864" i="6" s="1"/>
  <c r="C467" i="2" l="1"/>
  <c r="P83" i="11" l="1"/>
  <c r="P82" i="11" l="1"/>
  <c r="F82" i="11"/>
  <c r="S34" i="13" l="1"/>
  <c r="S31" i="13"/>
  <c r="S30" i="13"/>
  <c r="S27" i="13"/>
  <c r="S24" i="13"/>
  <c r="X37" i="13"/>
  <c r="T37" i="13" s="1"/>
  <c r="Y37" i="13" s="1"/>
  <c r="Z37" i="13" s="1"/>
  <c r="H37" i="13"/>
  <c r="U34" i="13"/>
  <c r="R34" i="13"/>
  <c r="H34" i="13"/>
  <c r="U33" i="13"/>
  <c r="H33" i="13"/>
  <c r="X29" i="13"/>
  <c r="T29" i="13" s="1"/>
  <c r="Y29" i="13" s="1"/>
  <c r="Z29" i="13" s="1"/>
  <c r="U31" i="13"/>
  <c r="R31" i="13"/>
  <c r="H31" i="13"/>
  <c r="U30" i="13"/>
  <c r="R30" i="13"/>
  <c r="H30" i="13"/>
  <c r="U27" i="13"/>
  <c r="R27" i="13"/>
  <c r="H27" i="13"/>
  <c r="X26" i="13"/>
  <c r="T26" i="13" s="1"/>
  <c r="Y26" i="13" s="1"/>
  <c r="Z26" i="13" s="1"/>
  <c r="H26" i="13"/>
  <c r="X25" i="13"/>
  <c r="T25" i="13" s="1"/>
  <c r="Y25" i="13" s="1"/>
  <c r="Z25" i="13" s="1"/>
  <c r="H25" i="13"/>
  <c r="U24" i="13"/>
  <c r="R24" i="13"/>
  <c r="H24" i="13"/>
  <c r="X23" i="13"/>
  <c r="T23" i="13" s="1"/>
  <c r="Y23" i="13" s="1"/>
  <c r="Z23" i="13" s="1"/>
  <c r="H23" i="13"/>
  <c r="X22" i="13"/>
  <c r="T22" i="13" s="1"/>
  <c r="Y22" i="13" s="1"/>
  <c r="Z22" i="13" s="1"/>
  <c r="H22" i="13"/>
  <c r="U20" i="13"/>
  <c r="S20" i="13"/>
  <c r="R20" i="13"/>
  <c r="H20" i="13"/>
  <c r="U19" i="13"/>
  <c r="S19" i="13"/>
  <c r="R19" i="13"/>
  <c r="H19" i="13"/>
  <c r="U18" i="13"/>
  <c r="S18" i="13"/>
  <c r="R18" i="13"/>
  <c r="H18" i="13"/>
  <c r="F75" i="11"/>
  <c r="C492" i="2"/>
  <c r="F71" i="11"/>
  <c r="X59" i="11"/>
  <c r="Y59" i="11"/>
  <c r="Z59" i="11" s="1"/>
  <c r="X60" i="11"/>
  <c r="Y60" i="11"/>
  <c r="Z60" i="11" s="1"/>
  <c r="H59" i="11"/>
  <c r="H60" i="11"/>
  <c r="C491" i="2"/>
  <c r="F67" i="11"/>
  <c r="C461" i="2"/>
  <c r="C459" i="2"/>
  <c r="C460" i="2"/>
  <c r="C1859" i="6"/>
  <c r="B1859" i="6"/>
  <c r="X27" i="13" l="1"/>
  <c r="T27" i="13" s="1"/>
  <c r="Y27" i="13" s="1"/>
  <c r="Z27" i="13" s="1"/>
  <c r="X31" i="13"/>
  <c r="T31" i="13" s="1"/>
  <c r="Y31" i="13" s="1"/>
  <c r="Z31" i="13" s="1"/>
  <c r="X34" i="13"/>
  <c r="T34" i="13" s="1"/>
  <c r="Y34" i="13" s="1"/>
  <c r="Z34" i="13" s="1"/>
  <c r="X20" i="13"/>
  <c r="T20" i="13" s="1"/>
  <c r="Y20" i="13" s="1"/>
  <c r="Z20" i="13" s="1"/>
  <c r="X33" i="13"/>
  <c r="Y33" i="13" s="1"/>
  <c r="Z33" i="13" s="1"/>
  <c r="X30" i="13"/>
  <c r="T30" i="13" s="1"/>
  <c r="Y30" i="13" s="1"/>
  <c r="Z30" i="13" s="1"/>
  <c r="X18" i="13"/>
  <c r="T18" i="13" s="1"/>
  <c r="Y18" i="13" s="1"/>
  <c r="Z18" i="13" s="1"/>
  <c r="X19" i="13"/>
  <c r="T19" i="13" s="1"/>
  <c r="Y19" i="13" s="1"/>
  <c r="Z19" i="13" s="1"/>
  <c r="X24" i="13"/>
  <c r="T24" i="13" s="1"/>
  <c r="Y24" i="13" s="1"/>
  <c r="Z24" i="13" s="1"/>
  <c r="C487" i="2"/>
  <c r="C486" i="2"/>
  <c r="AE75" i="11"/>
  <c r="E1859" i="6"/>
  <c r="AG75" i="11"/>
  <c r="P75" i="11"/>
  <c r="G58" i="11" l="1"/>
  <c r="G57" i="11"/>
  <c r="B1854" i="6"/>
  <c r="C1854" i="6"/>
  <c r="C451" i="2"/>
  <c r="C450" i="2"/>
  <c r="E1854" i="6" l="1"/>
  <c r="F65" i="11"/>
  <c r="AG72" i="11" l="1"/>
  <c r="P71" i="11"/>
  <c r="B1845" i="6"/>
  <c r="C1845" i="6"/>
  <c r="E1845" i="6" l="1"/>
  <c r="C454" i="2"/>
  <c r="F64" i="11"/>
  <c r="F61" i="11"/>
  <c r="F62" i="11"/>
  <c r="P67" i="11" l="1"/>
  <c r="C443" i="2"/>
  <c r="C444" i="2"/>
  <c r="C471" i="2" l="1"/>
  <c r="P64" i="11" l="1"/>
  <c r="C470" i="2" l="1"/>
  <c r="P65" i="11" l="1"/>
  <c r="P62" i="11"/>
  <c r="P61" i="11"/>
  <c r="C462" i="2" l="1"/>
  <c r="C458" i="2"/>
  <c r="C457" i="2"/>
  <c r="C453" i="2"/>
  <c r="C452" i="2"/>
  <c r="F51" i="11"/>
  <c r="H51" i="11" s="1"/>
  <c r="X51" i="11"/>
  <c r="Y51" i="11"/>
  <c r="X50" i="11"/>
  <c r="Y50" i="11"/>
  <c r="Z50" i="11" s="1"/>
  <c r="H50" i="11"/>
  <c r="Z51" i="11" l="1"/>
  <c r="F33" i="11"/>
  <c r="H33" i="11" s="1"/>
  <c r="X33" i="11"/>
  <c r="Y33" i="11"/>
  <c r="F44" i="11"/>
  <c r="C447" i="2"/>
  <c r="C449" i="2"/>
  <c r="C448" i="2"/>
  <c r="G49" i="11"/>
  <c r="Z33" i="11" l="1"/>
  <c r="B1839" i="6"/>
  <c r="C1839" i="6"/>
  <c r="E1839" i="6" s="1"/>
  <c r="G45" i="11" l="1"/>
  <c r="F55" i="11"/>
  <c r="H62" i="11"/>
  <c r="P55" i="11" l="1"/>
  <c r="F52" i="11"/>
  <c r="F48" i="11"/>
  <c r="F47" i="11"/>
  <c r="G42" i="11"/>
  <c r="H54" i="11"/>
  <c r="U54" i="11"/>
  <c r="C433" i="2"/>
  <c r="C431" i="2"/>
  <c r="X54" i="11" l="1"/>
  <c r="Y54" i="11" s="1"/>
  <c r="Z54" i="11" s="1"/>
  <c r="F46" i="11"/>
  <c r="F43" i="11"/>
  <c r="C432" i="2" l="1"/>
  <c r="F28" i="11"/>
  <c r="C430" i="2"/>
  <c r="P46" i="11" l="1"/>
  <c r="P52" i="11"/>
  <c r="B1833" i="6"/>
  <c r="C1833" i="6" l="1"/>
  <c r="E1833" i="6" s="1"/>
  <c r="C427" i="2"/>
  <c r="C426" i="2"/>
  <c r="P48" i="11" l="1"/>
  <c r="P47" i="11"/>
  <c r="P43" i="11"/>
  <c r="F38" i="11"/>
  <c r="P44" i="11" l="1"/>
  <c r="F34" i="11"/>
  <c r="C422" i="2"/>
  <c r="G29" i="11"/>
  <c r="F35" i="11"/>
  <c r="C418" i="2"/>
  <c r="C1828" i="6" l="1"/>
  <c r="B1828" i="6"/>
  <c r="B1813" i="6"/>
  <c r="C1813" i="6"/>
  <c r="G27" i="11"/>
  <c r="E1828" i="6" l="1"/>
  <c r="E1813" i="6"/>
  <c r="P38" i="11"/>
  <c r="F30" i="11"/>
  <c r="P30" i="11"/>
  <c r="G24" i="11"/>
  <c r="C412" i="2" l="1"/>
  <c r="C417" i="2"/>
  <c r="P35" i="11" l="1"/>
  <c r="C438" i="2"/>
  <c r="C435" i="2"/>
  <c r="C434" i="2"/>
  <c r="C429" i="2" l="1"/>
  <c r="C428" i="2"/>
  <c r="C425" i="2"/>
  <c r="C398" i="2"/>
  <c r="H12" i="11" l="1"/>
  <c r="X12" i="11"/>
  <c r="Y12" i="11"/>
  <c r="Z12" i="11" s="1"/>
  <c r="X11" i="11"/>
  <c r="Y11" i="11"/>
  <c r="Z11" i="11" s="1"/>
  <c r="H11" i="11"/>
  <c r="B1809" i="6"/>
  <c r="C1809" i="6"/>
  <c r="F25" i="11"/>
  <c r="X5" i="11"/>
  <c r="Y5" i="11"/>
  <c r="Z5" i="11" s="1"/>
  <c r="H5" i="11"/>
  <c r="E1809" i="6" l="1"/>
  <c r="C415" i="2"/>
  <c r="P34" i="11" l="1"/>
  <c r="C408" i="2"/>
  <c r="C409" i="2"/>
  <c r="C406" i="2" l="1"/>
  <c r="F26" i="11"/>
  <c r="P20" i="11" l="1"/>
  <c r="F20" i="11"/>
  <c r="C411" i="2" l="1"/>
  <c r="C405" i="2"/>
  <c r="P28" i="11"/>
  <c r="P26" i="11"/>
  <c r="P25" i="11"/>
  <c r="C1806" i="6"/>
  <c r="B1806" i="6"/>
  <c r="E1806" i="6" l="1"/>
  <c r="H217" i="5"/>
  <c r="H218" i="5"/>
  <c r="H219" i="5"/>
  <c r="H220" i="5"/>
  <c r="H221" i="5"/>
  <c r="H222" i="5"/>
  <c r="H223" i="5"/>
  <c r="C397" i="2"/>
  <c r="G10" i="11"/>
  <c r="F17" i="11" l="1"/>
  <c r="G9" i="11" l="1"/>
  <c r="C394" i="2"/>
  <c r="C391" i="2"/>
  <c r="C390" i="2" l="1"/>
  <c r="G4" i="11" l="1"/>
  <c r="F13" i="11"/>
  <c r="H13" i="11" s="1"/>
  <c r="F16" i="11"/>
  <c r="P17" i="11" l="1"/>
  <c r="C247" i="3"/>
  <c r="C246" i="3"/>
  <c r="C240" i="3"/>
  <c r="C239" i="3"/>
  <c r="C238" i="3"/>
  <c r="C237" i="3"/>
  <c r="C236" i="3"/>
  <c r="C233" i="3"/>
  <c r="C232" i="3"/>
  <c r="C231" i="3"/>
  <c r="C224" i="3"/>
  <c r="C223" i="3"/>
  <c r="C221" i="3"/>
  <c r="C220" i="3"/>
  <c r="C219" i="3"/>
  <c r="C218" i="3"/>
  <c r="C217" i="3"/>
  <c r="C216" i="3"/>
  <c r="C215" i="3"/>
  <c r="C214" i="3"/>
  <c r="C213" i="3"/>
  <c r="C212" i="3"/>
  <c r="C208" i="3"/>
  <c r="C207" i="3"/>
  <c r="C206" i="3"/>
  <c r="C204" i="3"/>
  <c r="C203" i="3"/>
  <c r="C202" i="3"/>
  <c r="C201" i="3"/>
  <c r="C1801" i="6"/>
  <c r="B1801" i="6"/>
  <c r="C424" i="2"/>
  <c r="C423" i="2"/>
  <c r="C385" i="2"/>
  <c r="B1797" i="6"/>
  <c r="C1797" i="6"/>
  <c r="C378" i="2"/>
  <c r="C377" i="2"/>
  <c r="F8" i="11"/>
  <c r="F7" i="11"/>
  <c r="E1797" i="6" l="1"/>
  <c r="E1801" i="6"/>
  <c r="C416" i="2"/>
  <c r="C414" i="2"/>
  <c r="C413" i="2"/>
  <c r="C393" i="2" l="1"/>
  <c r="C403" i="2"/>
  <c r="C402" i="2"/>
  <c r="C401" i="2"/>
  <c r="X83" i="10"/>
  <c r="Y83" i="10"/>
  <c r="Z83" i="10" s="1"/>
  <c r="H83" i="10"/>
  <c r="F85" i="10"/>
  <c r="C1792" i="6"/>
  <c r="P16" i="11" l="1"/>
  <c r="P13" i="11"/>
  <c r="C376" i="2"/>
  <c r="C370" i="2"/>
  <c r="C372" i="2"/>
  <c r="Q96" i="10" l="1"/>
  <c r="Q95" i="10"/>
  <c r="Q94" i="10"/>
  <c r="Q93" i="10"/>
  <c r="Q92" i="10"/>
  <c r="F96" i="10" l="1"/>
  <c r="F95" i="10"/>
  <c r="F94" i="10"/>
  <c r="F93" i="10"/>
  <c r="F92" i="10"/>
  <c r="F6" i="11"/>
  <c r="P7" i="11" l="1"/>
  <c r="P6" i="11"/>
  <c r="B1792" i="6"/>
  <c r="E1792" i="6" l="1"/>
  <c r="G87" i="10" l="1"/>
  <c r="J87" i="10"/>
  <c r="C1779" i="6"/>
  <c r="B1779" i="6"/>
  <c r="C367" i="2"/>
  <c r="P8" i="11"/>
  <c r="C1776" i="6"/>
  <c r="B1776" i="6"/>
  <c r="H210" i="5"/>
  <c r="H211" i="5"/>
  <c r="H212" i="5"/>
  <c r="H213" i="5"/>
  <c r="H214" i="5"/>
  <c r="H215" i="5"/>
  <c r="H216" i="5"/>
  <c r="J84" i="10"/>
  <c r="G84" i="10"/>
  <c r="U84" i="11"/>
  <c r="S84" i="11"/>
  <c r="R84" i="11"/>
  <c r="H84" i="11"/>
  <c r="X83" i="11"/>
  <c r="T83" i="11" s="1"/>
  <c r="Y83" i="11" s="1"/>
  <c r="Z83" i="11" s="1"/>
  <c r="H83" i="11"/>
  <c r="X82" i="11"/>
  <c r="T82" i="11" s="1"/>
  <c r="H82" i="11"/>
  <c r="U79" i="11"/>
  <c r="S79" i="11"/>
  <c r="R79" i="11"/>
  <c r="H79" i="11"/>
  <c r="U78" i="11"/>
  <c r="S78" i="11"/>
  <c r="R78" i="11"/>
  <c r="H78" i="11"/>
  <c r="U77" i="11"/>
  <c r="S77" i="11"/>
  <c r="R77" i="11"/>
  <c r="H77" i="11"/>
  <c r="H48" i="11"/>
  <c r="X75" i="11"/>
  <c r="T75" i="11" s="1"/>
  <c r="Y75" i="11" s="1"/>
  <c r="Z75" i="11" s="1"/>
  <c r="H75" i="11"/>
  <c r="U73" i="11"/>
  <c r="S73" i="11"/>
  <c r="R73" i="11"/>
  <c r="H73" i="11"/>
  <c r="U72" i="11"/>
  <c r="H72" i="11"/>
  <c r="X71" i="11"/>
  <c r="T71" i="11" s="1"/>
  <c r="Y71" i="11" s="1"/>
  <c r="Z71" i="11" s="1"/>
  <c r="H71" i="11"/>
  <c r="X64" i="11"/>
  <c r="T64" i="11" s="1"/>
  <c r="Y64" i="11" s="1"/>
  <c r="Z64" i="11" s="1"/>
  <c r="H64" i="11"/>
  <c r="U69" i="11"/>
  <c r="S69" i="11"/>
  <c r="R69" i="11"/>
  <c r="H69" i="11"/>
  <c r="U68" i="11"/>
  <c r="S68" i="11"/>
  <c r="R68" i="11"/>
  <c r="H68" i="11"/>
  <c r="X67" i="11"/>
  <c r="T67" i="11" s="1"/>
  <c r="Y67" i="11" s="1"/>
  <c r="Z67" i="11" s="1"/>
  <c r="H67" i="11"/>
  <c r="U66" i="11"/>
  <c r="S66" i="11"/>
  <c r="R66" i="11"/>
  <c r="H66" i="11"/>
  <c r="X65" i="11"/>
  <c r="T65" i="11" s="1"/>
  <c r="Y65" i="11" s="1"/>
  <c r="Z65" i="11" s="1"/>
  <c r="H65" i="11"/>
  <c r="U63" i="11"/>
  <c r="S63" i="11"/>
  <c r="R63" i="11"/>
  <c r="H63" i="11"/>
  <c r="X62" i="11"/>
  <c r="T62" i="11" s="1"/>
  <c r="Y62" i="11" s="1"/>
  <c r="Z62" i="11" s="1"/>
  <c r="X61" i="11"/>
  <c r="T61" i="11" s="1"/>
  <c r="Y61" i="11" s="1"/>
  <c r="Z61" i="11" s="1"/>
  <c r="H61" i="11"/>
  <c r="U58" i="11"/>
  <c r="S58" i="11"/>
  <c r="R58" i="11"/>
  <c r="H58" i="11"/>
  <c r="U57" i="11"/>
  <c r="S57" i="11"/>
  <c r="R57" i="11"/>
  <c r="H57" i="11"/>
  <c r="X55" i="11"/>
  <c r="T55" i="11" s="1"/>
  <c r="Y55" i="11" s="1"/>
  <c r="Z55" i="11" s="1"/>
  <c r="H55" i="11"/>
  <c r="X44" i="11"/>
  <c r="T44" i="11" s="1"/>
  <c r="Y44" i="11" s="1"/>
  <c r="Z44" i="11" s="1"/>
  <c r="H44" i="11"/>
  <c r="X46" i="11"/>
  <c r="T46" i="11" s="1"/>
  <c r="Y46" i="11" s="1"/>
  <c r="Z46" i="11" s="1"/>
  <c r="H46" i="11"/>
  <c r="U53" i="11"/>
  <c r="H53" i="11"/>
  <c r="X52" i="11"/>
  <c r="T52" i="11" s="1"/>
  <c r="Y52" i="11" s="1"/>
  <c r="Z52" i="11" s="1"/>
  <c r="H52" i="11"/>
  <c r="U49" i="11"/>
  <c r="H49" i="11"/>
  <c r="X47" i="11"/>
  <c r="T47" i="11" s="1"/>
  <c r="Y47" i="11" s="1"/>
  <c r="Z47" i="11" s="1"/>
  <c r="H47" i="11"/>
  <c r="U45" i="11"/>
  <c r="H45" i="11"/>
  <c r="X43" i="11"/>
  <c r="T43" i="11" s="1"/>
  <c r="Y43" i="11" s="1"/>
  <c r="Z43" i="11" s="1"/>
  <c r="H43" i="11"/>
  <c r="U42" i="11"/>
  <c r="H42" i="11"/>
  <c r="H41" i="11"/>
  <c r="U40" i="11"/>
  <c r="H40" i="11"/>
  <c r="H17" i="11"/>
  <c r="X17" i="11"/>
  <c r="T17" i="11" s="1"/>
  <c r="Y17" i="11" s="1"/>
  <c r="Z17" i="11" s="1"/>
  <c r="E1776" i="6" l="1"/>
  <c r="X77" i="11"/>
  <c r="T77" i="11" s="1"/>
  <c r="Y77" i="11" s="1"/>
  <c r="Z77" i="11" s="1"/>
  <c r="X78" i="11"/>
  <c r="T78" i="11" s="1"/>
  <c r="Y78" i="11" s="1"/>
  <c r="Z78" i="11" s="1"/>
  <c r="X79" i="11"/>
  <c r="T79" i="11" s="1"/>
  <c r="Y79" i="11" s="1"/>
  <c r="Z79" i="11" s="1"/>
  <c r="Y82" i="11"/>
  <c r="Z82" i="11" s="1"/>
  <c r="X84" i="11"/>
  <c r="T84" i="11" s="1"/>
  <c r="Y84" i="11" s="1"/>
  <c r="Z84" i="11" s="1"/>
  <c r="E1779" i="6"/>
  <c r="X48" i="11"/>
  <c r="T48" i="11" s="1"/>
  <c r="Y48" i="11" s="1"/>
  <c r="Z48" i="11" s="1"/>
  <c r="X63" i="11"/>
  <c r="T63" i="11" s="1"/>
  <c r="Y63" i="11" s="1"/>
  <c r="Z63" i="11" s="1"/>
  <c r="X72" i="11"/>
  <c r="T72" i="11" s="1"/>
  <c r="Y72" i="11" s="1"/>
  <c r="Z72" i="11" s="1"/>
  <c r="X73" i="11"/>
  <c r="T73" i="11" s="1"/>
  <c r="Y73" i="11" s="1"/>
  <c r="Z73" i="11" s="1"/>
  <c r="X40" i="11"/>
  <c r="T40" i="11" s="1"/>
  <c r="Y40" i="11" s="1"/>
  <c r="Z40" i="11" s="1"/>
  <c r="X41" i="11"/>
  <c r="X42" i="11"/>
  <c r="T42" i="11" s="1"/>
  <c r="Y42" i="11" s="1"/>
  <c r="Z42" i="11" s="1"/>
  <c r="X49" i="11"/>
  <c r="T49" i="11" s="1"/>
  <c r="Y49" i="11" s="1"/>
  <c r="Z49" i="11" s="1"/>
  <c r="X57" i="11"/>
  <c r="T57" i="11" s="1"/>
  <c r="Y57" i="11" s="1"/>
  <c r="Z57" i="11" s="1"/>
  <c r="X58" i="11"/>
  <c r="T58" i="11" s="1"/>
  <c r="Y58" i="11" s="1"/>
  <c r="Z58" i="11" s="1"/>
  <c r="X68" i="11"/>
  <c r="T68" i="11" s="1"/>
  <c r="Y68" i="11" s="1"/>
  <c r="Z68" i="11" s="1"/>
  <c r="X69" i="11"/>
  <c r="T69" i="11" s="1"/>
  <c r="Y69" i="11" s="1"/>
  <c r="Z69" i="11" s="1"/>
  <c r="X66" i="11"/>
  <c r="T66" i="11" s="1"/>
  <c r="Y66" i="11" s="1"/>
  <c r="Z66" i="11" s="1"/>
  <c r="X45" i="11"/>
  <c r="T45" i="11" s="1"/>
  <c r="Y45" i="11" s="1"/>
  <c r="Z45" i="11" s="1"/>
  <c r="X53" i="11"/>
  <c r="T53" i="11" s="1"/>
  <c r="Y53" i="11" s="1"/>
  <c r="Z53" i="11" s="1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F89" i="10"/>
  <c r="F88" i="10"/>
  <c r="T41" i="11" l="1"/>
  <c r="Y41" i="11" s="1"/>
  <c r="Z41" i="11" s="1"/>
  <c r="P99" i="10"/>
  <c r="C387" i="2" l="1"/>
  <c r="G79" i="10"/>
  <c r="C360" i="2" l="1"/>
  <c r="C1773" i="6" l="1"/>
  <c r="B1773" i="6"/>
  <c r="E1773" i="6" l="1"/>
  <c r="F81" i="10" l="1"/>
  <c r="C1769" i="6" l="1"/>
  <c r="B1769" i="6"/>
  <c r="C392" i="2"/>
  <c r="C389" i="2"/>
  <c r="C388" i="2"/>
  <c r="F72" i="10"/>
  <c r="F71" i="10"/>
  <c r="C364" i="2"/>
  <c r="E1769" i="6" l="1"/>
  <c r="C371" i="2"/>
  <c r="C363" i="2"/>
  <c r="C350" i="2"/>
  <c r="C359" i="2"/>
  <c r="F86" i="10"/>
  <c r="F80" i="10"/>
  <c r="F82" i="10"/>
  <c r="P86" i="10"/>
  <c r="P89" i="10" l="1"/>
  <c r="P88" i="10"/>
  <c r="B1765" i="6"/>
  <c r="C1765" i="6"/>
  <c r="F75" i="10" l="1"/>
  <c r="C351" i="2"/>
  <c r="P85" i="10"/>
  <c r="P81" i="10"/>
  <c r="P80" i="10"/>
  <c r="B1756" i="6" l="1"/>
  <c r="C1756" i="6"/>
  <c r="X53" i="10"/>
  <c r="Y53" i="10"/>
  <c r="Z53" i="10" s="1"/>
  <c r="H53" i="10"/>
  <c r="X39" i="10"/>
  <c r="Y39" i="10"/>
  <c r="F39" i="10"/>
  <c r="H39" i="10" s="1"/>
  <c r="F27" i="10"/>
  <c r="H27" i="10" s="1"/>
  <c r="X27" i="10"/>
  <c r="Y27" i="10"/>
  <c r="E1756" i="6" l="1"/>
  <c r="Z39" i="10"/>
  <c r="Z27" i="10"/>
  <c r="H51" i="10"/>
  <c r="X51" i="10"/>
  <c r="Y51" i="10"/>
  <c r="Z51" i="10" s="1"/>
  <c r="C386" i="2"/>
  <c r="C384" i="2"/>
  <c r="C383" i="2"/>
  <c r="C381" i="2"/>
  <c r="X63" i="10" l="1"/>
  <c r="Y63" i="10"/>
  <c r="Z63" i="10" s="1"/>
  <c r="X64" i="10"/>
  <c r="Y64" i="10"/>
  <c r="Z64" i="10" s="1"/>
  <c r="X65" i="10"/>
  <c r="Y65" i="10"/>
  <c r="Z65" i="10" s="1"/>
  <c r="X66" i="10"/>
  <c r="Y66" i="10"/>
  <c r="Z66" i="10" s="1"/>
  <c r="H63" i="10"/>
  <c r="H64" i="10"/>
  <c r="H65" i="10"/>
  <c r="H66" i="10"/>
  <c r="G67" i="10" l="1"/>
  <c r="H67" i="10" s="1"/>
  <c r="C368" i="2" l="1"/>
  <c r="C366" i="2"/>
  <c r="C365" i="2"/>
  <c r="C362" i="2"/>
  <c r="C361" i="2"/>
  <c r="H92" i="10"/>
  <c r="X92" i="10"/>
  <c r="T92" i="10" s="1"/>
  <c r="Y92" i="10" s="1"/>
  <c r="Z92" i="10" s="1"/>
  <c r="X89" i="10"/>
  <c r="T89" i="10" s="1"/>
  <c r="Y89" i="10" s="1"/>
  <c r="Z89" i="10" s="1"/>
  <c r="H89" i="10"/>
  <c r="P82" i="10"/>
  <c r="G59" i="10"/>
  <c r="C346" i="2" l="1"/>
  <c r="C342" i="2"/>
  <c r="F68" i="10"/>
  <c r="P75" i="10" l="1"/>
  <c r="C291" i="2" l="1"/>
  <c r="G58" i="10" l="1"/>
  <c r="B1750" i="6"/>
  <c r="C1750" i="6"/>
  <c r="C345" i="2"/>
  <c r="F60" i="10"/>
  <c r="F61" i="10"/>
  <c r="F62" i="10"/>
  <c r="P72" i="10"/>
  <c r="E1750" i="6" l="1"/>
  <c r="H307" i="4"/>
  <c r="H308" i="4"/>
  <c r="H309" i="4"/>
  <c r="C330" i="2"/>
  <c r="C336" i="2"/>
  <c r="C337" i="2"/>
  <c r="C331" i="2"/>
  <c r="X96" i="10" l="1"/>
  <c r="T96" i="10" s="1"/>
  <c r="Y96" i="10" s="1"/>
  <c r="Z96" i="10" s="1"/>
  <c r="X95" i="10"/>
  <c r="T95" i="10" s="1"/>
  <c r="Y95" i="10" s="1"/>
  <c r="Z95" i="10" s="1"/>
  <c r="X94" i="10"/>
  <c r="T94" i="10" s="1"/>
  <c r="Y94" i="10" s="1"/>
  <c r="Z94" i="10" s="1"/>
  <c r="X93" i="10"/>
  <c r="T93" i="10" s="1"/>
  <c r="Y93" i="10" s="1"/>
  <c r="Z93" i="10" s="1"/>
  <c r="H93" i="10"/>
  <c r="H94" i="10"/>
  <c r="H95" i="10"/>
  <c r="H96" i="10"/>
  <c r="H80" i="10"/>
  <c r="P71" i="10" l="1"/>
  <c r="P68" i="10"/>
  <c r="C329" i="2"/>
  <c r="F47" i="10"/>
  <c r="C1747" i="6" l="1"/>
  <c r="B1747" i="6"/>
  <c r="E1747" i="6" l="1"/>
  <c r="F48" i="10"/>
  <c r="F52" i="10"/>
  <c r="F54" i="10"/>
  <c r="C321" i="2" l="1"/>
  <c r="B205" i="5"/>
  <c r="P61" i="10"/>
  <c r="P62" i="10"/>
  <c r="P60" i="10"/>
  <c r="C319" i="2"/>
  <c r="G41" i="10" l="1"/>
  <c r="B1741" i="6" l="1"/>
  <c r="C1741" i="6"/>
  <c r="F44" i="10"/>
  <c r="F43" i="10"/>
  <c r="F42" i="10"/>
  <c r="E1741" i="6" l="1"/>
  <c r="C323" i="2"/>
  <c r="G38" i="10"/>
  <c r="P52" i="10" l="1"/>
  <c r="B1736" i="6"/>
  <c r="C1736" i="6"/>
  <c r="E1736" i="6" s="1"/>
  <c r="C358" i="2"/>
  <c r="C354" i="2"/>
  <c r="C353" i="2"/>
  <c r="E35" i="10"/>
  <c r="G35" i="10"/>
  <c r="C317" i="2" l="1"/>
  <c r="C312" i="2"/>
  <c r="P54" i="10"/>
  <c r="P48" i="10"/>
  <c r="C344" i="2" l="1"/>
  <c r="C1728" i="6"/>
  <c r="B1728" i="6"/>
  <c r="C341" i="2"/>
  <c r="C340" i="2"/>
  <c r="C339" i="2"/>
  <c r="C286" i="2"/>
  <c r="F40" i="10"/>
  <c r="C314" i="2"/>
  <c r="G34" i="10"/>
  <c r="F34" i="10"/>
  <c r="E34" i="10"/>
  <c r="X32" i="10"/>
  <c r="Y32" i="10"/>
  <c r="Z32" i="10" s="1"/>
  <c r="H32" i="10"/>
  <c r="F37" i="10"/>
  <c r="C302" i="2"/>
  <c r="C310" i="2"/>
  <c r="E1728" i="6" l="1"/>
  <c r="F36" i="10"/>
  <c r="X38" i="11" l="1"/>
  <c r="T38" i="11" s="1"/>
  <c r="Y38" i="11" s="1"/>
  <c r="Z38" i="11" s="1"/>
  <c r="H38" i="11"/>
  <c r="U37" i="11"/>
  <c r="S37" i="11"/>
  <c r="R37" i="11"/>
  <c r="H37" i="11"/>
  <c r="U36" i="11"/>
  <c r="H36" i="11"/>
  <c r="X34" i="11"/>
  <c r="T34" i="11" s="1"/>
  <c r="H34" i="11"/>
  <c r="U32" i="11"/>
  <c r="S32" i="11"/>
  <c r="R32" i="11"/>
  <c r="H32" i="11"/>
  <c r="U31" i="11"/>
  <c r="S31" i="11"/>
  <c r="R31" i="11"/>
  <c r="H31" i="11"/>
  <c r="X30" i="11"/>
  <c r="T30" i="11" s="1"/>
  <c r="Y30" i="11" s="1"/>
  <c r="Z30" i="11" s="1"/>
  <c r="H30" i="11"/>
  <c r="U29" i="11"/>
  <c r="S29" i="11"/>
  <c r="R29" i="11"/>
  <c r="H29" i="11"/>
  <c r="X28" i="11"/>
  <c r="T28" i="11" s="1"/>
  <c r="H28" i="11"/>
  <c r="U27" i="11"/>
  <c r="S27" i="11"/>
  <c r="R27" i="11"/>
  <c r="H27" i="11"/>
  <c r="X35" i="11"/>
  <c r="T35" i="11" s="1"/>
  <c r="Y35" i="11" s="1"/>
  <c r="Z35" i="11" s="1"/>
  <c r="H35" i="11"/>
  <c r="X26" i="11"/>
  <c r="T26" i="11" s="1"/>
  <c r="H26" i="11"/>
  <c r="X25" i="11"/>
  <c r="T25" i="11" s="1"/>
  <c r="Y25" i="11" s="1"/>
  <c r="Z25" i="11" s="1"/>
  <c r="H25" i="11"/>
  <c r="U24" i="11"/>
  <c r="S24" i="11"/>
  <c r="R24" i="11"/>
  <c r="H24" i="11"/>
  <c r="U23" i="11"/>
  <c r="S23" i="11"/>
  <c r="R23" i="11"/>
  <c r="H23" i="11"/>
  <c r="U22" i="11"/>
  <c r="S22" i="11"/>
  <c r="R22" i="11"/>
  <c r="H22" i="11"/>
  <c r="H20" i="11"/>
  <c r="U19" i="11"/>
  <c r="S19" i="11"/>
  <c r="R19" i="11"/>
  <c r="H19" i="11"/>
  <c r="U18" i="11"/>
  <c r="H18" i="11"/>
  <c r="X16" i="11"/>
  <c r="T16" i="11" s="1"/>
  <c r="H16" i="11"/>
  <c r="U15" i="11"/>
  <c r="S15" i="11"/>
  <c r="R15" i="11"/>
  <c r="H15" i="11"/>
  <c r="U14" i="11"/>
  <c r="S14" i="11"/>
  <c r="R14" i="11"/>
  <c r="H14" i="11"/>
  <c r="U10" i="11"/>
  <c r="S10" i="11"/>
  <c r="R10" i="11"/>
  <c r="H10" i="11"/>
  <c r="U9" i="11"/>
  <c r="S9" i="11"/>
  <c r="R9" i="11"/>
  <c r="H9" i="11"/>
  <c r="H8" i="11"/>
  <c r="X7" i="11"/>
  <c r="T7" i="11" s="1"/>
  <c r="H7" i="11"/>
  <c r="H6" i="11"/>
  <c r="U4" i="11"/>
  <c r="S4" i="11"/>
  <c r="R4" i="11"/>
  <c r="H4" i="11"/>
  <c r="U102" i="10"/>
  <c r="S102" i="10"/>
  <c r="R102" i="10"/>
  <c r="H102" i="10"/>
  <c r="U101" i="10"/>
  <c r="S101" i="10"/>
  <c r="R101" i="10"/>
  <c r="H101" i="10"/>
  <c r="X18" i="11" l="1"/>
  <c r="T18" i="11" s="1"/>
  <c r="Y18" i="11" s="1"/>
  <c r="Z18" i="11" s="1"/>
  <c r="X10" i="11"/>
  <c r="T10" i="11" s="1"/>
  <c r="Y10" i="11" s="1"/>
  <c r="Z10" i="11" s="1"/>
  <c r="X24" i="11"/>
  <c r="T24" i="11" s="1"/>
  <c r="Y24" i="11" s="1"/>
  <c r="Z24" i="11" s="1"/>
  <c r="X27" i="11"/>
  <c r="T27" i="11" s="1"/>
  <c r="Y27" i="11" s="1"/>
  <c r="Z27" i="11" s="1"/>
  <c r="Y28" i="11"/>
  <c r="Z28" i="11" s="1"/>
  <c r="X4" i="11"/>
  <c r="T4" i="11" s="1"/>
  <c r="Y4" i="11" s="1"/>
  <c r="Z4" i="11" s="1"/>
  <c r="Y16" i="11"/>
  <c r="Z16" i="11" s="1"/>
  <c r="X19" i="11"/>
  <c r="T19" i="11" s="1"/>
  <c r="Y19" i="11" s="1"/>
  <c r="Z19" i="11" s="1"/>
  <c r="Y26" i="11"/>
  <c r="Z26" i="11" s="1"/>
  <c r="X31" i="11"/>
  <c r="T31" i="11" s="1"/>
  <c r="Y31" i="11" s="1"/>
  <c r="Z31" i="11" s="1"/>
  <c r="X32" i="11"/>
  <c r="T32" i="11" s="1"/>
  <c r="Y32" i="11" s="1"/>
  <c r="Z32" i="11" s="1"/>
  <c r="Y34" i="11"/>
  <c r="Z34" i="11" s="1"/>
  <c r="X36" i="11"/>
  <c r="T36" i="11" s="1"/>
  <c r="Y36" i="11" s="1"/>
  <c r="Z36" i="11" s="1"/>
  <c r="X22" i="11"/>
  <c r="T22" i="11" s="1"/>
  <c r="Y22" i="11" s="1"/>
  <c r="Z22" i="11" s="1"/>
  <c r="X23" i="11"/>
  <c r="T23" i="11" s="1"/>
  <c r="Y23" i="11" s="1"/>
  <c r="Z23" i="11" s="1"/>
  <c r="X29" i="11"/>
  <c r="T29" i="11" s="1"/>
  <c r="Y29" i="11" s="1"/>
  <c r="Z29" i="11" s="1"/>
  <c r="X37" i="11"/>
  <c r="T37" i="11" s="1"/>
  <c r="Y37" i="11" s="1"/>
  <c r="Z37" i="11" s="1"/>
  <c r="Y7" i="11"/>
  <c r="Z7" i="11" s="1"/>
  <c r="X6" i="11"/>
  <c r="T6" i="11" s="1"/>
  <c r="Y6" i="11" s="1"/>
  <c r="Z6" i="11" s="1"/>
  <c r="X8" i="11"/>
  <c r="T8" i="11" s="1"/>
  <c r="Y8" i="11" s="1"/>
  <c r="Z8" i="11" s="1"/>
  <c r="X9" i="11"/>
  <c r="T9" i="11" s="1"/>
  <c r="Y9" i="11" s="1"/>
  <c r="Z9" i="11" s="1"/>
  <c r="X13" i="11"/>
  <c r="T13" i="11" s="1"/>
  <c r="Y13" i="11" s="1"/>
  <c r="Z13" i="11" s="1"/>
  <c r="X14" i="11"/>
  <c r="T14" i="11" s="1"/>
  <c r="Y14" i="11" s="1"/>
  <c r="Z14" i="11" s="1"/>
  <c r="X15" i="11"/>
  <c r="T15" i="11" s="1"/>
  <c r="Y15" i="11" s="1"/>
  <c r="Z15" i="11" s="1"/>
  <c r="X20" i="11"/>
  <c r="T20" i="11" s="1"/>
  <c r="Y20" i="11" s="1"/>
  <c r="Z20" i="11" s="1"/>
  <c r="X101" i="10"/>
  <c r="T101" i="10" s="1"/>
  <c r="Y101" i="10" s="1"/>
  <c r="Z101" i="10" s="1"/>
  <c r="X102" i="10"/>
  <c r="T102" i="10" s="1"/>
  <c r="Y102" i="10" s="1"/>
  <c r="Z102" i="10" s="1"/>
  <c r="P42" i="10"/>
  <c r="P43" i="10"/>
  <c r="P47" i="10"/>
  <c r="B1723" i="6" l="1"/>
  <c r="C1723" i="6"/>
  <c r="E1723" i="6" l="1"/>
  <c r="F31" i="10" l="1"/>
  <c r="P37" i="10" l="1"/>
  <c r="P40" i="10"/>
  <c r="P36" i="10"/>
  <c r="G23" i="10" l="1"/>
  <c r="F28" i="10"/>
  <c r="R99" i="10" l="1"/>
  <c r="X99" i="10" s="1"/>
  <c r="T99" i="10" s="1"/>
  <c r="Y99" i="10" s="1"/>
  <c r="Z99" i="10" s="1"/>
  <c r="H99" i="10"/>
  <c r="U98" i="10"/>
  <c r="S98" i="10"/>
  <c r="R98" i="10"/>
  <c r="H98" i="10"/>
  <c r="U97" i="10"/>
  <c r="H97" i="10"/>
  <c r="X82" i="10"/>
  <c r="T82" i="10" s="1"/>
  <c r="Y82" i="10" s="1"/>
  <c r="Z82" i="10" s="1"/>
  <c r="H82" i="10"/>
  <c r="X86" i="10"/>
  <c r="T86" i="10" s="1"/>
  <c r="Y86" i="10" s="1"/>
  <c r="Z86" i="10" s="1"/>
  <c r="H86" i="10"/>
  <c r="U91" i="10"/>
  <c r="S91" i="10"/>
  <c r="R91" i="10"/>
  <c r="H91" i="10"/>
  <c r="U90" i="10"/>
  <c r="S90" i="10"/>
  <c r="R90" i="10"/>
  <c r="H90" i="10"/>
  <c r="R88" i="10"/>
  <c r="X88" i="10" s="1"/>
  <c r="T88" i="10" s="1"/>
  <c r="Y88" i="10" s="1"/>
  <c r="Z88" i="10" s="1"/>
  <c r="H88" i="10"/>
  <c r="U87" i="10"/>
  <c r="S87" i="10"/>
  <c r="R87" i="10"/>
  <c r="H87" i="10"/>
  <c r="X85" i="10"/>
  <c r="T85" i="10" s="1"/>
  <c r="Y85" i="10" s="1"/>
  <c r="Z85" i="10" s="1"/>
  <c r="H85" i="10"/>
  <c r="U84" i="10"/>
  <c r="S84" i="10"/>
  <c r="R84" i="10"/>
  <c r="H84" i="10"/>
  <c r="X81" i="10"/>
  <c r="T81" i="10" s="1"/>
  <c r="Y81" i="10" s="1"/>
  <c r="Z81" i="10" s="1"/>
  <c r="H81" i="10"/>
  <c r="X80" i="10"/>
  <c r="T80" i="10" s="1"/>
  <c r="Y80" i="10" s="1"/>
  <c r="Z80" i="10" s="1"/>
  <c r="U79" i="10"/>
  <c r="S79" i="10"/>
  <c r="R79" i="10"/>
  <c r="H79" i="10"/>
  <c r="U78" i="10"/>
  <c r="S78" i="10"/>
  <c r="R78" i="10"/>
  <c r="H78" i="10"/>
  <c r="U77" i="10"/>
  <c r="S77" i="10"/>
  <c r="R77" i="10"/>
  <c r="H77" i="10"/>
  <c r="X75" i="10"/>
  <c r="T75" i="10" s="1"/>
  <c r="H75" i="10"/>
  <c r="U74" i="10"/>
  <c r="S74" i="10"/>
  <c r="R74" i="10"/>
  <c r="H74" i="10"/>
  <c r="U73" i="10"/>
  <c r="H73" i="10"/>
  <c r="X72" i="10"/>
  <c r="T72" i="10" s="1"/>
  <c r="Y72" i="10" s="1"/>
  <c r="Z72" i="10" s="1"/>
  <c r="H72" i="10"/>
  <c r="X71" i="10"/>
  <c r="T71" i="10" s="1"/>
  <c r="H71" i="10"/>
  <c r="U70" i="10"/>
  <c r="S70" i="10"/>
  <c r="R70" i="10"/>
  <c r="H70" i="10"/>
  <c r="U69" i="10"/>
  <c r="S69" i="10"/>
  <c r="R69" i="10"/>
  <c r="H69" i="10"/>
  <c r="X68" i="10"/>
  <c r="T68" i="10" s="1"/>
  <c r="Y68" i="10" s="1"/>
  <c r="Z68" i="10" s="1"/>
  <c r="H68" i="10"/>
  <c r="U67" i="10"/>
  <c r="S67" i="10"/>
  <c r="R67" i="10"/>
  <c r="H62" i="10"/>
  <c r="U59" i="10"/>
  <c r="S59" i="10"/>
  <c r="R59" i="10"/>
  <c r="H59" i="10"/>
  <c r="X61" i="10"/>
  <c r="T61" i="10" s="1"/>
  <c r="Y61" i="10" s="1"/>
  <c r="Z61" i="10" s="1"/>
  <c r="H61" i="10"/>
  <c r="X60" i="10"/>
  <c r="T60" i="10" s="1"/>
  <c r="H60" i="10"/>
  <c r="U58" i="10"/>
  <c r="S58" i="10"/>
  <c r="R58" i="10"/>
  <c r="H58" i="10"/>
  <c r="U57" i="10"/>
  <c r="S57" i="10"/>
  <c r="R57" i="10"/>
  <c r="H57" i="10"/>
  <c r="U56" i="10"/>
  <c r="S56" i="10"/>
  <c r="R56" i="10"/>
  <c r="H56" i="10"/>
  <c r="H54" i="10"/>
  <c r="X44" i="10"/>
  <c r="T44" i="10" s="1"/>
  <c r="Y44" i="10" s="1"/>
  <c r="Z44" i="10" s="1"/>
  <c r="H44" i="10"/>
  <c r="X43" i="10"/>
  <c r="T43" i="10" s="1"/>
  <c r="H43" i="10"/>
  <c r="X59" i="10" l="1"/>
  <c r="T59" i="10" s="1"/>
  <c r="Y59" i="10" s="1"/>
  <c r="Z59" i="10" s="1"/>
  <c r="X73" i="10"/>
  <c r="T73" i="10" s="1"/>
  <c r="Y73" i="10" s="1"/>
  <c r="Z73" i="10" s="1"/>
  <c r="X74" i="10"/>
  <c r="T74" i="10" s="1"/>
  <c r="Y74" i="10" s="1"/>
  <c r="Z74" i="10" s="1"/>
  <c r="X77" i="10"/>
  <c r="T77" i="10" s="1"/>
  <c r="Y77" i="10" s="1"/>
  <c r="Z77" i="10" s="1"/>
  <c r="X78" i="10"/>
  <c r="T78" i="10" s="1"/>
  <c r="Y78" i="10" s="1"/>
  <c r="Z78" i="10" s="1"/>
  <c r="X79" i="10"/>
  <c r="T79" i="10" s="1"/>
  <c r="Y79" i="10" s="1"/>
  <c r="Z79" i="10" s="1"/>
  <c r="X90" i="10"/>
  <c r="T90" i="10" s="1"/>
  <c r="Y90" i="10" s="1"/>
  <c r="Z90" i="10" s="1"/>
  <c r="X91" i="10"/>
  <c r="T91" i="10" s="1"/>
  <c r="Y91" i="10" s="1"/>
  <c r="Z91" i="10" s="1"/>
  <c r="X84" i="10"/>
  <c r="T84" i="10" s="1"/>
  <c r="Y84" i="10" s="1"/>
  <c r="Z84" i="10" s="1"/>
  <c r="X87" i="10"/>
  <c r="T87" i="10" s="1"/>
  <c r="Y87" i="10" s="1"/>
  <c r="Z87" i="10" s="1"/>
  <c r="X97" i="10"/>
  <c r="T97" i="10" s="1"/>
  <c r="Y97" i="10" s="1"/>
  <c r="Z97" i="10" s="1"/>
  <c r="X98" i="10"/>
  <c r="T98" i="10" s="1"/>
  <c r="Y98" i="10" s="1"/>
  <c r="Z98" i="10" s="1"/>
  <c r="X56" i="10"/>
  <c r="T56" i="10" s="1"/>
  <c r="Y56" i="10" s="1"/>
  <c r="Z56" i="10" s="1"/>
  <c r="X58" i="10"/>
  <c r="T58" i="10" s="1"/>
  <c r="Y58" i="10" s="1"/>
  <c r="Z58" i="10" s="1"/>
  <c r="X62" i="10"/>
  <c r="T62" i="10" s="1"/>
  <c r="Y62" i="10" s="1"/>
  <c r="Z62" i="10" s="1"/>
  <c r="X69" i="10"/>
  <c r="T69" i="10" s="1"/>
  <c r="Y69" i="10" s="1"/>
  <c r="Z69" i="10" s="1"/>
  <c r="X70" i="10"/>
  <c r="T70" i="10" s="1"/>
  <c r="Y70" i="10" s="1"/>
  <c r="Z70" i="10" s="1"/>
  <c r="Y71" i="10"/>
  <c r="Z71" i="10" s="1"/>
  <c r="X57" i="10"/>
  <c r="T57" i="10" s="1"/>
  <c r="Y57" i="10" s="1"/>
  <c r="Z57" i="10" s="1"/>
  <c r="Y60" i="10"/>
  <c r="Z60" i="10" s="1"/>
  <c r="Y75" i="10"/>
  <c r="Z75" i="10" s="1"/>
  <c r="X67" i="10"/>
  <c r="T67" i="10" s="1"/>
  <c r="Y67" i="10" s="1"/>
  <c r="Z67" i="10" s="1"/>
  <c r="X54" i="10"/>
  <c r="T54" i="10" s="1"/>
  <c r="Y54" i="10" s="1"/>
  <c r="Z54" i="10" s="1"/>
  <c r="Y43" i="10"/>
  <c r="Z43" i="10" s="1"/>
  <c r="C1719" i="6"/>
  <c r="B1719" i="6"/>
  <c r="E1719" i="6" l="1"/>
  <c r="C334" i="2"/>
  <c r="G20" i="10" l="1"/>
  <c r="P31" i="10" l="1"/>
  <c r="X17" i="10" l="1"/>
  <c r="Y17" i="10"/>
  <c r="F17" i="10"/>
  <c r="H17" i="10" s="1"/>
  <c r="X9" i="10"/>
  <c r="Y9" i="10"/>
  <c r="Z9" i="10" s="1"/>
  <c r="H9" i="10"/>
  <c r="H11" i="10"/>
  <c r="H12" i="10"/>
  <c r="H13" i="10"/>
  <c r="X11" i="10"/>
  <c r="Y11" i="10"/>
  <c r="Z11" i="10" s="1"/>
  <c r="X12" i="10"/>
  <c r="Y12" i="10"/>
  <c r="Z12" i="10" s="1"/>
  <c r="X13" i="10"/>
  <c r="Y13" i="10"/>
  <c r="Z13" i="10" s="1"/>
  <c r="F24" i="10"/>
  <c r="Z17" i="10" l="1"/>
  <c r="F22" i="10"/>
  <c r="F21" i="10"/>
  <c r="P28" i="10"/>
  <c r="C333" i="2"/>
  <c r="G16" i="10"/>
  <c r="X90" i="8" l="1"/>
  <c r="Y90" i="8"/>
  <c r="Z90" i="8" s="1"/>
  <c r="H90" i="8"/>
  <c r="R50" i="10" l="1"/>
  <c r="R46" i="10"/>
  <c r="R45" i="10"/>
  <c r="R41" i="10"/>
  <c r="R38" i="10"/>
  <c r="R35" i="10"/>
  <c r="R34" i="10"/>
  <c r="R30" i="10"/>
  <c r="R26" i="10"/>
  <c r="R25" i="10"/>
  <c r="R23" i="10"/>
  <c r="R20" i="10"/>
  <c r="R16" i="10"/>
  <c r="R15" i="10"/>
  <c r="B1712" i="6"/>
  <c r="C1712" i="6"/>
  <c r="C332" i="2"/>
  <c r="G15" i="10"/>
  <c r="H89" i="8"/>
  <c r="Y89" i="8"/>
  <c r="Z89" i="8" s="1"/>
  <c r="X89" i="8"/>
  <c r="C288" i="2"/>
  <c r="F19" i="10"/>
  <c r="F18" i="10"/>
  <c r="H18" i="10" s="1"/>
  <c r="E1712" i="6" l="1"/>
  <c r="C293" i="2"/>
  <c r="C298" i="2"/>
  <c r="C289" i="2"/>
  <c r="H204" i="5"/>
  <c r="H205" i="5"/>
  <c r="H206" i="5"/>
  <c r="H207" i="5"/>
  <c r="H208" i="5"/>
  <c r="H209" i="5"/>
  <c r="C284" i="2"/>
  <c r="C275" i="2"/>
  <c r="B1708" i="6"/>
  <c r="C1708" i="6"/>
  <c r="F10" i="10"/>
  <c r="C290" i="2"/>
  <c r="C322" i="2"/>
  <c r="C185" i="3"/>
  <c r="C184" i="3"/>
  <c r="C183" i="3"/>
  <c r="C182" i="3"/>
  <c r="C181" i="3"/>
  <c r="C180" i="3"/>
  <c r="C179" i="3"/>
  <c r="C178" i="3"/>
  <c r="C170" i="3"/>
  <c r="C168" i="3"/>
  <c r="C167" i="3"/>
  <c r="C163" i="3"/>
  <c r="C162" i="3"/>
  <c r="C161" i="3"/>
  <c r="C159" i="3"/>
  <c r="C158" i="3"/>
  <c r="C157" i="3"/>
  <c r="C156" i="3"/>
  <c r="C320" i="2"/>
  <c r="C311" i="2"/>
  <c r="C273" i="2"/>
  <c r="H304" i="4"/>
  <c r="H305" i="4"/>
  <c r="H306" i="4"/>
  <c r="H310" i="4"/>
  <c r="H311" i="4"/>
  <c r="H312" i="4"/>
  <c r="E1708" i="6" l="1"/>
  <c r="P10" i="10"/>
  <c r="X10" i="10" s="1"/>
  <c r="T10" i="10" s="1"/>
  <c r="Y10" i="10" s="1"/>
  <c r="Z10" i="10" s="1"/>
  <c r="H10" i="10"/>
  <c r="U7" i="10"/>
  <c r="S7" i="10"/>
  <c r="R7" i="10"/>
  <c r="H7" i="10"/>
  <c r="U6" i="10"/>
  <c r="H6" i="10"/>
  <c r="P5" i="10"/>
  <c r="F5" i="10"/>
  <c r="H5" i="10" s="1"/>
  <c r="P4" i="10"/>
  <c r="X4" i="10" s="1"/>
  <c r="F4" i="10"/>
  <c r="H4" i="10" s="1"/>
  <c r="H8" i="10"/>
  <c r="X8" i="10"/>
  <c r="Y8" i="10"/>
  <c r="Z8" i="10" s="1"/>
  <c r="P24" i="10"/>
  <c r="P22" i="10"/>
  <c r="P21" i="10"/>
  <c r="P19" i="10"/>
  <c r="P18" i="10"/>
  <c r="E87" i="8"/>
  <c r="G85" i="8"/>
  <c r="T4" i="10" l="1"/>
  <c r="Y4" i="10" s="1"/>
  <c r="Z4" i="10" s="1"/>
  <c r="X6" i="10"/>
  <c r="T6" i="10" s="1"/>
  <c r="Y6" i="10" s="1"/>
  <c r="Z6" i="10" s="1"/>
  <c r="X5" i="10"/>
  <c r="T5" i="10" s="1"/>
  <c r="Y5" i="10" s="1"/>
  <c r="Z5" i="10" s="1"/>
  <c r="X7" i="10"/>
  <c r="T7" i="10" s="1"/>
  <c r="Y7" i="10" s="1"/>
  <c r="Z7" i="10" s="1"/>
  <c r="B1698" i="6" l="1"/>
  <c r="C1698" i="6"/>
  <c r="E1698" i="6" s="1"/>
  <c r="C318" i="2" l="1"/>
  <c r="C274" i="2"/>
  <c r="C313" i="2" l="1"/>
  <c r="G82" i="8"/>
  <c r="F86" i="8"/>
  <c r="C309" i="2" l="1"/>
  <c r="C308" i="2"/>
  <c r="C307" i="2"/>
  <c r="G78" i="8"/>
  <c r="F83" i="8"/>
  <c r="B1693" i="6" l="1"/>
  <c r="C1693" i="6"/>
  <c r="G77" i="8"/>
  <c r="F77" i="8"/>
  <c r="E77" i="8"/>
  <c r="F79" i="8"/>
  <c r="H79" i="8" s="1"/>
  <c r="E1693" i="6" l="1"/>
  <c r="X79" i="8"/>
  <c r="Z79" i="8" s="1"/>
  <c r="F66" i="8"/>
  <c r="Y66" i="8"/>
  <c r="X66" i="8"/>
  <c r="Y59" i="8"/>
  <c r="Z59" i="8" s="1"/>
  <c r="X59" i="8"/>
  <c r="H59" i="8"/>
  <c r="H62" i="8"/>
  <c r="H66" i="8"/>
  <c r="H70" i="8"/>
  <c r="X70" i="8"/>
  <c r="Y70" i="8"/>
  <c r="Z70" i="8" s="1"/>
  <c r="Z66" i="8" l="1"/>
  <c r="C294" i="2"/>
  <c r="C292" i="2"/>
  <c r="C287" i="2"/>
  <c r="C285" i="2"/>
  <c r="C280" i="2"/>
  <c r="C279" i="2"/>
  <c r="C278" i="2"/>
  <c r="C277" i="2"/>
  <c r="B1690" i="6"/>
  <c r="C1690" i="6"/>
  <c r="F80" i="8"/>
  <c r="F84" i="8"/>
  <c r="C264" i="2"/>
  <c r="H19" i="9"/>
  <c r="H20" i="9"/>
  <c r="H21" i="9"/>
  <c r="C269" i="2"/>
  <c r="F81" i="8"/>
  <c r="E1690" i="6" l="1"/>
  <c r="C241" i="2"/>
  <c r="C257" i="2" l="1"/>
  <c r="C256" i="2"/>
  <c r="C1680" i="6"/>
  <c r="B1680" i="6"/>
  <c r="G65" i="8"/>
  <c r="F65" i="8"/>
  <c r="E65" i="8"/>
  <c r="C246" i="2"/>
  <c r="C248" i="2"/>
  <c r="C253" i="2"/>
  <c r="C247" i="2"/>
  <c r="F75" i="8"/>
  <c r="E1680" i="6" l="1"/>
  <c r="H65" i="8"/>
  <c r="P84" i="8"/>
  <c r="P83" i="8"/>
  <c r="P81" i="8"/>
  <c r="P80" i="8"/>
  <c r="F71" i="8" l="1"/>
  <c r="F63" i="8" l="1"/>
  <c r="H63" i="8" s="1"/>
  <c r="F72" i="8"/>
  <c r="C1675" i="6" l="1"/>
  <c r="B1675" i="6"/>
  <c r="C240" i="2"/>
  <c r="P75" i="8"/>
  <c r="F67" i="8"/>
  <c r="C1672" i="6"/>
  <c r="B1672" i="6"/>
  <c r="G57" i="8"/>
  <c r="F57" i="8"/>
  <c r="E57" i="8"/>
  <c r="C242" i="2"/>
  <c r="C234" i="2"/>
  <c r="H299" i="4"/>
  <c r="H300" i="4"/>
  <c r="E1675" i="6" l="1"/>
  <c r="E1672" i="6"/>
  <c r="P72" i="8"/>
  <c r="C231" i="2"/>
  <c r="F64" i="8"/>
  <c r="H64" i="8" s="1"/>
  <c r="P64" i="8" l="1"/>
  <c r="F60" i="8"/>
  <c r="H60" i="8" s="1"/>
  <c r="F61" i="8"/>
  <c r="H61" i="8" s="1"/>
  <c r="C1669" i="6" l="1"/>
  <c r="B1669" i="6"/>
  <c r="H58" i="8"/>
  <c r="X58" i="8"/>
  <c r="Y58" i="8"/>
  <c r="Z58" i="8" s="1"/>
  <c r="F30" i="8"/>
  <c r="E1669" i="6" l="1"/>
  <c r="C266" i="2"/>
  <c r="C265" i="2"/>
  <c r="F52" i="8"/>
  <c r="E52" i="8"/>
  <c r="C235" i="2"/>
  <c r="C260" i="2"/>
  <c r="C261" i="2"/>
  <c r="C259" i="2"/>
  <c r="C255" i="2"/>
  <c r="C254" i="2"/>
  <c r="C251" i="2"/>
  <c r="G52" i="8"/>
  <c r="P71" i="8" l="1"/>
  <c r="P67" i="8"/>
  <c r="F53" i="8" l="1"/>
  <c r="C229" i="2" l="1"/>
  <c r="C227" i="2"/>
  <c r="P63" i="8"/>
  <c r="P61" i="8"/>
  <c r="P60" i="8"/>
  <c r="H48" i="8" l="1"/>
  <c r="X48" i="8"/>
  <c r="Y48" i="8"/>
  <c r="Z48" i="8" s="1"/>
  <c r="C1663" i="6"/>
  <c r="B1663" i="6"/>
  <c r="E1663" i="6" l="1"/>
  <c r="C219" i="2"/>
  <c r="C218" i="2"/>
  <c r="H8" i="9"/>
  <c r="H9" i="9"/>
  <c r="H10" i="9"/>
  <c r="H11" i="9"/>
  <c r="H12" i="9"/>
  <c r="H13" i="9"/>
  <c r="H14" i="9"/>
  <c r="H15" i="9"/>
  <c r="H16" i="9"/>
  <c r="H17" i="9"/>
  <c r="H18" i="9"/>
  <c r="G44" i="8" l="1"/>
  <c r="F50" i="8"/>
  <c r="Y41" i="8" l="1"/>
  <c r="Z41" i="8" s="1"/>
  <c r="X41" i="8"/>
  <c r="H41" i="8"/>
  <c r="Y40" i="8"/>
  <c r="Z40" i="8" s="1"/>
  <c r="X40" i="8"/>
  <c r="H40" i="8"/>
  <c r="Y30" i="8"/>
  <c r="Z30" i="8" s="1"/>
  <c r="X30" i="8"/>
  <c r="H30" i="8"/>
  <c r="H23" i="8"/>
  <c r="H24" i="8"/>
  <c r="H25" i="8"/>
  <c r="X25" i="8"/>
  <c r="Y25" i="8"/>
  <c r="Z25" i="8" s="1"/>
  <c r="X24" i="8"/>
  <c r="Y24" i="8"/>
  <c r="Z24" i="8" s="1"/>
  <c r="C250" i="2"/>
  <c r="C249" i="2"/>
  <c r="C228" i="2"/>
  <c r="F49" i="8"/>
  <c r="F45" i="8"/>
  <c r="P53" i="8" l="1"/>
  <c r="C1659" i="6"/>
  <c r="B1659" i="6"/>
  <c r="G35" i="8"/>
  <c r="F42" i="8"/>
  <c r="F43" i="8"/>
  <c r="C217" i="2"/>
  <c r="C212" i="2"/>
  <c r="E1659" i="6" l="1"/>
  <c r="C211" i="2"/>
  <c r="C207" i="2"/>
  <c r="H296" i="4"/>
  <c r="H297" i="4"/>
  <c r="C206" i="2"/>
  <c r="P50" i="8" l="1"/>
  <c r="R39" i="8"/>
  <c r="S39" i="8"/>
  <c r="U39" i="8"/>
  <c r="H39" i="8"/>
  <c r="X39" i="8" l="1"/>
  <c r="T39" i="8" s="1"/>
  <c r="Y39" i="8" s="1"/>
  <c r="Z39" i="8" s="1"/>
  <c r="C1650" i="6"/>
  <c r="B1650" i="6"/>
  <c r="F36" i="8"/>
  <c r="F37" i="8" l="1"/>
  <c r="C199" i="2"/>
  <c r="C208" i="2" l="1"/>
  <c r="C239" i="2"/>
  <c r="C238" i="2"/>
  <c r="C232" i="2"/>
  <c r="C230" i="2"/>
  <c r="H52" i="10"/>
  <c r="U50" i="10"/>
  <c r="S50" i="10"/>
  <c r="H50" i="10"/>
  <c r="U49" i="10"/>
  <c r="H49" i="10"/>
  <c r="X48" i="10"/>
  <c r="T48" i="10" s="1"/>
  <c r="Y48" i="10" s="1"/>
  <c r="Z48" i="10" s="1"/>
  <c r="H48" i="10"/>
  <c r="H47" i="10"/>
  <c r="U46" i="10"/>
  <c r="S46" i="10"/>
  <c r="H46" i="10"/>
  <c r="U45" i="10"/>
  <c r="S45" i="10"/>
  <c r="H45" i="10"/>
  <c r="X42" i="10"/>
  <c r="T42" i="10" s="1"/>
  <c r="Y42" i="10" s="1"/>
  <c r="Z42" i="10" s="1"/>
  <c r="H42" i="10"/>
  <c r="U41" i="10"/>
  <c r="S41" i="10"/>
  <c r="H41" i="10"/>
  <c r="X40" i="10"/>
  <c r="T40" i="10" s="1"/>
  <c r="Y40" i="10" s="1"/>
  <c r="Z40" i="10" s="1"/>
  <c r="H40" i="10"/>
  <c r="U38" i="10"/>
  <c r="S38" i="10"/>
  <c r="H38" i="10"/>
  <c r="H37" i="10"/>
  <c r="X36" i="10"/>
  <c r="T36" i="10" s="1"/>
  <c r="Y36" i="10" s="1"/>
  <c r="Z36" i="10" s="1"/>
  <c r="H36" i="10"/>
  <c r="U35" i="10"/>
  <c r="S35" i="10"/>
  <c r="H35" i="10"/>
  <c r="U34" i="10"/>
  <c r="S34" i="10"/>
  <c r="H34" i="10"/>
  <c r="H31" i="10"/>
  <c r="U30" i="10"/>
  <c r="S30" i="10"/>
  <c r="H30" i="10"/>
  <c r="U29" i="10"/>
  <c r="H29" i="10"/>
  <c r="X28" i="10"/>
  <c r="T28" i="10" s="1"/>
  <c r="Y28" i="10" s="1"/>
  <c r="Z28" i="10" s="1"/>
  <c r="H28" i="10"/>
  <c r="U26" i="10"/>
  <c r="S26" i="10"/>
  <c r="H26" i="10"/>
  <c r="U25" i="10"/>
  <c r="S25" i="10"/>
  <c r="H25" i="10"/>
  <c r="X24" i="10"/>
  <c r="T24" i="10" s="1"/>
  <c r="H24" i="10"/>
  <c r="U23" i="10"/>
  <c r="S23" i="10"/>
  <c r="H23" i="10"/>
  <c r="X22" i="10"/>
  <c r="T22" i="10" s="1"/>
  <c r="Y22" i="10" s="1"/>
  <c r="Z22" i="10" s="1"/>
  <c r="H22" i="10"/>
  <c r="H21" i="10"/>
  <c r="U20" i="10"/>
  <c r="S20" i="10"/>
  <c r="H20" i="10"/>
  <c r="X19" i="10"/>
  <c r="T19" i="10" s="1"/>
  <c r="Y19" i="10" s="1"/>
  <c r="Z19" i="10" s="1"/>
  <c r="H19" i="10"/>
  <c r="X18" i="10"/>
  <c r="T18" i="10" s="1"/>
  <c r="U16" i="10"/>
  <c r="S16" i="10"/>
  <c r="H16" i="10"/>
  <c r="U15" i="10"/>
  <c r="S15" i="10"/>
  <c r="H15" i="10"/>
  <c r="X20" i="10" l="1"/>
  <c r="T20" i="10" s="1"/>
  <c r="Y20" i="10" s="1"/>
  <c r="Z20" i="10" s="1"/>
  <c r="X23" i="10"/>
  <c r="T23" i="10" s="1"/>
  <c r="Y23" i="10" s="1"/>
  <c r="Z23" i="10" s="1"/>
  <c r="Y24" i="10"/>
  <c r="Z24" i="10" s="1"/>
  <c r="X15" i="10"/>
  <c r="T15" i="10" s="1"/>
  <c r="Y15" i="10" s="1"/>
  <c r="Z15" i="10" s="1"/>
  <c r="X16" i="10"/>
  <c r="T16" i="10" s="1"/>
  <c r="Y16" i="10" s="1"/>
  <c r="Z16" i="10" s="1"/>
  <c r="Y18" i="10"/>
  <c r="Z18" i="10" s="1"/>
  <c r="X21" i="10"/>
  <c r="T21" i="10" s="1"/>
  <c r="Y21" i="10" s="1"/>
  <c r="Z21" i="10" s="1"/>
  <c r="X45" i="10"/>
  <c r="T45" i="10" s="1"/>
  <c r="Y45" i="10" s="1"/>
  <c r="Z45" i="10" s="1"/>
  <c r="X46" i="10"/>
  <c r="T46" i="10" s="1"/>
  <c r="Y46" i="10" s="1"/>
  <c r="Z46" i="10" s="1"/>
  <c r="X49" i="10"/>
  <c r="T49" i="10" s="1"/>
  <c r="Y49" i="10" s="1"/>
  <c r="Z49" i="10" s="1"/>
  <c r="X50" i="10"/>
  <c r="T50" i="10" s="1"/>
  <c r="Y50" i="10" s="1"/>
  <c r="Z50" i="10" s="1"/>
  <c r="X34" i="10"/>
  <c r="T34" i="10" s="1"/>
  <c r="Y34" i="10" s="1"/>
  <c r="Z34" i="10" s="1"/>
  <c r="X35" i="10"/>
  <c r="X37" i="10"/>
  <c r="T37" i="10" s="1"/>
  <c r="Y37" i="10" s="1"/>
  <c r="Z37" i="10" s="1"/>
  <c r="X38" i="10"/>
  <c r="T38" i="10" s="1"/>
  <c r="Y38" i="10" s="1"/>
  <c r="Z38" i="10" s="1"/>
  <c r="X41" i="10"/>
  <c r="T41" i="10" s="1"/>
  <c r="Y41" i="10" s="1"/>
  <c r="Z41" i="10" s="1"/>
  <c r="X47" i="10"/>
  <c r="T47" i="10" s="1"/>
  <c r="Y47" i="10" s="1"/>
  <c r="Z47" i="10" s="1"/>
  <c r="X52" i="10"/>
  <c r="T52" i="10" s="1"/>
  <c r="Y52" i="10" s="1"/>
  <c r="Z52" i="10" s="1"/>
  <c r="X25" i="10"/>
  <c r="T25" i="10" s="1"/>
  <c r="Y25" i="10" s="1"/>
  <c r="Z25" i="10" s="1"/>
  <c r="X26" i="10"/>
  <c r="T26" i="10" s="1"/>
  <c r="Y26" i="10" s="1"/>
  <c r="Z26" i="10" s="1"/>
  <c r="X29" i="10"/>
  <c r="T29" i="10" s="1"/>
  <c r="X30" i="10"/>
  <c r="T30" i="10" s="1"/>
  <c r="Y30" i="10" s="1"/>
  <c r="Z30" i="10" s="1"/>
  <c r="X31" i="10"/>
  <c r="T31" i="10" s="1"/>
  <c r="Y31" i="10" s="1"/>
  <c r="Z31" i="10" s="1"/>
  <c r="T35" i="10" l="1"/>
  <c r="Y35" i="10" s="1"/>
  <c r="Z35" i="10" s="1"/>
  <c r="Y29" i="10"/>
  <c r="Z29" i="10" s="1"/>
  <c r="C225" i="2"/>
  <c r="C224" i="2"/>
  <c r="C223" i="2"/>
  <c r="C222" i="2"/>
  <c r="P49" i="8"/>
  <c r="P45" i="8"/>
  <c r="C200" i="2" l="1"/>
  <c r="I5" i="9"/>
  <c r="C192" i="2"/>
  <c r="H6" i="9"/>
  <c r="H7" i="9"/>
  <c r="H5" i="9"/>
  <c r="C190" i="2"/>
  <c r="I6" i="9" l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F31" i="8"/>
  <c r="X7" i="8" l="1"/>
  <c r="Y7" i="8"/>
  <c r="Z7" i="8" s="1"/>
  <c r="H7" i="8"/>
  <c r="H15" i="8"/>
  <c r="X15" i="8"/>
  <c r="Y15" i="8"/>
  <c r="Z15" i="8" s="1"/>
  <c r="P43" i="8"/>
  <c r="P42" i="8"/>
  <c r="P37" i="8"/>
  <c r="P36" i="8"/>
  <c r="P31" i="8"/>
  <c r="C191" i="2" l="1"/>
  <c r="P27" i="8"/>
  <c r="P26" i="8"/>
  <c r="F27" i="8"/>
  <c r="G20" i="8"/>
  <c r="F20" i="8"/>
  <c r="E20" i="8"/>
  <c r="C1644" i="6" l="1"/>
  <c r="B1644" i="6"/>
  <c r="E1644" i="6" l="1"/>
  <c r="G14" i="8"/>
  <c r="R88" i="8"/>
  <c r="R87" i="8"/>
  <c r="R85" i="8"/>
  <c r="R82" i="8"/>
  <c r="R74" i="8"/>
  <c r="R69" i="8"/>
  <c r="R68" i="8"/>
  <c r="R65" i="8"/>
  <c r="R62" i="8"/>
  <c r="F26" i="8"/>
  <c r="C182" i="2"/>
  <c r="C187" i="2"/>
  <c r="B1641" i="6" l="1"/>
  <c r="C1641" i="6"/>
  <c r="F21" i="8"/>
  <c r="B1638" i="6"/>
  <c r="C1638" i="6"/>
  <c r="F17" i="8"/>
  <c r="F16" i="8"/>
  <c r="C183" i="2"/>
  <c r="C179" i="2"/>
  <c r="P17" i="8"/>
  <c r="P16" i="8"/>
  <c r="F19" i="8"/>
  <c r="F18" i="8"/>
  <c r="G13" i="8"/>
  <c r="F13" i="8"/>
  <c r="E13" i="8"/>
  <c r="E1638" i="6" l="1"/>
  <c r="E1641" i="6"/>
  <c r="H77" i="8"/>
  <c r="U88" i="8"/>
  <c r="S88" i="8"/>
  <c r="H88" i="8"/>
  <c r="U87" i="8"/>
  <c r="S87" i="8"/>
  <c r="H87" i="8"/>
  <c r="X86" i="8"/>
  <c r="T86" i="8" s="1"/>
  <c r="H86" i="8"/>
  <c r="U85" i="8"/>
  <c r="S85" i="8"/>
  <c r="H85" i="8"/>
  <c r="H84" i="8"/>
  <c r="X83" i="8"/>
  <c r="T83" i="8" s="1"/>
  <c r="Y83" i="8" s="1"/>
  <c r="Z83" i="8" s="1"/>
  <c r="H83" i="8"/>
  <c r="U82" i="8"/>
  <c r="S82" i="8"/>
  <c r="H82" i="8"/>
  <c r="H81" i="8"/>
  <c r="X80" i="8"/>
  <c r="T80" i="8" s="1"/>
  <c r="H80" i="8"/>
  <c r="U78" i="8"/>
  <c r="S78" i="8"/>
  <c r="R78" i="8"/>
  <c r="H78" i="8"/>
  <c r="U77" i="8"/>
  <c r="S77" i="8"/>
  <c r="R77" i="8"/>
  <c r="H75" i="8"/>
  <c r="U74" i="8"/>
  <c r="S74" i="8"/>
  <c r="H74" i="8"/>
  <c r="U73" i="8"/>
  <c r="H73" i="8"/>
  <c r="X72" i="8"/>
  <c r="T72" i="8" s="1"/>
  <c r="Y72" i="8" s="1"/>
  <c r="Z72" i="8" s="1"/>
  <c r="H72" i="8"/>
  <c r="H71" i="8"/>
  <c r="U69" i="8"/>
  <c r="S69" i="8"/>
  <c r="H69" i="8"/>
  <c r="U68" i="8"/>
  <c r="S68" i="8"/>
  <c r="H68" i="8"/>
  <c r="X67" i="8"/>
  <c r="T67" i="8" s="1"/>
  <c r="H67" i="8"/>
  <c r="U65" i="8"/>
  <c r="S65" i="8"/>
  <c r="X63" i="8"/>
  <c r="T63" i="8" s="1"/>
  <c r="U62" i="8"/>
  <c r="S62" i="8"/>
  <c r="X62" i="8" s="1"/>
  <c r="T62" i="8" s="1"/>
  <c r="X60" i="8"/>
  <c r="T60" i="8" s="1"/>
  <c r="Y60" i="8" s="1"/>
  <c r="Z60" i="8" s="1"/>
  <c r="U57" i="8"/>
  <c r="S57" i="8"/>
  <c r="R57" i="8"/>
  <c r="H57" i="8"/>
  <c r="U56" i="8"/>
  <c r="S56" i="8"/>
  <c r="R56" i="8"/>
  <c r="H56" i="8"/>
  <c r="U55" i="8"/>
  <c r="S55" i="8"/>
  <c r="R55" i="8"/>
  <c r="H55" i="8"/>
  <c r="H294" i="4"/>
  <c r="H295" i="4"/>
  <c r="H298" i="4"/>
  <c r="H301" i="4"/>
  <c r="H302" i="4"/>
  <c r="H303" i="4"/>
  <c r="C178" i="2"/>
  <c r="X65" i="8" l="1"/>
  <c r="T65" i="8" s="1"/>
  <c r="X74" i="8"/>
  <c r="T74" i="8" s="1"/>
  <c r="X68" i="8"/>
  <c r="T68" i="8" s="1"/>
  <c r="Y68" i="8" s="1"/>
  <c r="Z68" i="8" s="1"/>
  <c r="X55" i="8"/>
  <c r="T55" i="8" s="1"/>
  <c r="Y55" i="8" s="1"/>
  <c r="Z55" i="8" s="1"/>
  <c r="X56" i="8"/>
  <c r="T56" i="8" s="1"/>
  <c r="Y56" i="8" s="1"/>
  <c r="Z56" i="8" s="1"/>
  <c r="X57" i="8"/>
  <c r="T57" i="8" s="1"/>
  <c r="Y57" i="8" s="1"/>
  <c r="Z57" i="8" s="1"/>
  <c r="Y65" i="8"/>
  <c r="Z65" i="8" s="1"/>
  <c r="Y62" i="8"/>
  <c r="Z62" i="8" s="1"/>
  <c r="Y80" i="8"/>
  <c r="Z80" i="8" s="1"/>
  <c r="Y86" i="8"/>
  <c r="Z86" i="8" s="1"/>
  <c r="X87" i="8"/>
  <c r="T87" i="8" s="1"/>
  <c r="Y87" i="8" s="1"/>
  <c r="Z87" i="8" s="1"/>
  <c r="X88" i="8"/>
  <c r="T88" i="8" s="1"/>
  <c r="Y88" i="8" s="1"/>
  <c r="Z88" i="8" s="1"/>
  <c r="X77" i="8"/>
  <c r="T77" i="8" s="1"/>
  <c r="X78" i="8"/>
  <c r="T78" i="8" s="1"/>
  <c r="Y78" i="8" s="1"/>
  <c r="Z78" i="8" s="1"/>
  <c r="X81" i="8"/>
  <c r="T81" i="8" s="1"/>
  <c r="Y81" i="8" s="1"/>
  <c r="Z81" i="8" s="1"/>
  <c r="X82" i="8"/>
  <c r="T82" i="8" s="1"/>
  <c r="Y82" i="8" s="1"/>
  <c r="Z82" i="8" s="1"/>
  <c r="X84" i="8"/>
  <c r="T84" i="8" s="1"/>
  <c r="Y84" i="8" s="1"/>
  <c r="Z84" i="8" s="1"/>
  <c r="X85" i="8"/>
  <c r="T85" i="8" s="1"/>
  <c r="Y85" i="8" s="1"/>
  <c r="Z85" i="8" s="1"/>
  <c r="Y63" i="8"/>
  <c r="Z63" i="8" s="1"/>
  <c r="Y67" i="8"/>
  <c r="Z67" i="8" s="1"/>
  <c r="X69" i="8"/>
  <c r="T69" i="8" s="1"/>
  <c r="Y69" i="8" s="1"/>
  <c r="Z69" i="8" s="1"/>
  <c r="X73" i="8"/>
  <c r="Y73" i="8" s="1"/>
  <c r="Z73" i="8" s="1"/>
  <c r="Y74" i="8"/>
  <c r="Z74" i="8" s="1"/>
  <c r="X61" i="8"/>
  <c r="T61" i="8" s="1"/>
  <c r="Y61" i="8" s="1"/>
  <c r="Z61" i="8" s="1"/>
  <c r="X64" i="8"/>
  <c r="T64" i="8" s="1"/>
  <c r="Y64" i="8" s="1"/>
  <c r="Z64" i="8" s="1"/>
  <c r="X71" i="8"/>
  <c r="T71" i="8" s="1"/>
  <c r="Y71" i="8" s="1"/>
  <c r="Z71" i="8" s="1"/>
  <c r="X75" i="8"/>
  <c r="T75" i="8" s="1"/>
  <c r="Y75" i="8" s="1"/>
  <c r="Z75" i="8" s="1"/>
  <c r="C180" i="2"/>
  <c r="P21" i="8"/>
  <c r="Y77" i="8" l="1"/>
  <c r="Z77" i="8" s="1"/>
  <c r="C137" i="3"/>
  <c r="C92" i="3"/>
  <c r="C94" i="3"/>
  <c r="C93" i="3"/>
  <c r="C95" i="3"/>
  <c r="C129" i="3"/>
  <c r="C128" i="3"/>
  <c r="C127" i="3"/>
  <c r="C126" i="3"/>
  <c r="C125" i="3"/>
  <c r="C124" i="3"/>
  <c r="C123" i="3"/>
  <c r="C122" i="3"/>
  <c r="C121" i="3"/>
  <c r="C120" i="3"/>
  <c r="C116" i="3"/>
  <c r="C114" i="3"/>
  <c r="C113" i="3"/>
  <c r="C112" i="3"/>
  <c r="C111" i="3"/>
  <c r="C110" i="3"/>
  <c r="C108" i="3"/>
  <c r="C107" i="3"/>
  <c r="C106" i="3"/>
  <c r="C105" i="3"/>
  <c r="C142" i="3" l="1"/>
  <c r="C143" i="3" s="1"/>
  <c r="C136" i="3"/>
  <c r="C138" i="3" s="1"/>
  <c r="B1630" i="6"/>
  <c r="C1630" i="6"/>
  <c r="E1630" i="6" s="1"/>
  <c r="X103" i="1"/>
  <c r="Y103" i="1"/>
  <c r="Z103" i="1" s="1"/>
  <c r="H103" i="1"/>
  <c r="C213" i="2"/>
  <c r="F8" i="8" l="1"/>
  <c r="H8" i="8" s="1"/>
  <c r="P18" i="8" l="1"/>
  <c r="X18" i="8" s="1"/>
  <c r="T18" i="8" s="1"/>
  <c r="Y18" i="8" s="1"/>
  <c r="Z18" i="8" s="1"/>
  <c r="P9" i="8"/>
  <c r="X9" i="8" s="1"/>
  <c r="F9" i="8"/>
  <c r="H9" i="8" s="1"/>
  <c r="P8" i="8"/>
  <c r="X8" i="8" s="1"/>
  <c r="T8" i="8" s="1"/>
  <c r="S6" i="8"/>
  <c r="R6" i="8"/>
  <c r="H6" i="8"/>
  <c r="U5" i="8"/>
  <c r="X5" i="8" s="1"/>
  <c r="T5" i="8" s="1"/>
  <c r="Y5" i="8" s="1"/>
  <c r="Z5" i="8" s="1"/>
  <c r="H5" i="8"/>
  <c r="X4" i="8"/>
  <c r="F4" i="8"/>
  <c r="H4" i="8" s="1"/>
  <c r="H17" i="8"/>
  <c r="H16" i="8"/>
  <c r="H18" i="8"/>
  <c r="H53" i="8"/>
  <c r="U52" i="8"/>
  <c r="S52" i="8"/>
  <c r="R52" i="8"/>
  <c r="H52" i="8"/>
  <c r="U51" i="8"/>
  <c r="Y51" i="8" s="1"/>
  <c r="H51" i="8"/>
  <c r="X49" i="8"/>
  <c r="T49" i="8" s="1"/>
  <c r="Y49" i="8" s="1"/>
  <c r="Z49" i="8" s="1"/>
  <c r="H49" i="8"/>
  <c r="U47" i="8"/>
  <c r="S47" i="8"/>
  <c r="R47" i="8"/>
  <c r="H47" i="8"/>
  <c r="U46" i="8"/>
  <c r="S46" i="8"/>
  <c r="R46" i="8"/>
  <c r="H46" i="8"/>
  <c r="H50" i="8"/>
  <c r="X45" i="8"/>
  <c r="T45" i="8" s="1"/>
  <c r="Y45" i="8" s="1"/>
  <c r="Z45" i="8" s="1"/>
  <c r="H45" i="8"/>
  <c r="U44" i="8"/>
  <c r="S44" i="8"/>
  <c r="R44" i="8"/>
  <c r="H44" i="8"/>
  <c r="H43" i="8"/>
  <c r="X42" i="8"/>
  <c r="T42" i="8" s="1"/>
  <c r="Y42" i="8" s="1"/>
  <c r="Z42" i="8" s="1"/>
  <c r="H42" i="8"/>
  <c r="U38" i="8"/>
  <c r="S38" i="8"/>
  <c r="R38" i="8"/>
  <c r="H38" i="8"/>
  <c r="H37" i="8"/>
  <c r="X36" i="8"/>
  <c r="T36" i="8" s="1"/>
  <c r="Y36" i="8" s="1"/>
  <c r="Z36" i="8" s="1"/>
  <c r="H36" i="8"/>
  <c r="U35" i="8"/>
  <c r="S35" i="8"/>
  <c r="R35" i="8"/>
  <c r="H35" i="8"/>
  <c r="U34" i="8"/>
  <c r="S34" i="8"/>
  <c r="R34" i="8"/>
  <c r="H34" i="8"/>
  <c r="U33" i="8"/>
  <c r="S33" i="8"/>
  <c r="R33" i="8"/>
  <c r="H33" i="8"/>
  <c r="C169" i="2"/>
  <c r="C210" i="2"/>
  <c r="C209" i="2"/>
  <c r="X16" i="8" l="1"/>
  <c r="T16" i="8" s="1"/>
  <c r="Y16" i="8" s="1"/>
  <c r="Z16" i="8" s="1"/>
  <c r="T9" i="8"/>
  <c r="Y9" i="8" s="1"/>
  <c r="Z9" i="8" s="1"/>
  <c r="X6" i="8"/>
  <c r="T6" i="8" s="1"/>
  <c r="Y6" i="8" s="1"/>
  <c r="Z6" i="8" s="1"/>
  <c r="Y8" i="8"/>
  <c r="Z8" i="8" s="1"/>
  <c r="T4" i="8"/>
  <c r="Y4" i="8" s="1"/>
  <c r="Z4" i="8" s="1"/>
  <c r="X17" i="8"/>
  <c r="T17" i="8" s="1"/>
  <c r="Y17" i="8" s="1"/>
  <c r="Z17" i="8" s="1"/>
  <c r="X51" i="8"/>
  <c r="Z51" i="8" s="1"/>
  <c r="X52" i="8"/>
  <c r="T52" i="8" s="1"/>
  <c r="Y52" i="8" s="1"/>
  <c r="Z52" i="8" s="1"/>
  <c r="X33" i="8"/>
  <c r="T33" i="8" s="1"/>
  <c r="Y33" i="8" s="1"/>
  <c r="Z33" i="8" s="1"/>
  <c r="X34" i="8"/>
  <c r="T34" i="8" s="1"/>
  <c r="Y34" i="8" s="1"/>
  <c r="Z34" i="8" s="1"/>
  <c r="X35" i="8"/>
  <c r="T35" i="8" s="1"/>
  <c r="Y35" i="8" s="1"/>
  <c r="Z35" i="8" s="1"/>
  <c r="X37" i="8"/>
  <c r="T37" i="8" s="1"/>
  <c r="Y37" i="8" s="1"/>
  <c r="Z37" i="8" s="1"/>
  <c r="X38" i="8"/>
  <c r="T38" i="8" s="1"/>
  <c r="Y38" i="8" s="1"/>
  <c r="Z38" i="8" s="1"/>
  <c r="X43" i="8"/>
  <c r="T43" i="8" s="1"/>
  <c r="Y43" i="8" s="1"/>
  <c r="Z43" i="8" s="1"/>
  <c r="X44" i="8"/>
  <c r="T44" i="8" s="1"/>
  <c r="Y44" i="8" s="1"/>
  <c r="Z44" i="8" s="1"/>
  <c r="X50" i="8"/>
  <c r="T50" i="8" s="1"/>
  <c r="Y50" i="8" s="1"/>
  <c r="Z50" i="8" s="1"/>
  <c r="X46" i="8"/>
  <c r="T46" i="8" s="1"/>
  <c r="Y46" i="8" s="1"/>
  <c r="Z46" i="8" s="1"/>
  <c r="X47" i="8"/>
  <c r="T47" i="8" s="1"/>
  <c r="Y47" i="8" s="1"/>
  <c r="Z47" i="8" s="1"/>
  <c r="X53" i="8"/>
  <c r="T53" i="8" s="1"/>
  <c r="Y53" i="8" s="1"/>
  <c r="Z53" i="8" s="1"/>
  <c r="C204" i="2"/>
  <c r="C203" i="2"/>
  <c r="C202" i="2"/>
  <c r="C201" i="2"/>
  <c r="H95" i="1"/>
  <c r="H94" i="1"/>
  <c r="U95" i="1"/>
  <c r="S95" i="1"/>
  <c r="R95" i="1"/>
  <c r="B1624" i="6"/>
  <c r="C1624" i="6"/>
  <c r="G92" i="1"/>
  <c r="C157" i="2"/>
  <c r="E1624" i="6" l="1"/>
  <c r="X95" i="1"/>
  <c r="T95" i="1" s="1"/>
  <c r="Y95" i="1" s="1"/>
  <c r="Z95" i="1" s="1"/>
  <c r="X96" i="1" l="1"/>
  <c r="Y96" i="1"/>
  <c r="Z96" i="1" s="1"/>
  <c r="X97" i="1"/>
  <c r="Y97" i="1"/>
  <c r="Z97" i="1" s="1"/>
  <c r="X98" i="1"/>
  <c r="Y98" i="1"/>
  <c r="Z98" i="1" s="1"/>
  <c r="H96" i="1"/>
  <c r="H97" i="1"/>
  <c r="H98" i="1"/>
  <c r="H99" i="1"/>
  <c r="F102" i="1"/>
  <c r="F90" i="1"/>
  <c r="F99" i="1"/>
  <c r="C196" i="2" l="1"/>
  <c r="C195" i="2"/>
  <c r="C194" i="2"/>
  <c r="C193" i="2"/>
  <c r="C184" i="2"/>
  <c r="C177" i="2"/>
  <c r="C176" i="2"/>
  <c r="C175" i="2"/>
  <c r="C174" i="2"/>
  <c r="C173" i="2"/>
  <c r="C170" i="2"/>
  <c r="C168" i="2"/>
  <c r="Y88" i="1" l="1"/>
  <c r="Z88" i="1" s="1"/>
  <c r="X88" i="1"/>
  <c r="H88" i="1"/>
  <c r="X82" i="1"/>
  <c r="Y82" i="1"/>
  <c r="Z82" i="1" s="1"/>
  <c r="F82" i="1"/>
  <c r="H82" i="1" s="1"/>
  <c r="F77" i="1"/>
  <c r="H77" i="1" s="1"/>
  <c r="F76" i="1"/>
  <c r="H76" i="1" s="1"/>
  <c r="X76" i="1"/>
  <c r="Y76" i="1"/>
  <c r="X77" i="1"/>
  <c r="Y77" i="1"/>
  <c r="F93" i="1"/>
  <c r="C150" i="2"/>
  <c r="C156" i="2"/>
  <c r="G89" i="1"/>
  <c r="F89" i="1"/>
  <c r="E89" i="1"/>
  <c r="F92" i="1"/>
  <c r="H92" i="1" s="1"/>
  <c r="E92" i="1"/>
  <c r="Z76" i="1" l="1"/>
  <c r="Z77" i="1"/>
  <c r="C149" i="2"/>
  <c r="C148" i="2"/>
  <c r="P93" i="1"/>
  <c r="F91" i="1"/>
  <c r="X31" i="8"/>
  <c r="T31" i="8" s="1"/>
  <c r="Y31" i="8" s="1"/>
  <c r="Z31" i="8" s="1"/>
  <c r="H31" i="8"/>
  <c r="U29" i="8"/>
  <c r="S29" i="8"/>
  <c r="R29" i="8"/>
  <c r="H29" i="8"/>
  <c r="U28" i="8"/>
  <c r="H28" i="8"/>
  <c r="X26" i="8"/>
  <c r="T26" i="8" s="1"/>
  <c r="Y26" i="8" s="1"/>
  <c r="Z26" i="8" s="1"/>
  <c r="H26" i="8"/>
  <c r="U23" i="8"/>
  <c r="S23" i="8"/>
  <c r="R23" i="8"/>
  <c r="U22" i="8"/>
  <c r="S22" i="8"/>
  <c r="R22" i="8"/>
  <c r="H22" i="8"/>
  <c r="H27" i="8"/>
  <c r="H21" i="8"/>
  <c r="U20" i="8"/>
  <c r="S20" i="8"/>
  <c r="R20" i="8"/>
  <c r="H20" i="8"/>
  <c r="U14" i="8"/>
  <c r="S14" i="8"/>
  <c r="R14" i="8"/>
  <c r="H14" i="8"/>
  <c r="H19" i="8"/>
  <c r="U13" i="8"/>
  <c r="S13" i="8"/>
  <c r="R13" i="8"/>
  <c r="H13" i="8"/>
  <c r="U12" i="8"/>
  <c r="S12" i="8"/>
  <c r="R12" i="8"/>
  <c r="H12" i="8"/>
  <c r="U11" i="8"/>
  <c r="S11" i="8"/>
  <c r="R11" i="8"/>
  <c r="H11" i="8"/>
  <c r="C141" i="2"/>
  <c r="X28" i="8" l="1"/>
  <c r="T28" i="8" s="1"/>
  <c r="Y28" i="8" s="1"/>
  <c r="Z28" i="8" s="1"/>
  <c r="X12" i="8"/>
  <c r="T12" i="8" s="1"/>
  <c r="Y12" i="8" s="1"/>
  <c r="Z12" i="8" s="1"/>
  <c r="X11" i="8"/>
  <c r="T11" i="8" s="1"/>
  <c r="Y11" i="8" s="1"/>
  <c r="Z11" i="8" s="1"/>
  <c r="X29" i="8"/>
  <c r="T29" i="8" s="1"/>
  <c r="Y29" i="8" s="1"/>
  <c r="Z29" i="8" s="1"/>
  <c r="X22" i="8"/>
  <c r="T22" i="8" s="1"/>
  <c r="Y22" i="8" s="1"/>
  <c r="Z22" i="8" s="1"/>
  <c r="X23" i="8"/>
  <c r="T23" i="8" s="1"/>
  <c r="Y23" i="8" s="1"/>
  <c r="Z23" i="8" s="1"/>
  <c r="X14" i="8"/>
  <c r="T14" i="8" s="1"/>
  <c r="Y14" i="8" s="1"/>
  <c r="Z14" i="8" s="1"/>
  <c r="X19" i="8"/>
  <c r="T19" i="8" s="1"/>
  <c r="Y19" i="8" s="1"/>
  <c r="Z19" i="8" s="1"/>
  <c r="X27" i="8"/>
  <c r="T27" i="8" s="1"/>
  <c r="Y27" i="8" s="1"/>
  <c r="Z27" i="8" s="1"/>
  <c r="X21" i="8"/>
  <c r="T21" i="8" s="1"/>
  <c r="Y21" i="8" s="1"/>
  <c r="Z21" i="8" s="1"/>
  <c r="X13" i="8"/>
  <c r="T13" i="8" s="1"/>
  <c r="Y13" i="8" s="1"/>
  <c r="Z13" i="8" s="1"/>
  <c r="X20" i="8"/>
  <c r="T20" i="8" s="1"/>
  <c r="Y20" i="8" s="1"/>
  <c r="Z20" i="8" s="1"/>
  <c r="C142" i="2" l="1"/>
  <c r="H198" i="5"/>
  <c r="H199" i="5"/>
  <c r="H200" i="5"/>
  <c r="H201" i="5"/>
  <c r="H202" i="5"/>
  <c r="H203" i="5"/>
  <c r="C1620" i="6"/>
  <c r="B1620" i="6"/>
  <c r="C167" i="2"/>
  <c r="C166" i="2"/>
  <c r="E1620" i="6" l="1"/>
  <c r="P102" i="1"/>
  <c r="P99" i="1"/>
  <c r="X81" i="1"/>
  <c r="Y81" i="1"/>
  <c r="Z81" i="1" s="1"/>
  <c r="H81" i="1"/>
  <c r="C135" i="2" l="1"/>
  <c r="C134" i="2"/>
  <c r="F84" i="1" l="1"/>
  <c r="P91" i="1" l="1"/>
  <c r="P90" i="1"/>
  <c r="C121" i="2" l="1"/>
  <c r="F78" i="1"/>
  <c r="H78" i="1" s="1"/>
  <c r="C131" i="2"/>
  <c r="G72" i="1"/>
  <c r="F72" i="1" l="1"/>
  <c r="E72" i="1"/>
  <c r="P73" i="1" l="1"/>
  <c r="F83" i="1"/>
  <c r="F73" i="1"/>
  <c r="P84" i="1" l="1"/>
  <c r="X55" i="1" l="1"/>
  <c r="Y55" i="1"/>
  <c r="Z55" i="1" s="1"/>
  <c r="H55" i="1"/>
  <c r="F71" i="1"/>
  <c r="F70" i="1"/>
  <c r="F69" i="1"/>
  <c r="C130" i="2"/>
  <c r="H60" i="1"/>
  <c r="X60" i="1"/>
  <c r="Y60" i="1"/>
  <c r="Z60" i="1" s="1"/>
  <c r="X43" i="1"/>
  <c r="Y43" i="1"/>
  <c r="F43" i="1"/>
  <c r="H43" i="1" s="1"/>
  <c r="Z43" i="1" l="1"/>
  <c r="U66" i="1"/>
  <c r="S66" i="1"/>
  <c r="R66" i="1"/>
  <c r="H66" i="1"/>
  <c r="F67" i="1"/>
  <c r="C115" i="2"/>
  <c r="X66" i="1" l="1"/>
  <c r="T66" i="1" s="1"/>
  <c r="Y66" i="1" s="1"/>
  <c r="Z66" i="1" s="1"/>
  <c r="C126" i="2"/>
  <c r="C120" i="2"/>
  <c r="C119" i="2"/>
  <c r="C155" i="2"/>
  <c r="G59" i="1" l="1"/>
  <c r="C154" i="2" l="1"/>
  <c r="C153" i="2"/>
  <c r="C147" i="2"/>
  <c r="C146" i="2"/>
  <c r="C145" i="2"/>
  <c r="C144" i="2"/>
  <c r="C140" i="2"/>
  <c r="C139" i="2"/>
  <c r="C138" i="2"/>
  <c r="C136" i="2"/>
  <c r="C127" i="2" l="1"/>
  <c r="P70" i="1" l="1"/>
  <c r="P71" i="1"/>
  <c r="P69" i="1"/>
  <c r="P67" i="1"/>
  <c r="B1610" i="6" l="1"/>
  <c r="C1610" i="6"/>
  <c r="E1610" i="6" l="1"/>
  <c r="C107" i="2"/>
  <c r="H291" i="4"/>
  <c r="H292" i="4"/>
  <c r="H293" i="4"/>
  <c r="F61" i="1"/>
  <c r="G50" i="1" l="1"/>
  <c r="F50" i="1"/>
  <c r="E50" i="1"/>
  <c r="B1603" i="6" l="1"/>
  <c r="C1603" i="6"/>
  <c r="C103" i="2"/>
  <c r="C97" i="2"/>
  <c r="G46" i="1"/>
  <c r="F46" i="1"/>
  <c r="E46" i="1"/>
  <c r="E1603" i="6" l="1"/>
  <c r="F51" i="1"/>
  <c r="F52" i="1"/>
  <c r="G42" i="1" l="1"/>
  <c r="C1598" i="6"/>
  <c r="B1598" i="6"/>
  <c r="E1598" i="6" l="1"/>
  <c r="P61" i="1"/>
  <c r="F42" i="1"/>
  <c r="E42" i="1"/>
  <c r="C108" i="2"/>
  <c r="F48" i="1" l="1"/>
  <c r="F47" i="1"/>
  <c r="F49" i="1"/>
  <c r="C95" i="2"/>
  <c r="C77" i="2" l="1"/>
  <c r="C1594" i="6"/>
  <c r="B1594" i="6"/>
  <c r="C88" i="2"/>
  <c r="F44" i="1"/>
  <c r="H44" i="1" s="1"/>
  <c r="F45" i="1"/>
  <c r="E1594" i="6" l="1"/>
  <c r="C98" i="2"/>
  <c r="C93" i="2"/>
  <c r="C92" i="2"/>
  <c r="X29" i="1" l="1"/>
  <c r="Y29" i="1"/>
  <c r="F29" i="1"/>
  <c r="H29" i="1" s="1"/>
  <c r="X16" i="1"/>
  <c r="Y16" i="1"/>
  <c r="Z16" i="1" s="1"/>
  <c r="H16" i="1"/>
  <c r="H7" i="1"/>
  <c r="X7" i="1"/>
  <c r="Y7" i="1"/>
  <c r="Z7" i="1" s="1"/>
  <c r="X28" i="1"/>
  <c r="Y28" i="1"/>
  <c r="Z28" i="1" s="1"/>
  <c r="H28" i="1"/>
  <c r="X27" i="1"/>
  <c r="Y27" i="1"/>
  <c r="Z27" i="1" s="1"/>
  <c r="H27" i="1"/>
  <c r="C104" i="2"/>
  <c r="C123" i="2"/>
  <c r="C122" i="2"/>
  <c r="C118" i="2"/>
  <c r="C117" i="2"/>
  <c r="C116" i="2"/>
  <c r="C111" i="2"/>
  <c r="C110" i="2"/>
  <c r="C109" i="2"/>
  <c r="Z29" i="1" l="1"/>
  <c r="C101" i="2"/>
  <c r="C100" i="2"/>
  <c r="C96" i="2"/>
  <c r="P52" i="1"/>
  <c r="P51" i="1"/>
  <c r="P49" i="1" l="1"/>
  <c r="C82" i="2"/>
  <c r="P48" i="1"/>
  <c r="P47" i="1"/>
  <c r="P45" i="1"/>
  <c r="P44" i="1"/>
  <c r="C83" i="2"/>
  <c r="U101" i="1" l="1"/>
  <c r="S101" i="1"/>
  <c r="R101" i="1"/>
  <c r="H101" i="1"/>
  <c r="U100" i="1"/>
  <c r="S100" i="1"/>
  <c r="R100" i="1"/>
  <c r="H100" i="1"/>
  <c r="X99" i="1"/>
  <c r="T99" i="1" s="1"/>
  <c r="U94" i="1"/>
  <c r="S94" i="1"/>
  <c r="R94" i="1"/>
  <c r="X102" i="1"/>
  <c r="T102" i="1" s="1"/>
  <c r="Y102" i="1" s="1"/>
  <c r="Z102" i="1" s="1"/>
  <c r="H102" i="1"/>
  <c r="X93" i="1"/>
  <c r="T93" i="1" s="1"/>
  <c r="Y93" i="1" s="1"/>
  <c r="Z93" i="1" s="1"/>
  <c r="H93" i="1"/>
  <c r="U92" i="1"/>
  <c r="S92" i="1"/>
  <c r="R92" i="1"/>
  <c r="H91" i="1"/>
  <c r="X90" i="1"/>
  <c r="T90" i="1" s="1"/>
  <c r="Y90" i="1" s="1"/>
  <c r="Z90" i="1" s="1"/>
  <c r="H90" i="1"/>
  <c r="U89" i="1"/>
  <c r="S89" i="1"/>
  <c r="R89" i="1"/>
  <c r="H89" i="1"/>
  <c r="U87" i="1"/>
  <c r="S87" i="1"/>
  <c r="R87" i="1"/>
  <c r="H87" i="1"/>
  <c r="U86" i="1"/>
  <c r="S86" i="1"/>
  <c r="R86" i="1"/>
  <c r="H86" i="1"/>
  <c r="X78" i="1"/>
  <c r="T78" i="1" s="1"/>
  <c r="Y78" i="1" s="1"/>
  <c r="Z78" i="1" s="1"/>
  <c r="X33" i="1"/>
  <c r="Y33" i="1"/>
  <c r="Z33" i="1" s="1"/>
  <c r="H33" i="1"/>
  <c r="X56" i="1"/>
  <c r="Y56" i="1"/>
  <c r="Z56" i="1" s="1"/>
  <c r="X57" i="1"/>
  <c r="Y57" i="1"/>
  <c r="Z57" i="1" s="1"/>
  <c r="H56" i="1"/>
  <c r="H57" i="1"/>
  <c r="X52" i="1"/>
  <c r="T52" i="1" s="1"/>
  <c r="H52" i="1"/>
  <c r="X94" i="1" l="1"/>
  <c r="T94" i="1" s="1"/>
  <c r="Y94" i="1" s="1"/>
  <c r="Z94" i="1" s="1"/>
  <c r="X100" i="1"/>
  <c r="T100" i="1" s="1"/>
  <c r="Y100" i="1" s="1"/>
  <c r="Z100" i="1" s="1"/>
  <c r="X101" i="1"/>
  <c r="T101" i="1" s="1"/>
  <c r="Y101" i="1" s="1"/>
  <c r="Z101" i="1" s="1"/>
  <c r="X92" i="1"/>
  <c r="T92" i="1" s="1"/>
  <c r="Y92" i="1" s="1"/>
  <c r="Z92" i="1" s="1"/>
  <c r="X86" i="1"/>
  <c r="T86" i="1" s="1"/>
  <c r="Y86" i="1" s="1"/>
  <c r="Z86" i="1" s="1"/>
  <c r="X87" i="1"/>
  <c r="T87" i="1" s="1"/>
  <c r="Y87" i="1" s="1"/>
  <c r="Z87" i="1" s="1"/>
  <c r="X89" i="1"/>
  <c r="T89" i="1" s="1"/>
  <c r="Y89" i="1" s="1"/>
  <c r="Z89" i="1" s="1"/>
  <c r="X91" i="1"/>
  <c r="T91" i="1" s="1"/>
  <c r="Y91" i="1" s="1"/>
  <c r="Z91" i="1" s="1"/>
  <c r="Y99" i="1"/>
  <c r="Z99" i="1" s="1"/>
  <c r="Y52" i="1"/>
  <c r="Z52" i="1" s="1"/>
  <c r="F38" i="1" l="1"/>
  <c r="C1584" i="6"/>
  <c r="B1584" i="6"/>
  <c r="E1584" i="6" l="1"/>
  <c r="C79" i="2"/>
  <c r="G26" i="1"/>
  <c r="F26" i="1"/>
  <c r="E26" i="1"/>
  <c r="H284" i="4" l="1"/>
  <c r="H285" i="4"/>
  <c r="H286" i="4"/>
  <c r="H287" i="4"/>
  <c r="H288" i="4"/>
  <c r="H289" i="4"/>
  <c r="H290" i="4"/>
  <c r="F35" i="1" l="1"/>
  <c r="F15" i="1" l="1"/>
  <c r="P38" i="1" l="1"/>
  <c r="F34" i="1" l="1"/>
  <c r="C72" i="2"/>
  <c r="G23" i="1"/>
  <c r="F30" i="1" l="1"/>
  <c r="H30" i="1" s="1"/>
  <c r="F25" i="1"/>
  <c r="F24" i="1"/>
  <c r="G20" i="1" l="1"/>
  <c r="F22" i="1" l="1"/>
  <c r="F21" i="1"/>
  <c r="P35" i="1"/>
  <c r="C1578" i="6"/>
  <c r="B1578" i="6"/>
  <c r="E1578" i="6" l="1"/>
  <c r="X35" i="1"/>
  <c r="T35" i="1" s="1"/>
  <c r="Y35" i="1" s="1"/>
  <c r="Z35" i="1" s="1"/>
  <c r="H35" i="1"/>
  <c r="C57" i="2"/>
  <c r="C58" i="2" l="1"/>
  <c r="C66" i="2"/>
  <c r="C71" i="2" l="1"/>
  <c r="C56" i="2"/>
  <c r="C68" i="2"/>
  <c r="C67" i="2"/>
  <c r="C61" i="2" l="1"/>
  <c r="C11" i="2"/>
  <c r="C6" i="2"/>
  <c r="P34" i="1" l="1"/>
  <c r="P30" i="1"/>
  <c r="P25" i="1"/>
  <c r="P24" i="1"/>
  <c r="P22" i="1"/>
  <c r="P21" i="1"/>
  <c r="X84" i="1"/>
  <c r="T84" i="1" s="1"/>
  <c r="Y84" i="1" s="1"/>
  <c r="Z84" i="1" s="1"/>
  <c r="H84" i="1"/>
  <c r="U80" i="1"/>
  <c r="S80" i="1"/>
  <c r="R80" i="1"/>
  <c r="H80" i="1"/>
  <c r="U79" i="1"/>
  <c r="H79" i="1"/>
  <c r="X83" i="1"/>
  <c r="T83" i="1" s="1"/>
  <c r="Y83" i="1" s="1"/>
  <c r="Z83" i="1" s="1"/>
  <c r="H83" i="1"/>
  <c r="U75" i="1"/>
  <c r="S75" i="1"/>
  <c r="R75" i="1"/>
  <c r="H75" i="1"/>
  <c r="U74" i="1"/>
  <c r="S74" i="1"/>
  <c r="R74" i="1"/>
  <c r="H74" i="1"/>
  <c r="X73" i="1"/>
  <c r="T73" i="1" s="1"/>
  <c r="Y73" i="1" s="1"/>
  <c r="Z73" i="1" s="1"/>
  <c r="H73" i="1"/>
  <c r="U72" i="1"/>
  <c r="S72" i="1"/>
  <c r="R72" i="1"/>
  <c r="H72" i="1"/>
  <c r="X70" i="1"/>
  <c r="T70" i="1" s="1"/>
  <c r="Y70" i="1" s="1"/>
  <c r="Z70" i="1" s="1"/>
  <c r="H70" i="1"/>
  <c r="X69" i="1"/>
  <c r="T69" i="1" s="1"/>
  <c r="Y69" i="1" s="1"/>
  <c r="Z69" i="1" s="1"/>
  <c r="H69" i="1"/>
  <c r="U68" i="1"/>
  <c r="S68" i="1"/>
  <c r="R68" i="1"/>
  <c r="H68" i="1"/>
  <c r="X67" i="1"/>
  <c r="T67" i="1" s="1"/>
  <c r="Y67" i="1" s="1"/>
  <c r="Z67" i="1" s="1"/>
  <c r="H67" i="1"/>
  <c r="X71" i="1"/>
  <c r="T71" i="1" s="1"/>
  <c r="H71" i="1"/>
  <c r="U65" i="1"/>
  <c r="S65" i="1"/>
  <c r="R65" i="1"/>
  <c r="H65" i="1"/>
  <c r="U64" i="1"/>
  <c r="S64" i="1"/>
  <c r="R64" i="1"/>
  <c r="H64" i="1"/>
  <c r="U63" i="1"/>
  <c r="S63" i="1"/>
  <c r="R63" i="1"/>
  <c r="H63" i="1"/>
  <c r="H61" i="1"/>
  <c r="U59" i="1"/>
  <c r="S59" i="1"/>
  <c r="R59" i="1"/>
  <c r="H59" i="1"/>
  <c r="U58" i="1"/>
  <c r="H58" i="1"/>
  <c r="X49" i="1"/>
  <c r="T49" i="1" s="1"/>
  <c r="Y49" i="1" s="1"/>
  <c r="Z49" i="1" s="1"/>
  <c r="H49" i="1"/>
  <c r="U54" i="1"/>
  <c r="S54" i="1"/>
  <c r="R54" i="1"/>
  <c r="H54" i="1"/>
  <c r="U53" i="1"/>
  <c r="S53" i="1"/>
  <c r="R53" i="1"/>
  <c r="H53" i="1"/>
  <c r="H51" i="1"/>
  <c r="U50" i="1"/>
  <c r="S50" i="1"/>
  <c r="R50" i="1"/>
  <c r="H50" i="1"/>
  <c r="X48" i="1"/>
  <c r="T48" i="1" s="1"/>
  <c r="Y48" i="1" s="1"/>
  <c r="Z48" i="1" s="1"/>
  <c r="H48" i="1"/>
  <c r="H47" i="1"/>
  <c r="U46" i="1"/>
  <c r="S46" i="1"/>
  <c r="R46" i="1"/>
  <c r="H46" i="1"/>
  <c r="X45" i="1"/>
  <c r="T45" i="1" s="1"/>
  <c r="Y45" i="1" s="1"/>
  <c r="Z45" i="1" s="1"/>
  <c r="H45" i="1"/>
  <c r="U42" i="1"/>
  <c r="S42" i="1"/>
  <c r="R42" i="1"/>
  <c r="H42" i="1"/>
  <c r="U41" i="1"/>
  <c r="S41" i="1"/>
  <c r="R41" i="1"/>
  <c r="H41" i="1"/>
  <c r="U40" i="1"/>
  <c r="S40" i="1"/>
  <c r="R40" i="1"/>
  <c r="H40" i="1"/>
  <c r="X79" i="1" l="1"/>
  <c r="T79" i="1" s="1"/>
  <c r="Y79" i="1" s="1"/>
  <c r="Z79" i="1" s="1"/>
  <c r="X80" i="1"/>
  <c r="T80" i="1" s="1"/>
  <c r="Y80" i="1" s="1"/>
  <c r="Z80" i="1" s="1"/>
  <c r="X50" i="1"/>
  <c r="T50" i="1" s="1"/>
  <c r="Y50" i="1" s="1"/>
  <c r="Z50" i="1" s="1"/>
  <c r="X68" i="1"/>
  <c r="T68" i="1" s="1"/>
  <c r="Y68" i="1" s="1"/>
  <c r="Z68" i="1" s="1"/>
  <c r="X58" i="1"/>
  <c r="T58" i="1" s="1"/>
  <c r="Y58" i="1" s="1"/>
  <c r="Z58" i="1" s="1"/>
  <c r="X59" i="1"/>
  <c r="T59" i="1" s="1"/>
  <c r="Y59" i="1" s="1"/>
  <c r="Z59" i="1" s="1"/>
  <c r="X53" i="1"/>
  <c r="T53" i="1" s="1"/>
  <c r="Y53" i="1" s="1"/>
  <c r="Z53" i="1" s="1"/>
  <c r="X54" i="1"/>
  <c r="T54" i="1" s="1"/>
  <c r="Y54" i="1" s="1"/>
  <c r="Z54" i="1" s="1"/>
  <c r="X63" i="1"/>
  <c r="T63" i="1" s="1"/>
  <c r="Y63" i="1" s="1"/>
  <c r="Z63" i="1" s="1"/>
  <c r="X64" i="1"/>
  <c r="T64" i="1" s="1"/>
  <c r="Y64" i="1" s="1"/>
  <c r="Z64" i="1" s="1"/>
  <c r="X65" i="1"/>
  <c r="T65" i="1" s="1"/>
  <c r="Y65" i="1" s="1"/>
  <c r="Z65" i="1" s="1"/>
  <c r="Y71" i="1"/>
  <c r="Z71" i="1" s="1"/>
  <c r="X72" i="1"/>
  <c r="T72" i="1" s="1"/>
  <c r="Y72" i="1" s="1"/>
  <c r="Z72" i="1" s="1"/>
  <c r="X40" i="1"/>
  <c r="T40" i="1" s="1"/>
  <c r="Y40" i="1" s="1"/>
  <c r="Z40" i="1" s="1"/>
  <c r="X41" i="1"/>
  <c r="T41" i="1" s="1"/>
  <c r="Y41" i="1" s="1"/>
  <c r="Z41" i="1" s="1"/>
  <c r="X42" i="1"/>
  <c r="T42" i="1" s="1"/>
  <c r="Y42" i="1" s="1"/>
  <c r="Z42" i="1" s="1"/>
  <c r="X46" i="1"/>
  <c r="T46" i="1" s="1"/>
  <c r="Y46" i="1" s="1"/>
  <c r="Z46" i="1" s="1"/>
  <c r="X74" i="1"/>
  <c r="T74" i="1" s="1"/>
  <c r="Y74" i="1" s="1"/>
  <c r="Z74" i="1" s="1"/>
  <c r="X75" i="1"/>
  <c r="T75" i="1" s="1"/>
  <c r="Y75" i="1" s="1"/>
  <c r="Z75" i="1" s="1"/>
  <c r="X44" i="1"/>
  <c r="T44" i="1" s="1"/>
  <c r="Y44" i="1" s="1"/>
  <c r="Z44" i="1" s="1"/>
  <c r="X47" i="1"/>
  <c r="T47" i="1" s="1"/>
  <c r="Y47" i="1" s="1"/>
  <c r="Z47" i="1" s="1"/>
  <c r="X51" i="1"/>
  <c r="T51" i="1" s="1"/>
  <c r="Y51" i="1" s="1"/>
  <c r="Z51" i="1" s="1"/>
  <c r="X61" i="1"/>
  <c r="T61" i="1" s="1"/>
  <c r="Y61" i="1" s="1"/>
  <c r="Z61" i="1" s="1"/>
  <c r="F14" i="1" l="1"/>
  <c r="E14" i="1"/>
  <c r="C48" i="2" l="1"/>
  <c r="B1568" i="6" l="1"/>
  <c r="C1568" i="6"/>
  <c r="E1568" i="6" s="1"/>
  <c r="F11" i="1"/>
  <c r="C46" i="2" l="1"/>
  <c r="C42" i="2"/>
  <c r="F12" i="1"/>
  <c r="H283" i="4"/>
  <c r="C43" i="2"/>
  <c r="C1557" i="6"/>
  <c r="B1557" i="6"/>
  <c r="C1553" i="6"/>
  <c r="B1553" i="6"/>
  <c r="C1546" i="6"/>
  <c r="B1546" i="6"/>
  <c r="C1538" i="6"/>
  <c r="B1538" i="6"/>
  <c r="C1531" i="6"/>
  <c r="B1531" i="6"/>
  <c r="C1527" i="6"/>
  <c r="E1527" i="6" s="1"/>
  <c r="B1527" i="6"/>
  <c r="C1518" i="6"/>
  <c r="E1518" i="6" s="1"/>
  <c r="B1518" i="6"/>
  <c r="C1511" i="6"/>
  <c r="B1511" i="6"/>
  <c r="C1507" i="6"/>
  <c r="B1507" i="6"/>
  <c r="C1499" i="6"/>
  <c r="E1499" i="6" s="1"/>
  <c r="B1499" i="6"/>
  <c r="C1495" i="6"/>
  <c r="B1495" i="6"/>
  <c r="C1492" i="6"/>
  <c r="B1492" i="6"/>
  <c r="C1486" i="6"/>
  <c r="B1486" i="6"/>
  <c r="C1478" i="6"/>
  <c r="E1478" i="6" s="1"/>
  <c r="B1478" i="6"/>
  <c r="C1475" i="6"/>
  <c r="B1475" i="6"/>
  <c r="C1471" i="6"/>
  <c r="B1471" i="6"/>
  <c r="C1464" i="6"/>
  <c r="B1464" i="6"/>
  <c r="C1459" i="6"/>
  <c r="E1459" i="6" s="1"/>
  <c r="B1459" i="6"/>
  <c r="C1454" i="6"/>
  <c r="B1454" i="6"/>
  <c r="C1451" i="6"/>
  <c r="B1451" i="6"/>
  <c r="C1448" i="6"/>
  <c r="B1448" i="6"/>
  <c r="C1443" i="6"/>
  <c r="B1443" i="6"/>
  <c r="C1438" i="6"/>
  <c r="B1438" i="6"/>
  <c r="C1431" i="6"/>
  <c r="B1431" i="6"/>
  <c r="C1427" i="6"/>
  <c r="B1427" i="6"/>
  <c r="C1422" i="6"/>
  <c r="B1422" i="6"/>
  <c r="C1417" i="6"/>
  <c r="B1417" i="6"/>
  <c r="C1410" i="6"/>
  <c r="B1410" i="6"/>
  <c r="C1406" i="6"/>
  <c r="B1406" i="6"/>
  <c r="C1402" i="6"/>
  <c r="B1402" i="6"/>
  <c r="C1394" i="6"/>
  <c r="B1394" i="6"/>
  <c r="C1390" i="6"/>
  <c r="B1390" i="6"/>
  <c r="C1386" i="6"/>
  <c r="B1386" i="6"/>
  <c r="C1378" i="6"/>
  <c r="E1378" i="6" s="1"/>
  <c r="B1378" i="6"/>
  <c r="C1372" i="6"/>
  <c r="B1372" i="6"/>
  <c r="C1368" i="6"/>
  <c r="B1368" i="6"/>
  <c r="C1362" i="6"/>
  <c r="E1362" i="6" s="1"/>
  <c r="B1362" i="6"/>
  <c r="C1357" i="6"/>
  <c r="B1357" i="6"/>
  <c r="C1349" i="6"/>
  <c r="E1349" i="6" s="1"/>
  <c r="B1349" i="6"/>
  <c r="C1344" i="6"/>
  <c r="B1344" i="6"/>
  <c r="C1337" i="6"/>
  <c r="E1337" i="6" s="1"/>
  <c r="B1337" i="6"/>
  <c r="C1330" i="6"/>
  <c r="B1330" i="6"/>
  <c r="C1327" i="6"/>
  <c r="B1327" i="6"/>
  <c r="C1318" i="6"/>
  <c r="B1318" i="6"/>
  <c r="C1315" i="6"/>
  <c r="E1315" i="6" s="1"/>
  <c r="B1315" i="6"/>
  <c r="C1312" i="6"/>
  <c r="B1312" i="6"/>
  <c r="C1298" i="6"/>
  <c r="B1298" i="6"/>
  <c r="C1294" i="6"/>
  <c r="B1294" i="6"/>
  <c r="C1290" i="6"/>
  <c r="B1290" i="6"/>
  <c r="C1285" i="6"/>
  <c r="B1285" i="6"/>
  <c r="C1282" i="6"/>
  <c r="B1282" i="6"/>
  <c r="C1270" i="6"/>
  <c r="B1270" i="6"/>
  <c r="C1265" i="6"/>
  <c r="E1265" i="6" s="1"/>
  <c r="B1265" i="6"/>
  <c r="C1261" i="6"/>
  <c r="B1261" i="6"/>
  <c r="C1255" i="6"/>
  <c r="E1255" i="6" s="1"/>
  <c r="B1255" i="6"/>
  <c r="C1252" i="6"/>
  <c r="B1252" i="6"/>
  <c r="C1247" i="6"/>
  <c r="E1247" i="6" s="1"/>
  <c r="B1247" i="6"/>
  <c r="C1238" i="6"/>
  <c r="E1238" i="6" s="1"/>
  <c r="B1238" i="6"/>
  <c r="C1235" i="6"/>
  <c r="E1235" i="6" s="1"/>
  <c r="B1235" i="6"/>
  <c r="C1231" i="6"/>
  <c r="B1231" i="6"/>
  <c r="C1224" i="6"/>
  <c r="E1224" i="6" s="1"/>
  <c r="B1224" i="6"/>
  <c r="C1218" i="6"/>
  <c r="E1218" i="6" s="1"/>
  <c r="B1218" i="6"/>
  <c r="C1212" i="6"/>
  <c r="B1212" i="6"/>
  <c r="C1207" i="6"/>
  <c r="B1207" i="6"/>
  <c r="C1203" i="6"/>
  <c r="E1203" i="6" s="1"/>
  <c r="B1203" i="6"/>
  <c r="C1194" i="6"/>
  <c r="E1194" i="6" s="1"/>
  <c r="B1194" i="6"/>
  <c r="C1183" i="6"/>
  <c r="E1183" i="6" s="1"/>
  <c r="B1183" i="6"/>
  <c r="C1179" i="6"/>
  <c r="B1179" i="6"/>
  <c r="C1176" i="6"/>
  <c r="B1176" i="6"/>
  <c r="C1170" i="6"/>
  <c r="E1170" i="6" s="1"/>
  <c r="B1170" i="6"/>
  <c r="C1167" i="6"/>
  <c r="B1167" i="6"/>
  <c r="C1161" i="6"/>
  <c r="B1161" i="6"/>
  <c r="C1155" i="6"/>
  <c r="E1155" i="6" s="1"/>
  <c r="B1155" i="6"/>
  <c r="C1146" i="6"/>
  <c r="E1146" i="6" s="1"/>
  <c r="B1146" i="6"/>
  <c r="C1142" i="6"/>
  <c r="E1142" i="6" s="1"/>
  <c r="B1142" i="6"/>
  <c r="C1138" i="6"/>
  <c r="B1138" i="6"/>
  <c r="C1130" i="6"/>
  <c r="B1130" i="6"/>
  <c r="C1121" i="6"/>
  <c r="E1121" i="6" s="1"/>
  <c r="B1121" i="6"/>
  <c r="C1115" i="6"/>
  <c r="E1115" i="6" s="1"/>
  <c r="B1115" i="6"/>
  <c r="C1101" i="6"/>
  <c r="B1101" i="6"/>
  <c r="C1097" i="6"/>
  <c r="B1097" i="6"/>
  <c r="C1089" i="6"/>
  <c r="B1089" i="6"/>
  <c r="C1083" i="6"/>
  <c r="B1083" i="6"/>
  <c r="C1077" i="6"/>
  <c r="B1077" i="6"/>
  <c r="C1073" i="6"/>
  <c r="E1073" i="6" s="1"/>
  <c r="B1073" i="6"/>
  <c r="C1069" i="6"/>
  <c r="B1069" i="6"/>
  <c r="C1064" i="6"/>
  <c r="E1064" i="6" s="1"/>
  <c r="B1064" i="6"/>
  <c r="C1057" i="6"/>
  <c r="B1057" i="6"/>
  <c r="C1052" i="6"/>
  <c r="E1052" i="6" s="1"/>
  <c r="B1052" i="6"/>
  <c r="C1046" i="6"/>
  <c r="E1046" i="6" s="1"/>
  <c r="B1046" i="6"/>
  <c r="C1042" i="6"/>
  <c r="E1042" i="6" s="1"/>
  <c r="B1042" i="6"/>
  <c r="C1037" i="6"/>
  <c r="B1037" i="6"/>
  <c r="C1033" i="6"/>
  <c r="E1033" i="6" s="1"/>
  <c r="B1033" i="6"/>
  <c r="C1023" i="6"/>
  <c r="B1023" i="6"/>
  <c r="C1017" i="6"/>
  <c r="B1017" i="6"/>
  <c r="C1013" i="6"/>
  <c r="B1013" i="6"/>
  <c r="C1004" i="6"/>
  <c r="E1004" i="6" s="1"/>
  <c r="B1004" i="6"/>
  <c r="C998" i="6"/>
  <c r="B998" i="6"/>
  <c r="C994" i="6"/>
  <c r="B994" i="6"/>
  <c r="C983" i="6"/>
  <c r="B983" i="6"/>
  <c r="C978" i="6"/>
  <c r="E978" i="6" s="1"/>
  <c r="B978" i="6"/>
  <c r="C966" i="6"/>
  <c r="E966" i="6" s="1"/>
  <c r="B966" i="6"/>
  <c r="C961" i="6"/>
  <c r="E961" i="6" s="1"/>
  <c r="B961" i="6"/>
  <c r="C958" i="6"/>
  <c r="B958" i="6"/>
  <c r="C948" i="6"/>
  <c r="E948" i="6" s="1"/>
  <c r="B948" i="6"/>
  <c r="C945" i="6"/>
  <c r="E945" i="6" s="1"/>
  <c r="B945" i="6"/>
  <c r="C942" i="6"/>
  <c r="E942" i="6" s="1"/>
  <c r="B942" i="6"/>
  <c r="C938" i="6"/>
  <c r="B938" i="6"/>
  <c r="C930" i="6"/>
  <c r="E930" i="6" s="1"/>
  <c r="B930" i="6"/>
  <c r="C926" i="6"/>
  <c r="E926" i="6" s="1"/>
  <c r="B926" i="6"/>
  <c r="C915" i="6"/>
  <c r="E915" i="6" s="1"/>
  <c r="B915" i="6"/>
  <c r="C912" i="6"/>
  <c r="B912" i="6"/>
  <c r="C907" i="6"/>
  <c r="E907" i="6" s="1"/>
  <c r="B907" i="6"/>
  <c r="C893" i="6"/>
  <c r="E893" i="6" s="1"/>
  <c r="B893" i="6"/>
  <c r="C888" i="6"/>
  <c r="B888" i="6"/>
  <c r="C884" i="6"/>
  <c r="B884" i="6"/>
  <c r="C881" i="6"/>
  <c r="E881" i="6" s="1"/>
  <c r="B881" i="6"/>
  <c r="C876" i="6"/>
  <c r="E876" i="6" s="1"/>
  <c r="B876" i="6"/>
  <c r="C871" i="6"/>
  <c r="B871" i="6"/>
  <c r="C867" i="6"/>
  <c r="B867" i="6"/>
  <c r="C864" i="6"/>
  <c r="B864" i="6"/>
  <c r="C857" i="6"/>
  <c r="E857" i="6" s="1"/>
  <c r="B857" i="6"/>
  <c r="C850" i="6"/>
  <c r="E850" i="6" s="1"/>
  <c r="B850" i="6"/>
  <c r="C846" i="6"/>
  <c r="B846" i="6"/>
  <c r="C842" i="6"/>
  <c r="E842" i="6" s="1"/>
  <c r="B842" i="6"/>
  <c r="C836" i="6"/>
  <c r="E836" i="6" s="1"/>
  <c r="B836" i="6"/>
  <c r="C831" i="6"/>
  <c r="B831" i="6"/>
  <c r="C825" i="6"/>
  <c r="B825" i="6"/>
  <c r="C818" i="6"/>
  <c r="E818" i="6" s="1"/>
  <c r="B818" i="6"/>
  <c r="C815" i="6"/>
  <c r="E815" i="6" s="1"/>
  <c r="B815" i="6"/>
  <c r="C812" i="6"/>
  <c r="B812" i="6"/>
  <c r="C807" i="6"/>
  <c r="B807" i="6"/>
  <c r="C804" i="6"/>
  <c r="E804" i="6" s="1"/>
  <c r="B804" i="6"/>
  <c r="C798" i="6"/>
  <c r="E798" i="6" s="1"/>
  <c r="B798" i="6"/>
  <c r="C794" i="6"/>
  <c r="E794" i="6" s="1"/>
  <c r="B794" i="6"/>
  <c r="C785" i="6"/>
  <c r="E785" i="6" s="1"/>
  <c r="B785" i="6"/>
  <c r="C782" i="6"/>
  <c r="E782" i="6" s="1"/>
  <c r="B782" i="6"/>
  <c r="C776" i="6"/>
  <c r="E776" i="6" s="1"/>
  <c r="B776" i="6"/>
  <c r="C773" i="6"/>
  <c r="B773" i="6"/>
  <c r="C766" i="6"/>
  <c r="E766" i="6" s="1"/>
  <c r="B766" i="6"/>
  <c r="C759" i="6"/>
  <c r="B759" i="6"/>
  <c r="C755" i="6"/>
  <c r="B755" i="6"/>
  <c r="C752" i="6"/>
  <c r="E752" i="6" s="1"/>
  <c r="B752" i="6"/>
  <c r="C748" i="6"/>
  <c r="B748" i="6"/>
  <c r="C743" i="6"/>
  <c r="E743" i="6" s="1"/>
  <c r="B743" i="6"/>
  <c r="C737" i="6"/>
  <c r="E737" i="6" s="1"/>
  <c r="B737" i="6"/>
  <c r="C732" i="6"/>
  <c r="E732" i="6" s="1"/>
  <c r="B732" i="6"/>
  <c r="C723" i="6"/>
  <c r="B723" i="6"/>
  <c r="C720" i="6"/>
  <c r="E720" i="6" s="1"/>
  <c r="B720" i="6"/>
  <c r="C717" i="6"/>
  <c r="E717" i="6" s="1"/>
  <c r="B717" i="6"/>
  <c r="C711" i="6"/>
  <c r="B711" i="6"/>
  <c r="C703" i="6"/>
  <c r="E703" i="6" s="1"/>
  <c r="B703" i="6"/>
  <c r="C700" i="6"/>
  <c r="E700" i="6" s="1"/>
  <c r="B700" i="6"/>
  <c r="C695" i="6"/>
  <c r="E695" i="6" s="1"/>
  <c r="B695" i="6"/>
  <c r="C689" i="6"/>
  <c r="B689" i="6"/>
  <c r="C683" i="6"/>
  <c r="B683" i="6"/>
  <c r="C680" i="6"/>
  <c r="E680" i="6" s="1"/>
  <c r="B680" i="6"/>
  <c r="C676" i="6"/>
  <c r="B676" i="6"/>
  <c r="C672" i="6"/>
  <c r="E672" i="6" s="1"/>
  <c r="B672" i="6"/>
  <c r="C668" i="6"/>
  <c r="B668" i="6"/>
  <c r="C663" i="6"/>
  <c r="B663" i="6"/>
  <c r="C660" i="6"/>
  <c r="B660" i="6"/>
  <c r="C655" i="6"/>
  <c r="B655" i="6"/>
  <c r="C650" i="6"/>
  <c r="B650" i="6"/>
  <c r="C644" i="6"/>
  <c r="B644" i="6"/>
  <c r="C638" i="6"/>
  <c r="B638" i="6"/>
  <c r="C632" i="6"/>
  <c r="B632" i="6"/>
  <c r="C626" i="6"/>
  <c r="B626" i="6"/>
  <c r="C622" i="6"/>
  <c r="B622" i="6"/>
  <c r="C619" i="6"/>
  <c r="B619" i="6"/>
  <c r="C613" i="6"/>
  <c r="B613" i="6"/>
  <c r="C609" i="6"/>
  <c r="B609" i="6"/>
  <c r="C599" i="6"/>
  <c r="B599" i="6"/>
  <c r="C592" i="6"/>
  <c r="B592" i="6"/>
  <c r="C586" i="6"/>
  <c r="B586" i="6"/>
  <c r="C574" i="6"/>
  <c r="B574" i="6"/>
  <c r="C562" i="6"/>
  <c r="B562" i="6"/>
  <c r="C558" i="6"/>
  <c r="E558" i="6" s="1"/>
  <c r="B558" i="6"/>
  <c r="C554" i="6"/>
  <c r="B554" i="6"/>
  <c r="C550" i="6"/>
  <c r="B550" i="6"/>
  <c r="O543" i="6"/>
  <c r="C543" i="6"/>
  <c r="B543" i="6"/>
  <c r="C537" i="6"/>
  <c r="B537" i="6"/>
  <c r="C526" i="6"/>
  <c r="B526" i="6"/>
  <c r="C522" i="6"/>
  <c r="B522" i="6"/>
  <c r="C513" i="6"/>
  <c r="B513" i="6"/>
  <c r="C507" i="6"/>
  <c r="B507" i="6"/>
  <c r="C501" i="6"/>
  <c r="B501" i="6"/>
  <c r="C493" i="6"/>
  <c r="B493" i="6"/>
  <c r="C484" i="6"/>
  <c r="B484" i="6"/>
  <c r="C467" i="6"/>
  <c r="B467" i="6"/>
  <c r="C464" i="6"/>
  <c r="B464" i="6"/>
  <c r="C458" i="6"/>
  <c r="B458" i="6"/>
  <c r="C454" i="6"/>
  <c r="B454" i="6"/>
  <c r="C451" i="6"/>
  <c r="B451" i="6"/>
  <c r="C444" i="6"/>
  <c r="B444" i="6"/>
  <c r="C437" i="6"/>
  <c r="B437" i="6"/>
  <c r="C432" i="6"/>
  <c r="B432" i="6"/>
  <c r="C427" i="6"/>
  <c r="B427" i="6"/>
  <c r="C416" i="6"/>
  <c r="B416" i="6"/>
  <c r="C413" i="6"/>
  <c r="B413" i="6"/>
  <c r="C404" i="6"/>
  <c r="B404" i="6"/>
  <c r="C399" i="6"/>
  <c r="B399" i="6"/>
  <c r="C395" i="6"/>
  <c r="B395" i="6"/>
  <c r="C385" i="6"/>
  <c r="B385" i="6"/>
  <c r="C381" i="6"/>
  <c r="B381" i="6"/>
  <c r="C366" i="6"/>
  <c r="B366" i="6"/>
  <c r="C362" i="6"/>
  <c r="B362" i="6"/>
  <c r="C352" i="6"/>
  <c r="B352" i="6"/>
  <c r="C345" i="6"/>
  <c r="B345" i="6"/>
  <c r="C340" i="6"/>
  <c r="B340" i="6"/>
  <c r="C336" i="6"/>
  <c r="B336" i="6"/>
  <c r="C331" i="6"/>
  <c r="B331" i="6"/>
  <c r="C327" i="6"/>
  <c r="B327" i="6"/>
  <c r="C323" i="6"/>
  <c r="B323" i="6"/>
  <c r="C319" i="6"/>
  <c r="B319" i="6"/>
  <c r="C314" i="6"/>
  <c r="B314" i="6"/>
  <c r="C310" i="6"/>
  <c r="B310" i="6"/>
  <c r="C302" i="6"/>
  <c r="B302" i="6"/>
  <c r="C299" i="6"/>
  <c r="B299" i="6"/>
  <c r="C287" i="6"/>
  <c r="B287" i="6"/>
  <c r="C284" i="6"/>
  <c r="B284" i="6"/>
  <c r="C281" i="6"/>
  <c r="B281" i="6"/>
  <c r="C277" i="6"/>
  <c r="B277" i="6"/>
  <c r="C273" i="6"/>
  <c r="B273" i="6"/>
  <c r="C267" i="6"/>
  <c r="B267" i="6"/>
  <c r="C261" i="6"/>
  <c r="B261" i="6"/>
  <c r="C251" i="6"/>
  <c r="B251" i="6"/>
  <c r="C247" i="6"/>
  <c r="B247" i="6"/>
  <c r="C244" i="6"/>
  <c r="B244" i="6"/>
  <c r="C236" i="6"/>
  <c r="B236" i="6"/>
  <c r="C233" i="6"/>
  <c r="B233" i="6"/>
  <c r="C226" i="6"/>
  <c r="B226" i="6"/>
  <c r="C223" i="6"/>
  <c r="B223" i="6"/>
  <c r="C219" i="6"/>
  <c r="B219" i="6"/>
  <c r="C210" i="6"/>
  <c r="B210" i="6"/>
  <c r="C203" i="6"/>
  <c r="B203" i="6"/>
  <c r="C199" i="6"/>
  <c r="B199" i="6"/>
  <c r="C188" i="6"/>
  <c r="B188" i="6"/>
  <c r="C185" i="6"/>
  <c r="B185" i="6"/>
  <c r="C179" i="6"/>
  <c r="B179" i="6"/>
  <c r="C166" i="6"/>
  <c r="B166" i="6"/>
  <c r="C163" i="6"/>
  <c r="B163" i="6"/>
  <c r="C160" i="6"/>
  <c r="B160" i="6"/>
  <c r="C155" i="6"/>
  <c r="B155" i="6"/>
  <c r="C141" i="6"/>
  <c r="B141" i="6"/>
  <c r="C137" i="6"/>
  <c r="B137" i="6"/>
  <c r="C131" i="6"/>
  <c r="B131" i="6"/>
  <c r="C123" i="6"/>
  <c r="B123" i="6"/>
  <c r="C119" i="6"/>
  <c r="B119" i="6"/>
  <c r="C114" i="6"/>
  <c r="B114" i="6"/>
  <c r="C105" i="6"/>
  <c r="B105" i="6"/>
  <c r="C101" i="6"/>
  <c r="B101" i="6"/>
  <c r="C95" i="6"/>
  <c r="B95" i="6"/>
  <c r="C90" i="6"/>
  <c r="B90" i="6"/>
  <c r="C78" i="6"/>
  <c r="B78" i="6"/>
  <c r="C72" i="6"/>
  <c r="B72" i="6"/>
  <c r="C65" i="6"/>
  <c r="B65" i="6"/>
  <c r="C61" i="6"/>
  <c r="E61" i="6" s="1"/>
  <c r="B61" i="6"/>
  <c r="C50" i="6"/>
  <c r="B50" i="6"/>
  <c r="C47" i="6"/>
  <c r="B47" i="6"/>
  <c r="C44" i="6"/>
  <c r="B44" i="6"/>
  <c r="C35" i="6"/>
  <c r="B35" i="6"/>
  <c r="C31" i="6"/>
  <c r="B31" i="6"/>
  <c r="C28" i="6"/>
  <c r="B28" i="6"/>
  <c r="C24" i="6"/>
  <c r="B24" i="6"/>
  <c r="C19" i="6"/>
  <c r="E19" i="6" s="1"/>
  <c r="B19" i="6"/>
  <c r="C13" i="6"/>
  <c r="B13" i="6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I5" i="5" s="1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F40" i="4"/>
  <c r="H40" i="4" s="1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I7" i="4" s="1"/>
  <c r="H6" i="4"/>
  <c r="H5" i="4"/>
  <c r="I5" i="4" s="1"/>
  <c r="P15" i="1"/>
  <c r="X15" i="1" s="1"/>
  <c r="T15" i="1" s="1"/>
  <c r="H15" i="1"/>
  <c r="U14" i="1"/>
  <c r="S14" i="1"/>
  <c r="R14" i="1"/>
  <c r="H14" i="1"/>
  <c r="U13" i="1"/>
  <c r="X13" i="1" s="1"/>
  <c r="T13" i="1" s="1"/>
  <c r="H13" i="1"/>
  <c r="P12" i="1"/>
  <c r="H12" i="1"/>
  <c r="P11" i="1"/>
  <c r="X11" i="1" s="1"/>
  <c r="T11" i="1" s="1"/>
  <c r="H11" i="1"/>
  <c r="U10" i="1"/>
  <c r="S10" i="1"/>
  <c r="R10" i="1"/>
  <c r="H10" i="1"/>
  <c r="U9" i="1"/>
  <c r="S9" i="1"/>
  <c r="R9" i="1"/>
  <c r="H9" i="1"/>
  <c r="P8" i="1"/>
  <c r="F8" i="1"/>
  <c r="H8" i="1" s="1"/>
  <c r="P6" i="1"/>
  <c r="X6" i="1" s="1"/>
  <c r="F6" i="1"/>
  <c r="H6" i="1" s="1"/>
  <c r="P5" i="1"/>
  <c r="X5" i="1" s="1"/>
  <c r="F5" i="1"/>
  <c r="H5" i="1" s="1"/>
  <c r="P4" i="1"/>
  <c r="X4" i="1" s="1"/>
  <c r="F4" i="1"/>
  <c r="H4" i="1" s="1"/>
  <c r="P3" i="1"/>
  <c r="F3" i="1"/>
  <c r="H3" i="1" s="1"/>
  <c r="C87" i="2"/>
  <c r="C86" i="2"/>
  <c r="C85" i="2"/>
  <c r="C84" i="2"/>
  <c r="C76" i="2"/>
  <c r="C75" i="2"/>
  <c r="C74" i="2"/>
  <c r="C73" i="2"/>
  <c r="C70" i="2"/>
  <c r="C69" i="2"/>
  <c r="C63" i="2"/>
  <c r="C62" i="2"/>
  <c r="C60" i="2"/>
  <c r="C53" i="2"/>
  <c r="C52" i="2"/>
  <c r="C51" i="2"/>
  <c r="C50" i="2"/>
  <c r="C49" i="2"/>
  <c r="C47" i="2"/>
  <c r="C44" i="2"/>
  <c r="C41" i="2"/>
  <c r="C40" i="2"/>
  <c r="C39" i="2"/>
  <c r="C38" i="2"/>
  <c r="C37" i="2"/>
  <c r="C36" i="2"/>
  <c r="C35" i="2"/>
  <c r="C34" i="2"/>
  <c r="C30" i="2"/>
  <c r="C29" i="2"/>
  <c r="C28" i="2"/>
  <c r="C27" i="2"/>
  <c r="C25" i="2"/>
  <c r="C24" i="2"/>
  <c r="C23" i="2"/>
  <c r="C22" i="2"/>
  <c r="C21" i="2"/>
  <c r="C17" i="2"/>
  <c r="C16" i="2"/>
  <c r="C15" i="2"/>
  <c r="C14" i="2"/>
  <c r="C13" i="2"/>
  <c r="C12" i="2"/>
  <c r="C10" i="2"/>
  <c r="C9" i="2"/>
  <c r="C7" i="2"/>
  <c r="C78" i="3"/>
  <c r="C77" i="3"/>
  <c r="C76" i="3"/>
  <c r="C75" i="3"/>
  <c r="C71" i="3"/>
  <c r="C70" i="3"/>
  <c r="C69" i="3"/>
  <c r="C68" i="3"/>
  <c r="C67" i="3"/>
  <c r="C66" i="3"/>
  <c r="C65" i="3"/>
  <c r="C64" i="3"/>
  <c r="C62" i="3"/>
  <c r="C61" i="3"/>
  <c r="C60" i="3"/>
  <c r="C59" i="3"/>
  <c r="C54" i="3"/>
  <c r="C53" i="3"/>
  <c r="C52" i="3"/>
  <c r="C51" i="3"/>
  <c r="C50" i="3"/>
  <c r="C45" i="3"/>
  <c r="C44" i="3"/>
  <c r="C41" i="3"/>
  <c r="C40" i="3"/>
  <c r="C39" i="3"/>
  <c r="C38" i="3"/>
  <c r="C37" i="3"/>
  <c r="C36" i="3"/>
  <c r="C35" i="3"/>
  <c r="C34" i="3"/>
  <c r="C30" i="3"/>
  <c r="C29" i="3"/>
  <c r="C28" i="3"/>
  <c r="C27" i="3"/>
  <c r="C25" i="3"/>
  <c r="C24" i="3"/>
  <c r="C23" i="3"/>
  <c r="C22" i="3"/>
  <c r="C21" i="3"/>
  <c r="C17" i="3"/>
  <c r="C16" i="3"/>
  <c r="C15" i="3"/>
  <c r="C14" i="3"/>
  <c r="C13" i="3"/>
  <c r="C12" i="3"/>
  <c r="C11" i="3"/>
  <c r="C10" i="3"/>
  <c r="C9" i="3"/>
  <c r="C7" i="3"/>
  <c r="C6" i="3"/>
  <c r="E90" i="6" l="1"/>
  <c r="E114" i="6"/>
  <c r="E188" i="6"/>
  <c r="E203" i="6"/>
  <c r="E366" i="6"/>
  <c r="E385" i="6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E1097" i="6"/>
  <c r="E1130" i="6"/>
  <c r="E1507" i="6"/>
  <c r="E101" i="6"/>
  <c r="E427" i="6"/>
  <c r="E467" i="6"/>
  <c r="E233" i="6"/>
  <c r="E251" i="6"/>
  <c r="E299" i="6"/>
  <c r="E336" i="6"/>
  <c r="E663" i="6"/>
  <c r="E219" i="6"/>
  <c r="E493" i="6"/>
  <c r="E562" i="6"/>
  <c r="E599" i="6"/>
  <c r="E226" i="6"/>
  <c r="E1176" i="6"/>
  <c r="E1290" i="6"/>
  <c r="E1531" i="6"/>
  <c r="E50" i="6"/>
  <c r="E319" i="6"/>
  <c r="E416" i="6"/>
  <c r="E454" i="6"/>
  <c r="E1013" i="6"/>
  <c r="E1037" i="6"/>
  <c r="E1270" i="6"/>
  <c r="E1318" i="6"/>
  <c r="E1344" i="6"/>
  <c r="E1410" i="6"/>
  <c r="E1431" i="6"/>
  <c r="E1451" i="6"/>
  <c r="E613" i="6"/>
  <c r="E622" i="6"/>
  <c r="E644" i="6"/>
  <c r="E131" i="6"/>
  <c r="E284" i="6"/>
  <c r="E267" i="6"/>
  <c r="E277" i="6"/>
  <c r="E592" i="6"/>
  <c r="E609" i="6"/>
  <c r="E619" i="6"/>
  <c r="E650" i="6"/>
  <c r="E660" i="6"/>
  <c r="E676" i="6"/>
  <c r="E807" i="6"/>
  <c r="E846" i="6"/>
  <c r="E867" i="6"/>
  <c r="E912" i="6"/>
  <c r="E958" i="6"/>
  <c r="E1057" i="6"/>
  <c r="E1077" i="6"/>
  <c r="E1101" i="6"/>
  <c r="E1138" i="6"/>
  <c r="E1179" i="6"/>
  <c r="E1207" i="6"/>
  <c r="E1231" i="6"/>
  <c r="E1368" i="6"/>
  <c r="E163" i="6"/>
  <c r="E345" i="6"/>
  <c r="E362" i="6"/>
  <c r="E998" i="6"/>
  <c r="E1261" i="6"/>
  <c r="E1285" i="6"/>
  <c r="E1312" i="6"/>
  <c r="E1357" i="6"/>
  <c r="E1402" i="6"/>
  <c r="E1422" i="6"/>
  <c r="E1443" i="6"/>
  <c r="T6" i="1"/>
  <c r="Y6" i="1" s="1"/>
  <c r="Z6" i="1" s="1"/>
  <c r="E13" i="6"/>
  <c r="E24" i="6"/>
  <c r="E31" i="6"/>
  <c r="E65" i="6"/>
  <c r="E78" i="6"/>
  <c r="E105" i="6"/>
  <c r="E141" i="6"/>
  <c r="E160" i="6"/>
  <c r="E166" i="6"/>
  <c r="E185" i="6"/>
  <c r="E210" i="6"/>
  <c r="E281" i="6"/>
  <c r="E287" i="6"/>
  <c r="E302" i="6"/>
  <c r="E323" i="6"/>
  <c r="E381" i="6"/>
  <c r="E395" i="6"/>
  <c r="E432" i="6"/>
  <c r="E444" i="6"/>
  <c r="E464" i="6"/>
  <c r="E501" i="6"/>
  <c r="E513" i="6"/>
  <c r="E526" i="6"/>
  <c r="E683" i="6"/>
  <c r="E755" i="6"/>
  <c r="E825" i="6"/>
  <c r="E884" i="6"/>
  <c r="E938" i="6"/>
  <c r="E1252" i="6"/>
  <c r="E1427" i="6"/>
  <c r="E1438" i="6"/>
  <c r="E1448" i="6"/>
  <c r="E244" i="6"/>
  <c r="E1023" i="6"/>
  <c r="E1069" i="6"/>
  <c r="E1089" i="6"/>
  <c r="E1330" i="6"/>
  <c r="E327" i="6"/>
  <c r="E437" i="6"/>
  <c r="E638" i="6"/>
  <c r="E1492" i="6"/>
  <c r="E1511" i="6"/>
  <c r="E1538" i="6"/>
  <c r="E1553" i="6"/>
  <c r="E72" i="6"/>
  <c r="E119" i="6"/>
  <c r="E179" i="6"/>
  <c r="E223" i="6"/>
  <c r="E261" i="6"/>
  <c r="E273" i="6"/>
  <c r="E310" i="6"/>
  <c r="E340" i="6"/>
  <c r="E352" i="6"/>
  <c r="E404" i="6"/>
  <c r="E451" i="6"/>
  <c r="E458" i="6"/>
  <c r="E550" i="6"/>
  <c r="E586" i="6"/>
  <c r="E626" i="6"/>
  <c r="E711" i="6"/>
  <c r="E748" i="6"/>
  <c r="E864" i="6"/>
  <c r="E871" i="6"/>
  <c r="E1167" i="6"/>
  <c r="E44" i="6"/>
  <c r="E543" i="6"/>
  <c r="E812" i="6"/>
  <c r="E888" i="6"/>
  <c r="E994" i="6"/>
  <c r="E1083" i="6"/>
  <c r="E1161" i="6"/>
  <c r="E1282" i="6"/>
  <c r="E1372" i="6"/>
  <c r="E1454" i="6"/>
  <c r="E1546" i="6"/>
  <c r="E28" i="6"/>
  <c r="E123" i="6"/>
  <c r="E314" i="6"/>
  <c r="E399" i="6"/>
  <c r="E413" i="6"/>
  <c r="E507" i="6"/>
  <c r="E522" i="6"/>
  <c r="E554" i="6"/>
  <c r="E574" i="6"/>
  <c r="E632" i="6"/>
  <c r="E831" i="6"/>
  <c r="E983" i="6"/>
  <c r="E1017" i="6"/>
  <c r="E1212" i="6"/>
  <c r="E1298" i="6"/>
  <c r="E1386" i="6"/>
  <c r="E1394" i="6"/>
  <c r="E1464" i="6"/>
  <c r="E1475" i="6"/>
  <c r="E1557" i="6"/>
  <c r="E35" i="6"/>
  <c r="E47" i="6"/>
  <c r="E95" i="6"/>
  <c r="E137" i="6"/>
  <c r="E155" i="6"/>
  <c r="E199" i="6"/>
  <c r="E236" i="6"/>
  <c r="E247" i="6"/>
  <c r="E331" i="6"/>
  <c r="E484" i="6"/>
  <c r="E537" i="6"/>
  <c r="E655" i="6"/>
  <c r="E668" i="6"/>
  <c r="E689" i="6"/>
  <c r="E723" i="6"/>
  <c r="E759" i="6"/>
  <c r="E773" i="6"/>
  <c r="E1294" i="6"/>
  <c r="E1327" i="6"/>
  <c r="E1390" i="6"/>
  <c r="E1406" i="6"/>
  <c r="E1417" i="6"/>
  <c r="E1471" i="6"/>
  <c r="E1486" i="6"/>
  <c r="E1495" i="6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T5" i="1"/>
  <c r="T4" i="1"/>
  <c r="Y4" i="1" s="1"/>
  <c r="Z4" i="1" s="1"/>
  <c r="X14" i="1"/>
  <c r="T14" i="1" s="1"/>
  <c r="Y14" i="1" s="1"/>
  <c r="Z14" i="1" s="1"/>
  <c r="Y15" i="1"/>
  <c r="Z15" i="1" s="1"/>
  <c r="Y5" i="1"/>
  <c r="Z5" i="1" s="1"/>
  <c r="Y13" i="1"/>
  <c r="Z13" i="1" s="1"/>
  <c r="Y11" i="1"/>
  <c r="Z11" i="1" s="1"/>
  <c r="X12" i="1"/>
  <c r="T12" i="1" s="1"/>
  <c r="Y12" i="1" s="1"/>
  <c r="Z12" i="1" s="1"/>
  <c r="X3" i="1"/>
  <c r="T3" i="1" s="1"/>
  <c r="Y3" i="1" s="1"/>
  <c r="Z3" i="1" s="1"/>
  <c r="X8" i="1"/>
  <c r="T8" i="1" s="1"/>
  <c r="Y8" i="1" s="1"/>
  <c r="Z8" i="1" s="1"/>
  <c r="X9" i="1"/>
  <c r="T9" i="1" s="1"/>
  <c r="Y9" i="1" s="1"/>
  <c r="Z9" i="1" s="1"/>
  <c r="X10" i="1"/>
  <c r="T10" i="1" s="1"/>
  <c r="Y10" i="1" s="1"/>
  <c r="Z10" i="1" s="1"/>
  <c r="X38" i="1"/>
  <c r="T38" i="1" s="1"/>
  <c r="Y38" i="1" s="1"/>
  <c r="Z38" i="1" s="1"/>
  <c r="H38" i="1"/>
  <c r="U37" i="1"/>
  <c r="S37" i="1"/>
  <c r="R37" i="1"/>
  <c r="H37" i="1"/>
  <c r="U36" i="1"/>
  <c r="S36" i="1"/>
  <c r="R36" i="1"/>
  <c r="H36" i="1"/>
  <c r="X34" i="1"/>
  <c r="T34" i="1" s="1"/>
  <c r="Y34" i="1" s="1"/>
  <c r="Z34" i="1" s="1"/>
  <c r="H34" i="1"/>
  <c r="U32" i="1"/>
  <c r="S32" i="1"/>
  <c r="R32" i="1"/>
  <c r="H32" i="1"/>
  <c r="U31" i="1"/>
  <c r="S31" i="1"/>
  <c r="R31" i="1"/>
  <c r="H31" i="1"/>
  <c r="X30" i="1"/>
  <c r="T30" i="1" s="1"/>
  <c r="Y30" i="1" s="1"/>
  <c r="Z30" i="1" s="1"/>
  <c r="U26" i="1"/>
  <c r="S26" i="1"/>
  <c r="R26" i="1"/>
  <c r="H26" i="1"/>
  <c r="X25" i="1"/>
  <c r="T25" i="1" s="1"/>
  <c r="Y25" i="1" s="1"/>
  <c r="Z25" i="1" s="1"/>
  <c r="H25" i="1"/>
  <c r="X24" i="1"/>
  <c r="T24" i="1" s="1"/>
  <c r="H24" i="1"/>
  <c r="U23" i="1"/>
  <c r="S23" i="1"/>
  <c r="R23" i="1"/>
  <c r="H23" i="1"/>
  <c r="H22" i="1"/>
  <c r="X21" i="1"/>
  <c r="T21" i="1" s="1"/>
  <c r="Y21" i="1" s="1"/>
  <c r="Z21" i="1" s="1"/>
  <c r="H21" i="1"/>
  <c r="U20" i="1"/>
  <c r="S20" i="1"/>
  <c r="R20" i="1"/>
  <c r="H20" i="1"/>
  <c r="U19" i="1"/>
  <c r="S19" i="1"/>
  <c r="R19" i="1"/>
  <c r="H19" i="1"/>
  <c r="U18" i="1"/>
  <c r="S18" i="1"/>
  <c r="R18" i="1"/>
  <c r="H18" i="1"/>
  <c r="I238" i="5" l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96" i="4"/>
  <c r="I297" i="4" s="1"/>
  <c r="I298" i="4" s="1"/>
  <c r="X23" i="1"/>
  <c r="T23" i="1" s="1"/>
  <c r="Y23" i="1" s="1"/>
  <c r="Z23" i="1" s="1"/>
  <c r="Y24" i="1"/>
  <c r="Z24" i="1" s="1"/>
  <c r="X18" i="1"/>
  <c r="T18" i="1" s="1"/>
  <c r="Y18" i="1" s="1"/>
  <c r="Z18" i="1" s="1"/>
  <c r="X19" i="1"/>
  <c r="T19" i="1" s="1"/>
  <c r="Y19" i="1" s="1"/>
  <c r="Z19" i="1" s="1"/>
  <c r="X20" i="1"/>
  <c r="T20" i="1" s="1"/>
  <c r="Y20" i="1" s="1"/>
  <c r="Z20" i="1" s="1"/>
  <c r="X22" i="1"/>
  <c r="T22" i="1" s="1"/>
  <c r="Y22" i="1" s="1"/>
  <c r="Z22" i="1" s="1"/>
  <c r="X26" i="1"/>
  <c r="T26" i="1" s="1"/>
  <c r="Y26" i="1" s="1"/>
  <c r="Z26" i="1" s="1"/>
  <c r="X31" i="1"/>
  <c r="T31" i="1" s="1"/>
  <c r="Y31" i="1" s="1"/>
  <c r="Z31" i="1" s="1"/>
  <c r="X32" i="1"/>
  <c r="T32" i="1" s="1"/>
  <c r="Y32" i="1" s="1"/>
  <c r="Z32" i="1" s="1"/>
  <c r="X36" i="1"/>
  <c r="T36" i="1" s="1"/>
  <c r="Y36" i="1" s="1"/>
  <c r="Z36" i="1" s="1"/>
  <c r="X37" i="1"/>
  <c r="T37" i="1" s="1"/>
  <c r="Y37" i="1" s="1"/>
  <c r="Z37" i="1" s="1"/>
  <c r="E1650" i="6"/>
  <c r="I299" i="4" l="1"/>
  <c r="I300" i="4" s="1"/>
  <c r="I301" i="4" s="1"/>
  <c r="I302" i="4" s="1"/>
  <c r="I303" i="4" s="1"/>
  <c r="I304" i="4" s="1"/>
  <c r="I305" i="4" s="1"/>
  <c r="I306" i="4" s="1"/>
  <c r="I307" i="4" l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E1765" i="6"/>
  <c r="I335" i="4" l="1"/>
  <c r="I336" i="4" s="1"/>
  <c r="I337" i="4" s="1"/>
  <c r="I338" i="4" s="1"/>
  <c r="I339" i="4" s="1"/>
  <c r="I340" i="4" s="1"/>
  <c r="I341" i="4" s="1"/>
  <c r="I342" i="4" s="1"/>
  <c r="I343" i="4" s="1"/>
  <c r="I344" i="4" s="1"/>
  <c r="I345" i="4" l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 xr:uid="{00000000-0006-0000-00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 xr:uid="{00000000-0006-0000-00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 xr:uid="{00000000-0006-0000-00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 xr:uid="{00000000-0006-0000-00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 xr:uid="{00000000-0006-0000-00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 xr:uid="{00000000-0006-0000-00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00000000-0006-0000-00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00000000-0006-0000-00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00000000-0006-0000-00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00000000-0006-0000-00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 xr:uid="{00000000-0006-0000-00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 xr:uid="{00000000-0006-0000-00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 xr:uid="{00000000-0006-0000-00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 xr:uid="{00000000-0006-0000-00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 xr:uid="{00000000-0006-0000-00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 xr:uid="{00000000-0006-0000-00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 xr:uid="{00000000-0006-0000-00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 xr:uid="{00000000-0006-0000-00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 xr:uid="{00000000-0006-0000-00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 xr:uid="{00000000-0006-0000-00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 xr:uid="{00000000-0006-0000-00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 xr:uid="{00000000-0006-0000-00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 xr:uid="{00000000-0006-0000-00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 xr:uid="{00000000-0006-0000-00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 xr:uid="{00000000-0006-0000-00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 xr:uid="{00000000-0006-0000-00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 shapeId="0" xr:uid="{00000000-0006-0000-00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 shapeId="0" xr:uid="{00000000-0006-0000-00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 shapeId="0" xr:uid="{00000000-0006-0000-00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 shapeId="0" xr:uid="{00000000-0006-0000-00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 shapeId="0" xr:uid="{00000000-0006-0000-00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 xr:uid="{00000000-0006-0000-0000-00004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 xr:uid="{00000000-0006-0000-0000-00004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 xr:uid="{00000000-0006-0000-0000-00004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 xr:uid="{00000000-0006-0000-0000-00004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 xr:uid="{00000000-0006-0000-0000-00004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 xr:uid="{00000000-0006-0000-0000-00004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 xr:uid="{00000000-0006-0000-0000-00005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 xr:uid="{00000000-0006-0000-0000-00005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 xr:uid="{00000000-0006-0000-0000-00005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 xr:uid="{00000000-0006-0000-0000-00005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 shapeId="0" xr:uid="{00000000-0006-0000-0000-00005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 shapeId="0" xr:uid="{00000000-0006-0000-0000-00005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 shapeId="0" xr:uid="{00000000-0006-0000-0000-00005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 xr:uid="{00000000-0006-0000-0000-00005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 xr:uid="{00000000-0006-0000-0000-00005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 xr:uid="{00000000-0006-0000-0000-00005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 xr:uid="{00000000-0006-0000-0000-00005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 xr:uid="{00000000-0006-0000-0000-00005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 xr:uid="{00000000-0006-0000-0000-00005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 xr:uid="{00000000-0006-0000-0000-00005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00000000-0006-0000-0000-00006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00000000-0006-0000-0000-00006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00000000-0006-0000-0000-00006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00000000-0006-0000-0000-00006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00000000-0006-0000-0000-00006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 xr:uid="{00000000-0006-0000-0000-00006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 xr:uid="{00000000-0006-0000-0000-00006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 xr:uid="{00000000-0006-0000-0000-00006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 xr:uid="{00000000-0006-0000-0000-00006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 xr:uid="{00000000-0006-0000-0000-00006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 xr:uid="{00000000-0006-0000-0000-00006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 xr:uid="{00000000-0006-0000-0000-00006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 xr:uid="{00000000-0006-0000-0000-00006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 xr:uid="{00000000-0006-0000-0000-00007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 xr:uid="{00000000-0006-0000-0000-00007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 xr:uid="{00000000-0006-0000-0000-00007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 xr:uid="{00000000-0006-0000-0000-00007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 xr:uid="{00000000-0006-0000-0000-00007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 xr:uid="{00000000-0006-0000-0000-00007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 xr:uid="{00000000-0006-0000-0000-00007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 xr:uid="{00000000-0006-0000-0000-00007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 xr:uid="{00000000-0006-0000-0000-00007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 xr:uid="{00000000-0006-0000-0000-00007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 xr:uid="{00000000-0006-0000-0000-00007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 xr:uid="{00000000-0006-0000-0000-00007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 shapeId="0" xr:uid="{00000000-0006-0000-0000-00007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 shapeId="0" xr:uid="{00000000-0006-0000-0000-00008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 shapeId="0" xr:uid="{00000000-0006-0000-0000-00008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 shapeId="0" xr:uid="{00000000-0006-0000-0000-00008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 shapeId="0" xr:uid="{00000000-0006-0000-0000-00008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 xr:uid="{00000000-0006-0000-0000-00008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 xr:uid="{00000000-0006-0000-0000-00008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 xr:uid="{00000000-0006-0000-0000-00008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 xr:uid="{00000000-0006-0000-0000-00008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 xr:uid="{00000000-0006-0000-0000-00008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 xr:uid="{00000000-0006-0000-0000-00008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 xr:uid="{00000000-0006-0000-0000-00008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 xr:uid="{00000000-0006-0000-0000-00008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 xr:uid="{00000000-0006-0000-0000-00008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 xr:uid="{00000000-0006-0000-0000-00008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 xr:uid="{00000000-0006-0000-0000-00009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 xr:uid="{00000000-0006-0000-0000-00009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 xr:uid="{00000000-0006-0000-0000-00009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 xr:uid="{00000000-0006-0000-0000-00009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 xr:uid="{00000000-0006-0000-0000-00009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 xr:uid="{00000000-0006-0000-0000-00009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 xr:uid="{00000000-0006-0000-0000-00009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 xr:uid="{00000000-0006-0000-0000-00009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 xr:uid="{00000000-0006-0000-0000-00009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 xr:uid="{00000000-0006-0000-0000-00009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 xr:uid="{00000000-0006-0000-0000-00009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 xr:uid="{00000000-0006-0000-0000-00009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 xr:uid="{00000000-0006-0000-0000-00009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 xr:uid="{00000000-0006-0000-0000-0000A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 xr:uid="{00000000-0006-0000-0000-0000A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 xr:uid="{00000000-0006-0000-0000-0000A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 xr:uid="{00000000-0006-0000-0000-0000A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 xr:uid="{00000000-0006-0000-0000-0000A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 xr:uid="{00000000-0006-0000-0000-0000A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 xr:uid="{00000000-0006-0000-0000-0000A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 xr:uid="{00000000-0006-0000-0000-0000A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 xr:uid="{00000000-0006-0000-0000-0000A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 xr:uid="{00000000-0006-0000-0000-0000A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 xr:uid="{00000000-0006-0000-0000-0000A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00000000-0006-0000-0000-0000A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 xr:uid="{00000000-0006-0000-0000-0000A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 xr:uid="{00000000-0006-0000-0000-0000B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 xr:uid="{00000000-0006-0000-0000-0000B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 xr:uid="{00000000-0006-0000-0000-0000B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 xr:uid="{00000000-0006-0000-0000-0000B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00000000-0006-0000-0000-0000B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00000000-0006-0000-0000-0000B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00000000-0006-0000-0000-0000B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00000000-0006-0000-0000-0000B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00000000-0006-0000-0000-0000B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 xr:uid="{00000000-0006-0000-0000-0000B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 xr:uid="{00000000-0006-0000-0000-0000B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 xr:uid="{00000000-0006-0000-0000-0000B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 xr:uid="{00000000-0006-0000-0000-0000B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 xr:uid="{00000000-0006-0000-0000-0000B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 xr:uid="{00000000-0006-0000-0000-0000C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 xr:uid="{00000000-0006-0000-0000-0000C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 xr:uid="{00000000-0006-0000-0000-0000C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 xr:uid="{00000000-0006-0000-0000-0000C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 xr:uid="{00000000-0006-0000-0000-0000C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 xr:uid="{00000000-0006-0000-0000-0000C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 xr:uid="{00000000-0006-0000-0000-0000C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 xr:uid="{00000000-0006-0000-0000-0000C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 xr:uid="{00000000-0006-0000-0000-0000C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 xr:uid="{00000000-0006-0000-0000-0000C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 xr:uid="{00000000-0006-0000-0000-0000C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 shapeId="0" xr:uid="{00000000-0006-0000-0000-0000C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 shapeId="0" xr:uid="{00000000-0006-0000-0000-0000C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 shapeId="0" xr:uid="{00000000-0006-0000-0000-0000C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 shapeId="0" xr:uid="{00000000-0006-0000-0000-0000D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9" authorId="0" shapeId="0" xr:uid="{00000000-0006-0000-0000-0000D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9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 shapeId="0" xr:uid="{00000000-0006-0000-0000-0000D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 shapeId="0" xr:uid="{00000000-0006-0000-0000-0000D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 shapeId="0" xr:uid="{00000000-0006-0000-0000-0000D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 shapeId="0" xr:uid="{00000000-0006-0000-0000-0000D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2" authorId="0" shapeId="0" xr:uid="{00000000-0006-0000-0000-0000D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2" authorId="1" shapeId="0" xr:uid="{00000000-0006-0000-0000-0000D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 shapeId="0" xr:uid="{00000000-0006-0000-0000-0000D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 shapeId="0" xr:uid="{00000000-0006-0000-0000-0000D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 shapeId="0" xr:uid="{00000000-0006-0000-0000-0000D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 shapeId="0" xr:uid="{00000000-0006-0000-0000-0000D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4" authorId="0" shapeId="0" xr:uid="{00000000-0006-0000-0000-0000D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4" authorId="1" shapeId="0" xr:uid="{00000000-0006-0000-0000-0000D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5" authorId="0" shapeId="0" xr:uid="{00000000-0006-0000-0000-0000D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5" authorId="0" shapeId="0" xr:uid="{00000000-0006-0000-0000-0000E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5" authorId="0" shapeId="0" xr:uid="{00000000-0006-0000-0000-0000E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5" authorId="0" shapeId="0" xr:uid="{00000000-0006-0000-0000-0000E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5" authorId="0" shapeId="0" xr:uid="{00000000-0006-0000-0000-0000E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5" authorId="1" shapeId="0" xr:uid="{00000000-0006-0000-0000-0000E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0" authorId="0" shapeId="0" xr:uid="{00000000-0006-0000-0000-0000E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0" authorId="0" shapeId="0" xr:uid="{00000000-0006-0000-0000-0000E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0" authorId="0" shapeId="0" xr:uid="{00000000-0006-0000-0000-0000E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0" authorId="0" shapeId="0" xr:uid="{00000000-0006-0000-0000-0000E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0" authorId="0" shapeId="0" xr:uid="{00000000-0006-0000-0000-0000E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0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1" authorId="0" shapeId="0" xr:uid="{00000000-0006-0000-0000-0000E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1" authorId="0" shapeId="0" xr:uid="{00000000-0006-0000-0000-0000E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1" authorId="0" shapeId="0" xr:uid="{00000000-0006-0000-0000-0000E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1" authorId="0" shapeId="0" xr:uid="{00000000-0006-0000-0000-0000E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1" authorId="0" shapeId="0" xr:uid="{00000000-0006-0000-0000-0000E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1" authorId="1" shapeId="0" xr:uid="{00000000-0006-0000-0000-0000F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 xr:uid="{00000000-0006-0000-01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 xr:uid="{00000000-0006-0000-01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 xr:uid="{00000000-0006-0000-01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 xr:uid="{00000000-0006-0000-01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 xr:uid="{00000000-0006-0000-01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 xr:uid="{00000000-0006-0000-01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 xr:uid="{00000000-0006-0000-01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 xr:uid="{00000000-0006-0000-01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 xr:uid="{00000000-0006-0000-01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00000000-0006-0000-01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00000000-0006-0000-01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 xr:uid="{00000000-0006-0000-01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 xr:uid="{00000000-0006-0000-01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 xr:uid="{00000000-0006-0000-01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 xr:uid="{00000000-0006-0000-01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 xr:uid="{00000000-0006-0000-01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 xr:uid="{00000000-0006-0000-01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 xr:uid="{00000000-0006-0000-01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 xr:uid="{00000000-0006-0000-01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 xr:uid="{00000000-0006-0000-01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 xr:uid="{00000000-0006-0000-01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 xr:uid="{00000000-0006-0000-01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 xr:uid="{00000000-0006-0000-01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 xr:uid="{00000000-0006-0000-01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 xr:uid="{00000000-0006-0000-01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 xr:uid="{00000000-0006-0000-01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00000000-0006-0000-01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00000000-0006-0000-01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00000000-0006-0000-01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00000000-0006-0000-01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00000000-0006-0000-01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 xr:uid="{00000000-0006-0000-01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00000000-0006-0000-01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00000000-0006-0000-01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00000000-0006-0000-01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00000000-0006-0000-01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 xr:uid="{00000000-0006-0000-0100-00004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 xr:uid="{00000000-0006-0000-0100-00004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 xr:uid="{00000000-0006-0000-0100-00004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 xr:uid="{00000000-0006-0000-0100-00004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 xr:uid="{00000000-0006-0000-0100-00004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 xr:uid="{00000000-0006-0000-0100-00004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 xr:uid="{00000000-0006-0000-0100-00005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 xr:uid="{00000000-0006-0000-0100-00005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 xr:uid="{00000000-0006-0000-0100-00005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 xr:uid="{00000000-0006-0000-0100-00005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 xr:uid="{00000000-0006-0000-0100-00005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 xr:uid="{00000000-0006-0000-0100-00005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 xr:uid="{00000000-0006-0000-0100-00005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 xr:uid="{00000000-0006-0000-0100-00005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 xr:uid="{00000000-0006-0000-0100-00005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 xr:uid="{00000000-0006-0000-0100-00005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 xr:uid="{00000000-0006-0000-0100-00005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 xr:uid="{00000000-0006-0000-0100-00005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 xr:uid="{00000000-0006-0000-0100-00005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 xr:uid="{00000000-0006-0000-0100-00005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00000000-0006-0000-0100-00006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00000000-0006-0000-0100-00006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00000000-0006-0000-0100-00006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00000000-0006-0000-0100-00006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00000000-0006-0000-0100-00006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 xr:uid="{00000000-0006-0000-0100-00006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 xr:uid="{00000000-0006-0000-0100-00006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 xr:uid="{00000000-0006-0000-0100-00006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 xr:uid="{00000000-0006-0000-0100-00006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 xr:uid="{00000000-0006-0000-0100-00006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 xr:uid="{00000000-0006-0000-0100-00006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 xr:uid="{00000000-0006-0000-0100-00006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 xr:uid="{00000000-0006-0000-0100-00006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 xr:uid="{00000000-0006-0000-0100-00007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00000000-0006-0000-0100-00007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 xr:uid="{00000000-0006-0000-0100-00007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 xr:uid="{00000000-0006-0000-0100-00007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 xr:uid="{00000000-0006-0000-0100-00007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 xr:uid="{00000000-0006-0000-0100-00007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 xr:uid="{00000000-0006-0000-0100-00007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 xr:uid="{00000000-0006-0000-0100-00007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 xr:uid="{00000000-0006-0000-0100-00007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 xr:uid="{00000000-0006-0000-0100-00007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 xr:uid="{00000000-0006-0000-0100-00007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 xr:uid="{00000000-0006-0000-0100-00007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00000000-0006-0000-0100-00007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00000000-0006-0000-0100-00008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00000000-0006-0000-0100-00008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00000000-0006-0000-0100-00008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00000000-0006-0000-0100-00008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00000000-0006-0000-0100-00008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00000000-0006-0000-0100-00008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00000000-0006-0000-0100-00008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00000000-0006-0000-0100-00008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00000000-0006-0000-0100-00008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00000000-0006-0000-0100-00008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 xr:uid="{00000000-0006-0000-0100-00008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 xr:uid="{00000000-0006-0000-0100-00008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 xr:uid="{00000000-0006-0000-0100-00008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 xr:uid="{00000000-0006-0000-0100-00008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 xr:uid="{00000000-0006-0000-0100-00008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 xr:uid="{00000000-0006-0000-0100-00009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 xr:uid="{00000000-0006-0000-0100-00009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 xr:uid="{00000000-0006-0000-0100-00009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 xr:uid="{00000000-0006-0000-0100-00009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 xr:uid="{00000000-0006-0000-0100-00009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 xr:uid="{00000000-0006-0000-0100-00009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 xr:uid="{00000000-0006-0000-0100-00009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 xr:uid="{00000000-0006-0000-0100-00009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 xr:uid="{00000000-0006-0000-0100-00009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 xr:uid="{00000000-0006-0000-0100-00009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 xr:uid="{00000000-0006-0000-0100-00009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 xr:uid="{00000000-0006-0000-0100-00009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 xr:uid="{00000000-0006-0000-0100-00009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 xr:uid="{00000000-0006-0000-0100-00009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 xr:uid="{00000000-0006-0000-0100-0000A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 xr:uid="{00000000-0006-0000-0100-0000A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 xr:uid="{00000000-0006-0000-0100-0000A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 xr:uid="{00000000-0006-0000-0100-0000A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 xr:uid="{00000000-0006-0000-0100-0000A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 xr:uid="{00000000-0006-0000-0100-0000A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 xr:uid="{00000000-0006-0000-0100-0000A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 xr:uid="{00000000-0006-0000-0100-0000A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 xr:uid="{00000000-0006-0000-0100-0000A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 xr:uid="{00000000-0006-0000-0100-0000A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 xr:uid="{00000000-0006-0000-0100-0000A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00000000-0006-0000-0100-0000A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00000000-0006-0000-0100-0000A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 xr:uid="{00000000-0006-0000-0100-0000A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 xr:uid="{00000000-0006-0000-0100-0000B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 xr:uid="{00000000-0006-0000-0100-0000B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 xr:uid="{00000000-0006-0000-0100-0000B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 xr:uid="{00000000-0006-0000-0100-0000B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 xr:uid="{00000000-0006-0000-0100-0000B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 xr:uid="{00000000-0006-0000-0100-0000B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 xr:uid="{00000000-0006-0000-0100-0000B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 xr:uid="{00000000-0006-0000-0100-0000B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 xr:uid="{00000000-0006-0000-0100-0000B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 xr:uid="{00000000-0006-0000-0100-0000B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 xr:uid="{00000000-0006-0000-0100-0000B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 xr:uid="{00000000-0006-0000-0100-0000B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 xr:uid="{00000000-0006-0000-0100-0000B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 xr:uid="{00000000-0006-0000-0100-0000B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 xr:uid="{00000000-0006-0000-0100-0000C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 xr:uid="{00000000-0006-0000-0100-0000C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 xr:uid="{00000000-0006-0000-0100-0000C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 xr:uid="{00000000-0006-0000-0100-0000C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 xr:uid="{00000000-0006-0000-0100-0000C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 xr:uid="{00000000-0006-0000-0100-0000C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 xr:uid="{00000000-0006-0000-0100-0000C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 xr:uid="{00000000-0006-0000-0100-0000C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 xr:uid="{00000000-0006-0000-0100-0000C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 xr:uid="{00000000-0006-0000-0100-0000C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 xr:uid="{00000000-0006-0000-0100-0000C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8" authorId="0" shapeId="0" xr:uid="{00000000-0006-0000-0100-0000C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8" authorId="0" shapeId="0" xr:uid="{00000000-0006-0000-0100-0000C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8" authorId="0" shapeId="0" xr:uid="{00000000-0006-0000-0100-0000C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8" authorId="0" shapeId="0" xr:uid="{00000000-0006-0000-0100-0000D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8" authorId="0" shapeId="0" xr:uid="{00000000-0006-0000-0100-0000D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8" authorId="1" shapeId="0" xr:uid="{00000000-0006-0000-0100-0000D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 xr:uid="{00000000-0006-0000-02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00000000-0006-0000-02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00000000-0006-0000-02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00000000-0006-0000-02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00000000-0006-0000-02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00000000-0006-0000-02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 xr:uid="{00000000-0006-0000-02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 xr:uid="{00000000-0006-0000-02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 xr:uid="{00000000-0006-0000-02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 xr:uid="{00000000-0006-0000-02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 xr:uid="{00000000-0006-0000-02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 xr:uid="{00000000-0006-0000-02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 xr:uid="{00000000-0006-0000-02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 xr:uid="{00000000-0006-0000-02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 xr:uid="{00000000-0006-0000-02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 xr:uid="{00000000-0006-0000-02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 xr:uid="{00000000-0006-0000-02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00000000-0006-0000-02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00000000-0006-0000-02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00000000-0006-0000-02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00000000-0006-0000-02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00000000-0006-0000-02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00000000-0006-0000-02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 shapeId="0" xr:uid="{00000000-0006-0000-02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 xr:uid="{00000000-0006-0000-02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 xr:uid="{00000000-0006-0000-02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 xr:uid="{00000000-0006-0000-02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 xr:uid="{00000000-0006-0000-02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 xr:uid="{00000000-0006-0000-02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 xr:uid="{00000000-0006-0000-02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 xr:uid="{00000000-0006-0000-02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 xr:uid="{00000000-0006-0000-02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 xr:uid="{00000000-0006-0000-02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 xr:uid="{00000000-0006-0000-02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 xr:uid="{00000000-0006-0000-02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 xr:uid="{00000000-0006-0000-02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 xr:uid="{00000000-0006-0000-02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 xr:uid="{00000000-0006-0000-02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 xr:uid="{00000000-0006-0000-02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 xr:uid="{00000000-0006-0000-02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 xr:uid="{00000000-0006-0000-02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 xr:uid="{00000000-0006-0000-0200-00004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 xr:uid="{00000000-0006-0000-0200-00004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 xr:uid="{00000000-0006-0000-0200-00004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 xr:uid="{00000000-0006-0000-0200-00004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 xr:uid="{00000000-0006-0000-0200-00004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 xr:uid="{00000000-0006-0000-0200-00004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 shapeId="0" xr:uid="{00000000-0006-0000-0200-00004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 shapeId="0" xr:uid="{00000000-0006-0000-0200-00005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 shapeId="0" xr:uid="{00000000-0006-0000-0200-00005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 xr:uid="{00000000-0006-0000-0200-00005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 xr:uid="{00000000-0006-0000-0200-00005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 xr:uid="{00000000-0006-0000-0200-00005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 xr:uid="{00000000-0006-0000-0200-00005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 xr:uid="{00000000-0006-0000-0200-00005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 xr:uid="{00000000-0006-0000-0200-00005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 xr:uid="{00000000-0006-0000-0200-00005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 xr:uid="{00000000-0006-0000-0200-00005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 xr:uid="{00000000-0006-0000-0200-00005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00000000-0006-0000-0200-00005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00000000-0006-0000-0200-00005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00000000-0006-0000-0200-00005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00000000-0006-0000-0200-00005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00000000-0006-0000-0200-00005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00000000-0006-0000-0200-00006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 xr:uid="{00000000-0006-0000-0200-00006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 xr:uid="{00000000-0006-0000-0200-00006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 xr:uid="{00000000-0006-0000-0200-00006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 xr:uid="{00000000-0006-0000-0200-00006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 shapeId="0" xr:uid="{00000000-0006-0000-0200-00006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9" authorId="1" shapeId="0" xr:uid="{00000000-0006-0000-0200-00006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 xr:uid="{00000000-0006-0000-0200-00006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 xr:uid="{00000000-0006-0000-0200-00006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 xr:uid="{00000000-0006-0000-0200-00006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 xr:uid="{00000000-0006-0000-0200-00006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 xr:uid="{00000000-0006-0000-0200-00006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 xr:uid="{00000000-0006-0000-0200-00006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00000000-0006-0000-0200-00006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00000000-0006-0000-0200-00006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00000000-0006-0000-0200-00006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00000000-0006-0000-0200-00007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00000000-0006-0000-0200-00007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00000000-0006-0000-0200-00007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00000000-0006-0000-0200-00007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00000000-0006-0000-0200-00007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00000000-0006-0000-0200-00007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00000000-0006-0000-0200-00007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00000000-0006-0000-0200-00007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00000000-0006-0000-0200-00007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 xr:uid="{00000000-0006-0000-0200-00007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 xr:uid="{00000000-0006-0000-0200-00007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 xr:uid="{00000000-0006-0000-0200-00007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 xr:uid="{00000000-0006-0000-0200-00007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 xr:uid="{00000000-0006-0000-0200-00007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 xr:uid="{00000000-0006-0000-0200-00007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 shapeId="0" xr:uid="{00000000-0006-0000-0200-00007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 shapeId="0" xr:uid="{00000000-0006-0000-0200-00008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 shapeId="0" xr:uid="{00000000-0006-0000-0200-00008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 shapeId="0" xr:uid="{00000000-0006-0000-0200-00008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 shapeId="0" xr:uid="{00000000-0006-0000-0200-00008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 shapeId="0" xr:uid="{00000000-0006-0000-0200-00008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 xr:uid="{00000000-0006-0000-0200-00008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 xr:uid="{00000000-0006-0000-0200-00008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 xr:uid="{00000000-0006-0000-0200-00008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 xr:uid="{00000000-0006-0000-0200-00008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 xr:uid="{00000000-0006-0000-0200-00008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 xr:uid="{00000000-0006-0000-0200-00008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 xr:uid="{00000000-0006-0000-0200-00008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 xr:uid="{00000000-0006-0000-0200-00008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 xr:uid="{00000000-0006-0000-0200-00008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 xr:uid="{00000000-0006-0000-0200-00008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 xr:uid="{00000000-0006-0000-0200-00008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 xr:uid="{00000000-0006-0000-0200-00009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 xr:uid="{00000000-0006-0000-0200-00009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 xr:uid="{00000000-0006-0000-0200-00009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 xr:uid="{00000000-0006-0000-0200-00009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 xr:uid="{00000000-0006-0000-0200-00009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 xr:uid="{00000000-0006-0000-0200-00009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 xr:uid="{00000000-0006-0000-0200-00009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 xr:uid="{00000000-0006-0000-0200-00009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 xr:uid="{00000000-0006-0000-0200-00009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 xr:uid="{00000000-0006-0000-0200-00009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 xr:uid="{00000000-0006-0000-0200-00009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 xr:uid="{00000000-0006-0000-0200-00009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 xr:uid="{00000000-0006-0000-0200-00009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 xr:uid="{00000000-0006-0000-0200-00009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 xr:uid="{00000000-0006-0000-0200-00009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 xr:uid="{00000000-0006-0000-0200-00009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 xr:uid="{00000000-0006-0000-0200-0000A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00000000-0006-0000-0200-0000A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00000000-0006-0000-0200-0000A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 xr:uid="{00000000-0006-0000-0200-0000A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 xr:uid="{00000000-0006-0000-0200-0000A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 xr:uid="{00000000-0006-0000-0200-0000A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 xr:uid="{00000000-0006-0000-0200-0000A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 xr:uid="{00000000-0006-0000-0200-0000A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 xr:uid="{00000000-0006-0000-0200-0000A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 xr:uid="{00000000-0006-0000-0200-0000A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 xr:uid="{00000000-0006-0000-0200-0000A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 xr:uid="{00000000-0006-0000-0200-0000A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 xr:uid="{00000000-0006-0000-0200-0000A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 xr:uid="{00000000-0006-0000-0200-0000A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 xr:uid="{00000000-0006-0000-0200-0000A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00000000-0006-0000-0200-0000A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00000000-0006-0000-0200-0000B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00000000-0006-0000-0200-0000B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00000000-0006-0000-0200-0000B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00000000-0006-0000-0200-0000B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00000000-0006-0000-0200-0000B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 xr:uid="{00000000-0006-0000-0200-0000B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 xr:uid="{00000000-0006-0000-0200-0000B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 xr:uid="{00000000-0006-0000-0200-0000B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 xr:uid="{00000000-0006-0000-0200-0000B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 xr:uid="{00000000-0006-0000-0200-0000B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 xr:uid="{00000000-0006-0000-0200-0000B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 xr:uid="{00000000-0006-0000-0200-0000B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 xr:uid="{00000000-0006-0000-0200-0000B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 xr:uid="{00000000-0006-0000-0200-0000B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 xr:uid="{00000000-0006-0000-0200-0000B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 xr:uid="{00000000-0006-0000-0200-0000B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 xr:uid="{00000000-0006-0000-0200-0000C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 xr:uid="{00000000-0006-0000-0200-0000C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 xr:uid="{00000000-0006-0000-0200-0000C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 xr:uid="{00000000-0006-0000-0200-0000C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 xr:uid="{00000000-0006-0000-0200-0000C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 shapeId="0" xr:uid="{00000000-0006-0000-0200-0000C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 shapeId="0" xr:uid="{00000000-0006-0000-0200-0000C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 shapeId="0" xr:uid="{00000000-0006-0000-0200-0000C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 shapeId="0" xr:uid="{00000000-0006-0000-0200-0000C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 shapeId="0" xr:uid="{00000000-0006-0000-0200-0000C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 shapeId="0" xr:uid="{00000000-0006-0000-0200-0000C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1" authorId="0" shapeId="0" xr:uid="{00000000-0006-0000-0200-0000C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1" authorId="1" shapeId="0" xr:uid="{00000000-0006-0000-0200-0000C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7" authorId="0" shapeId="0" xr:uid="{00000000-0006-0000-0200-0000C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7" authorId="0" shapeId="0" xr:uid="{00000000-0006-0000-0200-0000C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7" authorId="0" shapeId="0" xr:uid="{00000000-0006-0000-0200-0000C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7" authorId="0" shapeId="0" xr:uid="{00000000-0006-0000-0200-0000D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7" authorId="0" shapeId="0" xr:uid="{00000000-0006-0000-0200-0000D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7" authorId="1" shapeId="0" xr:uid="{00000000-0006-0000-0200-0000D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8" authorId="0" shapeId="0" xr:uid="{00000000-0006-0000-0200-0000D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8" authorId="0" shapeId="0" xr:uid="{00000000-0006-0000-0200-0000D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8" authorId="0" shapeId="0" xr:uid="{00000000-0006-0000-0200-0000D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8" authorId="0" shapeId="0" xr:uid="{00000000-0006-0000-0200-0000D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8" authorId="0" shapeId="0" xr:uid="{00000000-0006-0000-0200-0000D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8" authorId="1" shapeId="0" xr:uid="{00000000-0006-0000-0200-0000D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1" authorId="0" shapeId="0" xr:uid="{00000000-0006-0000-0200-0000D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1" authorId="0" shapeId="0" xr:uid="{00000000-0006-0000-0200-0000D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1" authorId="0" shapeId="0" xr:uid="{00000000-0006-0000-0200-0000D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1" authorId="0" shapeId="0" xr:uid="{00000000-0006-0000-0200-0000D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1" authorId="0" shapeId="0" xr:uid="{00000000-0006-0000-0200-0000D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1" authorId="1" shapeId="0" xr:uid="{00000000-0006-0000-0200-0000D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2" authorId="0" shapeId="0" xr:uid="{00000000-0006-0000-0200-0000D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2" authorId="0" shapeId="0" xr:uid="{00000000-0006-0000-0200-0000E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2" authorId="0" shapeId="0" xr:uid="{00000000-0006-0000-0200-0000E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2" authorId="0" shapeId="0" xr:uid="{00000000-0006-0000-0200-0000E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2" authorId="0" shapeId="0" xr:uid="{00000000-0006-0000-0200-0000E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2" authorId="1" shapeId="0" xr:uid="{00000000-0006-0000-0200-0000E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 xr:uid="{00000000-0006-0000-03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 xr:uid="{00000000-0006-0000-03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 xr:uid="{00000000-0006-0000-03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 xr:uid="{00000000-0006-0000-03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 xr:uid="{00000000-0006-0000-03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 xr:uid="{00000000-0006-0000-03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 xr:uid="{00000000-0006-0000-03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 xr:uid="{00000000-0006-0000-03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 xr:uid="{00000000-0006-0000-03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 xr:uid="{00000000-0006-0000-03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 xr:uid="{00000000-0006-0000-03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 xr:uid="{00000000-0006-0000-03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 xr:uid="{00000000-0006-0000-03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 xr:uid="{00000000-0006-0000-03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 xr:uid="{00000000-0006-0000-03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 xr:uid="{00000000-0006-0000-03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 xr:uid="{00000000-0006-0000-03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 xr:uid="{00000000-0006-0000-03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 xr:uid="{00000000-0006-0000-03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 xr:uid="{00000000-0006-0000-03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 xr:uid="{00000000-0006-0000-03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 xr:uid="{00000000-0006-0000-03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 xr:uid="{00000000-0006-0000-03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 xr:uid="{00000000-0006-0000-03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 xr:uid="{00000000-0006-0000-03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 xr:uid="{00000000-0006-0000-03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 shapeId="0" xr:uid="{00000000-0006-0000-03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 shapeId="0" xr:uid="{00000000-0006-0000-03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 shapeId="0" xr:uid="{00000000-0006-0000-03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7" authorId="0" shapeId="0" xr:uid="{00000000-0006-0000-03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7" authorId="1" shapeId="0" xr:uid="{00000000-0006-0000-03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00000000-0006-0000-03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00000000-0006-0000-03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00000000-0006-0000-03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00000000-0006-0000-03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 xr:uid="{00000000-0006-0000-0300-00004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 xr:uid="{00000000-0006-0000-0300-00004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 xr:uid="{00000000-0006-0000-0300-00004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 xr:uid="{00000000-0006-0000-0300-00004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 xr:uid="{00000000-0006-0000-0300-00004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 xr:uid="{00000000-0006-0000-0300-00005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 xr:uid="{00000000-0006-0000-0300-00005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 xr:uid="{00000000-0006-0000-0300-00005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 xr:uid="{00000000-0006-0000-0300-00005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 xr:uid="{00000000-0006-0000-0300-00005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 shapeId="0" xr:uid="{00000000-0006-0000-0300-00005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 shapeId="0" xr:uid="{00000000-0006-0000-0300-00005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 shapeId="0" xr:uid="{00000000-0006-0000-0300-00005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 shapeId="0" xr:uid="{00000000-0006-0000-0300-00005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 shapeId="0" xr:uid="{00000000-0006-0000-0300-00005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 shapeId="0" xr:uid="{00000000-0006-0000-0300-00005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 xr:uid="{00000000-0006-0000-0300-00005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 xr:uid="{00000000-0006-0000-0300-00005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 xr:uid="{00000000-0006-0000-0300-00005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 xr:uid="{00000000-0006-0000-0300-00005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 xr:uid="{00000000-0006-0000-0300-00005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 xr:uid="{00000000-0006-0000-0300-00006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 xr:uid="{00000000-0006-0000-0300-00006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 xr:uid="{00000000-0006-0000-0300-00006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 xr:uid="{00000000-0006-0000-0300-00006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 xr:uid="{00000000-0006-0000-0300-00006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 xr:uid="{00000000-0006-0000-0300-00006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 xr:uid="{00000000-0006-0000-0300-00006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 shapeId="0" xr:uid="{00000000-0006-0000-0300-00006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 shapeId="0" xr:uid="{00000000-0006-0000-0300-00006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 shapeId="0" xr:uid="{00000000-0006-0000-0300-00006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 xr:uid="{00000000-0006-0000-0300-00006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 xr:uid="{00000000-0006-0000-0300-00006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 xr:uid="{00000000-0006-0000-0300-00006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 xr:uid="{00000000-0006-0000-0300-00006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 xr:uid="{00000000-0006-0000-0300-00006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 xr:uid="{00000000-0006-0000-0300-00006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 xr:uid="{00000000-0006-0000-0300-00007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 xr:uid="{00000000-0006-0000-0300-00007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 xr:uid="{00000000-0006-0000-0300-00007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 xr:uid="{00000000-0006-0000-0300-00007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 xr:uid="{00000000-0006-0000-0300-00007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 xr:uid="{00000000-0006-0000-0300-00007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 xr:uid="{00000000-0006-0000-0300-00007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 xr:uid="{00000000-0006-0000-0300-00007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 xr:uid="{00000000-0006-0000-0300-00007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 xr:uid="{00000000-0006-0000-0300-00007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 xr:uid="{00000000-0006-0000-0300-00007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 xr:uid="{00000000-0006-0000-0300-00007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 xr:uid="{00000000-0006-0000-0300-00007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 shapeId="0" xr:uid="{00000000-0006-0000-0300-00007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9" authorId="1" shapeId="0" xr:uid="{00000000-0006-0000-0300-00007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 xr:uid="{00000000-0006-0000-0300-00007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 xr:uid="{00000000-0006-0000-0300-00008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 xr:uid="{00000000-0006-0000-0300-00008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 xr:uid="{00000000-0006-0000-0300-00008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 xr:uid="{00000000-0006-0000-0300-00008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 xr:uid="{00000000-0006-0000-0300-00008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 xr:uid="{00000000-0006-0000-0300-00008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 xr:uid="{00000000-0006-0000-0300-00008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 xr:uid="{00000000-0006-0000-0300-00008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 xr:uid="{00000000-0006-0000-0300-00008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 xr:uid="{00000000-0006-0000-0300-00008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 xr:uid="{00000000-0006-0000-0300-00008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00000000-0006-0000-0300-00008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00000000-0006-0000-0300-00008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00000000-0006-0000-0300-00008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00000000-0006-0000-0300-00008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00000000-0006-0000-0300-00008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00000000-0006-0000-0300-00009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 xr:uid="{00000000-0006-0000-0300-00009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 xr:uid="{00000000-0006-0000-0300-00009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 xr:uid="{00000000-0006-0000-0300-00009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 xr:uid="{00000000-0006-0000-0300-00009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 xr:uid="{00000000-0006-0000-0300-00009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 xr:uid="{00000000-0006-0000-0300-00009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 xr:uid="{00000000-0006-0000-0300-00009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 xr:uid="{00000000-0006-0000-0300-00009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 xr:uid="{00000000-0006-0000-0300-00009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 xr:uid="{00000000-0006-0000-0300-00009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 xr:uid="{00000000-0006-0000-0300-00009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 xr:uid="{00000000-0006-0000-0300-00009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 xr:uid="{00000000-0006-0000-0300-00009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 xr:uid="{00000000-0006-0000-0300-00009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 xr:uid="{00000000-0006-0000-0300-00009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 xr:uid="{00000000-0006-0000-0300-0000A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 xr:uid="{00000000-0006-0000-0300-0000A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 xr:uid="{00000000-0006-0000-0300-0000A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 xr:uid="{00000000-0006-0000-0300-0000A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 xr:uid="{00000000-0006-0000-0300-0000A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 xr:uid="{00000000-0006-0000-0300-0000A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 xr:uid="{00000000-0006-0000-0300-0000A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 xr:uid="{00000000-0006-0000-0300-0000A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 xr:uid="{00000000-0006-0000-0300-0000A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 xr:uid="{00000000-0006-0000-0300-0000A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 xr:uid="{00000000-0006-0000-0300-0000A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 xr:uid="{00000000-0006-0000-0300-0000A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 xr:uid="{00000000-0006-0000-0300-0000A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 xr:uid="{00000000-0006-0000-0300-0000A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 xr:uid="{00000000-0006-0000-0300-0000A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 xr:uid="{00000000-0006-0000-0300-0000A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 xr:uid="{00000000-0006-0000-0300-0000B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 xr:uid="{00000000-0006-0000-0300-0000B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 xr:uid="{00000000-0006-0000-0300-0000B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 xr:uid="{00000000-0006-0000-0300-0000B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 xr:uid="{00000000-0006-0000-0300-0000B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 xr:uid="{00000000-0006-0000-0300-0000B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 xr:uid="{00000000-0006-0000-0300-0000B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 xr:uid="{00000000-0006-0000-0300-0000B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 xr:uid="{00000000-0006-0000-0300-0000B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 xr:uid="{00000000-0006-0000-0300-0000B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 xr:uid="{00000000-0006-0000-0300-0000B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 xr:uid="{00000000-0006-0000-0300-0000B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 xr:uid="{00000000-0006-0000-0300-0000B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 xr:uid="{00000000-0006-0000-0300-0000B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 xr:uid="{00000000-0006-0000-0300-0000B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 xr:uid="{00000000-0006-0000-0300-0000B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 xr:uid="{00000000-0006-0000-0300-0000C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 xr:uid="{00000000-0006-0000-0300-0000C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 xr:uid="{00000000-0006-0000-0300-0000C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 xr:uid="{00000000-0006-0000-0300-0000C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 xr:uid="{00000000-0006-0000-0300-0000C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 xr:uid="{00000000-0006-0000-0300-0000C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 xr:uid="{00000000-0006-0000-0300-0000C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00000000-0006-0000-0300-0000C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00000000-0006-0000-0300-0000C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00000000-0006-0000-0300-0000C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00000000-0006-0000-0300-0000C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00000000-0006-0000-0300-0000C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00000000-0006-0000-0300-0000C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 xr:uid="{00000000-0006-0000-0300-0000C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 xr:uid="{00000000-0006-0000-0300-0000C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 xr:uid="{00000000-0006-0000-0300-0000C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 xr:uid="{00000000-0006-0000-0300-0000D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 xr:uid="{00000000-0006-0000-0300-0000D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 xr:uid="{00000000-0006-0000-0300-0000D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 xr:uid="{00000000-0006-0000-0300-0000D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 xr:uid="{00000000-0006-0000-0300-0000D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 xr:uid="{00000000-0006-0000-0300-0000D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 xr:uid="{00000000-0006-0000-0300-0000D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 xr:uid="{00000000-0006-0000-0300-0000D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 xr:uid="{00000000-0006-0000-0300-0000D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 xr:uid="{00000000-0006-0000-0300-0000D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 xr:uid="{00000000-0006-0000-0300-0000D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 xr:uid="{00000000-0006-0000-0300-0000D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 xr:uid="{00000000-0006-0000-0300-0000D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 xr:uid="{00000000-0006-0000-0300-0000D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 xr:uid="{00000000-0006-0000-0300-0000D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 xr:uid="{00000000-0006-0000-0400-00001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 xr:uid="{00000000-0006-0000-0400-00001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 xr:uid="{00000000-0006-0000-0400-00001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 xr:uid="{00000000-0006-0000-0400-00001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 xr:uid="{00000000-0006-0000-0400-00001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 xr:uid="{00000000-0006-0000-0400-00001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 xr:uid="{00000000-0006-0000-0400-00001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 xr:uid="{00000000-0006-0000-0400-00001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 xr:uid="{00000000-0006-0000-0400-00001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 xr:uid="{00000000-0006-0000-0400-00002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 xr:uid="{00000000-0006-0000-0400-00002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 xr:uid="{00000000-0006-0000-0400-00002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 xr:uid="{00000000-0006-0000-0400-00002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 xr:uid="{00000000-0006-0000-0400-00002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 xr:uid="{00000000-0006-0000-0400-00002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 xr:uid="{00000000-0006-0000-0400-00002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 xr:uid="{00000000-0006-0000-0400-00002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 xr:uid="{00000000-0006-0000-0400-00002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00000000-0006-0000-0400-00002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00000000-0006-0000-0400-00002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00000000-0006-0000-0400-00002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00000000-0006-0000-0400-00002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00000000-0006-0000-0400-00002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00000000-0006-0000-0400-00003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 xr:uid="{00000000-0006-0000-0400-00003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 xr:uid="{00000000-0006-0000-0400-00003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 xr:uid="{00000000-0006-0000-0400-00003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 xr:uid="{00000000-0006-0000-0400-00003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 xr:uid="{00000000-0006-0000-0400-00003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 xr:uid="{00000000-0006-0000-0400-00003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 xr:uid="{00000000-0006-0000-0400-00003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 xr:uid="{00000000-0006-0000-0400-00003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 xr:uid="{00000000-0006-0000-0400-00003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 xr:uid="{00000000-0006-0000-0400-00003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 xr:uid="{00000000-0006-0000-0400-00003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 xr:uid="{00000000-0006-0000-0400-00003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 shapeId="0" xr:uid="{00000000-0006-0000-0400-00003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 shapeId="0" xr:uid="{00000000-0006-0000-0400-00003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 shapeId="0" xr:uid="{00000000-0006-0000-0400-00003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 shapeId="0" xr:uid="{00000000-0006-0000-0400-00004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7" authorId="0" shapeId="0" xr:uid="{00000000-0006-0000-0400-00004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7" authorId="1" shapeId="0" xr:uid="{00000000-0006-0000-0400-00004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 shapeId="0" xr:uid="{00000000-0006-0000-0400-00004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 xr:uid="{00000000-0006-0000-0400-00004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 xr:uid="{00000000-0006-0000-0400-00004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 xr:uid="{00000000-0006-0000-0400-00004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 xr:uid="{00000000-0006-0000-0400-00004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 xr:uid="{00000000-0006-0000-0400-00004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 xr:uid="{00000000-0006-0000-0400-00004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 xr:uid="{00000000-0006-0000-0400-00004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 xr:uid="{00000000-0006-0000-0400-00004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 xr:uid="{00000000-0006-0000-0400-00004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 xr:uid="{00000000-0006-0000-0400-00004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 xr:uid="{00000000-0006-0000-0400-00004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 xr:uid="{00000000-0006-0000-0400-00004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00000000-0006-0000-0400-00005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00000000-0006-0000-0400-00005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00000000-0006-0000-0400-00005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00000000-0006-0000-0400-00005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00000000-0006-0000-0400-00005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 xr:uid="{00000000-0006-0000-0400-00005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 xr:uid="{00000000-0006-0000-0400-00005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 xr:uid="{00000000-0006-0000-0400-00005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 xr:uid="{00000000-0006-0000-0400-00005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 xr:uid="{00000000-0006-0000-0400-00005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 xr:uid="{00000000-0006-0000-0400-00005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 xr:uid="{00000000-0006-0000-0400-00005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 xr:uid="{00000000-0006-0000-0400-00005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 xr:uid="{00000000-0006-0000-0400-00005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 xr:uid="{00000000-0006-0000-0400-00005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 xr:uid="{00000000-0006-0000-0400-00005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 xr:uid="{00000000-0006-0000-0400-00006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 xr:uid="{00000000-0006-0000-0400-00006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 xr:uid="{00000000-0006-0000-0400-00006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 xr:uid="{00000000-0006-0000-0400-00006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 xr:uid="{00000000-0006-0000-0400-00006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 xr:uid="{00000000-0006-0000-0400-00006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 xr:uid="{00000000-0006-0000-0400-00006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 shapeId="0" xr:uid="{00000000-0006-0000-0400-00006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 shapeId="0" xr:uid="{00000000-0006-0000-0400-00006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 shapeId="0" xr:uid="{00000000-0006-0000-0400-00006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 xr:uid="{00000000-0006-0000-0400-00006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 xr:uid="{00000000-0006-0000-0400-00006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 xr:uid="{00000000-0006-0000-0400-00006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 xr:uid="{00000000-0006-0000-0400-00006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 xr:uid="{00000000-0006-0000-0400-00006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 xr:uid="{00000000-0006-0000-0400-00006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 xr:uid="{00000000-0006-0000-0400-00007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 xr:uid="{00000000-0006-0000-0400-00007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 xr:uid="{00000000-0006-0000-0400-00007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00000000-0006-0000-0400-00007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00000000-0006-0000-0400-00007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00000000-0006-0000-0400-00007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00000000-0006-0000-0400-00007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00000000-0006-0000-0400-00007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00000000-0006-0000-0400-00007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 xr:uid="{00000000-0006-0000-0400-00007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 xr:uid="{00000000-0006-0000-0400-00007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 xr:uid="{00000000-0006-0000-0400-00007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 xr:uid="{00000000-0006-0000-0400-00007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 xr:uid="{00000000-0006-0000-0400-00007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 xr:uid="{00000000-0006-0000-0400-00007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 xr:uid="{00000000-0006-0000-0400-00007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 xr:uid="{00000000-0006-0000-0400-00008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 xr:uid="{00000000-0006-0000-0400-00008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 xr:uid="{00000000-0006-0000-0400-00008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00000000-0006-0000-0400-00008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00000000-0006-0000-0400-00008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 xr:uid="{00000000-0006-0000-0400-00008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 xr:uid="{00000000-0006-0000-0400-00008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 xr:uid="{00000000-0006-0000-0400-00008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 xr:uid="{00000000-0006-0000-0400-00008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 xr:uid="{00000000-0006-0000-0400-00008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 xr:uid="{00000000-0006-0000-0400-00008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 xr:uid="{00000000-0006-0000-0400-00008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 xr:uid="{00000000-0006-0000-0400-00008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 xr:uid="{00000000-0006-0000-0400-00008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 xr:uid="{00000000-0006-0000-0400-00008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 xr:uid="{00000000-0006-0000-0400-00008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 xr:uid="{00000000-0006-0000-0400-00009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 shapeId="0" xr:uid="{00000000-0006-0000-0400-00009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 shapeId="0" xr:uid="{00000000-0006-0000-0400-00009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 shapeId="0" xr:uid="{00000000-0006-0000-0400-00009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 shapeId="0" xr:uid="{00000000-0006-0000-0400-00009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 shapeId="0" xr:uid="{00000000-0006-0000-0400-00009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 shapeId="0" xr:uid="{00000000-0006-0000-0400-00009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 xr:uid="{00000000-0006-0000-0400-00009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 xr:uid="{00000000-0006-0000-0400-00009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 xr:uid="{00000000-0006-0000-0400-00009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 xr:uid="{00000000-0006-0000-0400-00009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 xr:uid="{00000000-0006-0000-0400-00009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 xr:uid="{00000000-0006-0000-0400-00009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 xr:uid="{00000000-0006-0000-0400-00009D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 xr:uid="{00000000-0006-0000-0400-00009E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 xr:uid="{00000000-0006-0000-0400-00009F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 xr:uid="{00000000-0006-0000-0400-0000A0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 xr:uid="{00000000-0006-0000-0400-0000A1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 xr:uid="{00000000-0006-0000-0400-0000A2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 xr:uid="{25C79D21-39CF-4ACF-BE33-F29C003DEA0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 xr:uid="{163B2D49-2B20-44D0-B7E0-A5116FA408C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 xr:uid="{5595633B-B630-4CF3-8BE4-E66D389AC13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 xr:uid="{4E4B6D33-4B1F-4E13-9C4F-5CB0C7CB5F6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 xr:uid="{96711E5D-2775-439E-A0EB-B13D3528677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 xr:uid="{C5D7262F-04A8-4E98-BBA6-83A3FBF7371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 xr:uid="{00000000-0006-0000-0400-0000A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 xr:uid="{00000000-0006-0000-0400-0000A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 xr:uid="{00000000-0006-0000-0400-0000A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 xr:uid="{00000000-0006-0000-0400-0000A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 xr:uid="{00000000-0006-0000-0400-0000A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 xr:uid="{00000000-0006-0000-0400-0000A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 xr:uid="{00000000-0006-0000-0400-0000A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 xr:uid="{00000000-0006-0000-0400-0000A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 xr:uid="{00000000-0006-0000-0400-0000A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 xr:uid="{00000000-0006-0000-0400-0000A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 xr:uid="{00000000-0006-0000-0400-0000A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 xr:uid="{00000000-0006-0000-0400-0000A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 xr:uid="{00000000-0006-0000-0400-0000A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 xr:uid="{00000000-0006-0000-0400-0000B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 xr:uid="{00000000-0006-0000-0400-0000B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 xr:uid="{00000000-0006-0000-0400-0000B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 xr:uid="{00000000-0006-0000-0400-0000B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 xr:uid="{00000000-0006-0000-0400-0000B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 xr:uid="{00000000-0006-0000-0400-0000B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 xr:uid="{00000000-0006-0000-0400-0000B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 xr:uid="{00000000-0006-0000-0400-0000B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 xr:uid="{00000000-0006-0000-0400-0000B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 xr:uid="{00000000-0006-0000-0400-0000B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 xr:uid="{00000000-0006-0000-0400-0000B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 xr:uid="{00000000-0006-0000-0400-0000B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 xr:uid="{00000000-0006-0000-0400-0000B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 xr:uid="{00000000-0006-0000-0400-0000B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 xr:uid="{00000000-0006-0000-0400-0000B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 xr:uid="{00000000-0006-0000-0400-0000B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 xr:uid="{00000000-0006-0000-0400-0000C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00000000-0006-0000-0400-0000C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00000000-0006-0000-0400-0000C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00000000-0006-0000-0400-0000C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00000000-0006-0000-0400-0000C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00000000-0006-0000-0400-0000C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00000000-0006-0000-0400-0000C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 xr:uid="{00000000-0006-0000-0400-0000C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 xr:uid="{00000000-0006-0000-0400-0000C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 xr:uid="{00000000-0006-0000-0400-0000C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 xr:uid="{00000000-0006-0000-0400-0000C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 xr:uid="{00000000-0006-0000-0400-0000C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 xr:uid="{00000000-0006-0000-0400-0000C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 shapeId="0" xr:uid="{00000000-0006-0000-0400-0000D3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 shapeId="0" xr:uid="{00000000-0006-0000-0400-0000D4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 shapeId="0" xr:uid="{00000000-0006-0000-0400-0000D5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 shapeId="0" xr:uid="{00000000-0006-0000-0400-0000D6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3" authorId="0" shapeId="0" xr:uid="{00000000-0006-0000-0400-0000D7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3" authorId="1" shapeId="0" xr:uid="{00000000-0006-0000-0400-0000D8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 xr:uid="{00000000-0006-0000-0400-0000D9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 xr:uid="{00000000-0006-0000-0400-0000DA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 xr:uid="{00000000-0006-0000-0400-0000DB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 xr:uid="{00000000-0006-0000-0400-0000DC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 xr:uid="{00000000-0006-0000-0400-0000DD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 xr:uid="{00000000-0006-0000-0400-0000DE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 shapeId="0" xr:uid="{00000000-0006-0000-0400-0000DF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 shapeId="0" xr:uid="{00000000-0006-0000-0400-0000E0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 shapeId="0" xr:uid="{00000000-0006-0000-0400-0000E1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 shapeId="0" xr:uid="{00000000-0006-0000-0400-0000E2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9" authorId="0" shapeId="0" xr:uid="{00000000-0006-0000-0400-0000E3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9" authorId="1" shapeId="0" xr:uid="{00000000-0006-0000-0400-0000E4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 shapeId="0" xr:uid="{00000000-0006-0000-0400-0000E5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 shapeId="0" xr:uid="{00000000-0006-0000-0400-0000E6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 shapeId="0" xr:uid="{00000000-0006-0000-0400-0000E7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 shapeId="0" xr:uid="{00000000-0006-0000-0400-0000E8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1" authorId="0" shapeId="0" xr:uid="{00000000-0006-0000-0400-0000E9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1" authorId="1" shapeId="0" xr:uid="{00000000-0006-0000-0400-0000EA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 shapeId="0" xr:uid="{00000000-0006-0000-0400-0000EB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 shapeId="0" xr:uid="{00000000-0006-0000-0400-0000EC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 shapeId="0" xr:uid="{00000000-0006-0000-0400-0000ED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 shapeId="0" xr:uid="{00000000-0006-0000-0400-0000EE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2" authorId="0" shapeId="0" xr:uid="{00000000-0006-0000-0400-0000EF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2" authorId="1" shapeId="0" xr:uid="{00000000-0006-0000-0400-0000F0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 shapeId="0" xr:uid="{00000000-0006-0000-0400-0000F1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 shapeId="0" xr:uid="{00000000-0006-0000-0400-0000F2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 shapeId="0" xr:uid="{00000000-0006-0000-0400-0000F3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 shapeId="0" xr:uid="{00000000-0006-0000-0400-0000F4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4" authorId="0" shapeId="0" xr:uid="{00000000-0006-0000-0400-0000F5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4" authorId="1" shapeId="0" xr:uid="{00000000-0006-0000-0400-0000F6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5" authorId="0" shapeId="0" xr:uid="{00000000-0006-0000-0400-0000F70000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5" authorId="0" shapeId="0" xr:uid="{00000000-0006-0000-0400-0000F800000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5" authorId="0" shapeId="0" xr:uid="{00000000-0006-0000-0400-0000F900000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5" authorId="0" shapeId="0" xr:uid="{00000000-0006-0000-0400-0000FA00000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5" authorId="0" shapeId="0" xr:uid="{00000000-0006-0000-0400-0000FB00000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5" authorId="1" shapeId="0" xr:uid="{00000000-0006-0000-0400-0000FC000000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8" authorId="0" shapeId="0" xr:uid="{56D60A17-B27F-458D-B4E4-EB3CC557156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 xr:uid="{AADC6F58-6533-49B5-9C70-9F1FE10F261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 xr:uid="{05F80867-749F-4842-A23D-48D479F1B27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35EAFD0F-DAF9-4856-ACB2-3EF5F38B04E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 xr:uid="{BB9DC145-476F-4E09-81A9-59070CC68C1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 xr:uid="{5B8014AE-66AB-415E-8198-A79BBDC411D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 xr:uid="{1E6F71CA-02A3-496D-9B67-D76BBB50C24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 xr:uid="{AD7C7312-4095-4CF5-8D51-5CF08239EB4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 xr:uid="{4F452269-DC1C-4867-B1D7-0583F461D93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 xr:uid="{20BB825E-7F0C-4FCE-AAE8-B740D8E5120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 xr:uid="{040CF9DF-A157-4EC5-8F3C-03E75E18E4A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 xr:uid="{9308678C-3CAF-4A60-90C9-D0D3202D5CC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 xr:uid="{0D2B5E58-B390-4BFB-B85C-D213F0806C4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F188FDFB-FB5E-460D-99AE-8D9370201E6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 xr:uid="{6D436B9F-B227-4D21-920B-241FACDE5E9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 xr:uid="{DEE60E0E-50A4-4B2E-A263-40A0EF67B19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 xr:uid="{5F6F2C20-EFE7-4609-8964-7D7E143CC78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 xr:uid="{3671DE49-4067-4663-8E2A-AC1643055EB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 xr:uid="{1B95760A-E1B0-4EA3-86D8-C1DA7103C03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 xr:uid="{4BA316F1-E66D-443B-B871-F1DDE54AEBF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 xr:uid="{A249DC55-3747-4F81-A357-F8525E583D6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 xr:uid="{45B5D0B8-4516-442C-8ECF-AB09F2ED46B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 xr:uid="{FE7317E4-F14A-4219-A915-4C62C151A1B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 xr:uid="{6C9CDC32-F2CF-4428-944A-28DB3B48A5A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 xr:uid="{1D53EC5B-8B3E-4EC8-A506-D6B0F2AE4389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 xr:uid="{FE4E39E3-A490-426A-AE7A-CE18EFC4CFF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 xr:uid="{5B6D7D32-929A-48E0-9759-DA6044BBB18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 xr:uid="{E35C2D39-BB5A-4B53-87E8-BE786534C21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 xr:uid="{E4FAEBED-1FBD-42BD-AAB5-B2EC1AEC345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 xr:uid="{63DE56F1-65F1-4E71-B5AE-66585DD1495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 xr:uid="{F11178EF-9CA9-4518-9EDC-64D4AFA01B3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 xr:uid="{3686154E-2EA1-4A80-BF8B-4029AC28ED3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 xr:uid="{14375474-3A59-4F61-AB80-4F605BEAD5E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 xr:uid="{B511111F-B198-4BC8-BDE6-0DDB229ECA1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 xr:uid="{19AA45D6-D455-4F5B-AC02-E2D55B3ACD2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 xr:uid="{83D585BE-14FF-491F-8B23-E13908BE868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 xr:uid="{0116C2CF-1FD8-40FF-8EE3-AAB76E2217A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 xr:uid="{7129142C-417F-42F9-AE08-059A460D2BF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 xr:uid="{7CB1012E-8AB6-4582-A58C-94F9445056A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 xr:uid="{27958DA9-EA3B-460C-8865-EA12D96C5C4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 xr:uid="{CC603295-9366-4C09-91B2-46CB7900EBA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 xr:uid="{F094B7B9-06BC-4DD2-BA28-49C8C8A95F3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 xr:uid="{C345D2A5-3BBA-437F-A9F1-06270833039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 xr:uid="{EDC067FD-7E6F-491E-A099-D2169E273F4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 xr:uid="{7E2D8B3B-12B4-431F-A1A4-B59152F0BAF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 xr:uid="{D4F4263E-456D-437A-AEB5-B7555995088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 xr:uid="{F3839747-9DCA-46E2-9F74-D2153179708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 xr:uid="{C0F97097-0BCC-4CAF-838B-3033EEC5E7C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 xr:uid="{7F65617D-026E-48EC-90C8-799A80F294B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 xr:uid="{D9FCA008-BBF4-498F-B9E8-935E0B9402F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 xr:uid="{B5CC938B-124E-4322-A5B6-480DA040914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 xr:uid="{2EBE9100-A39B-4548-83DF-7DFCF841A0C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 xr:uid="{ECA45DBC-468D-4186-9FBB-A09CEF8E40F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 xr:uid="{D1A6E3F3-A146-45A0-BECE-38405DC8644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180E5F62-1B1E-4466-94D5-9F85323FFA2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36A6B0A2-B395-4E5C-8D3B-79622102D73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B43558B6-CA76-446F-95F9-4A83951CD7D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4B07C3F8-035D-4D15-8ADE-98CB91316E0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20EF0C14-3676-4646-80E6-86ABD6E13C0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DA7C4F1C-CE85-428E-94B1-FE73101AEC3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 shapeId="0" xr:uid="{8EF4A7E4-E306-4557-A1EA-FEF9EE9D7B3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 xr:uid="{563BC26C-03AA-47FA-A6AA-D9D95D2F859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 xr:uid="{C75E7C22-E5AA-410E-9B87-55C1B7FE9AE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 xr:uid="{96BAB4CA-BCA2-4C41-AAAC-24DDEE2A555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 xr:uid="{267768BA-BF21-4B4E-B459-33BFC23738E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 xr:uid="{8C07F070-32F5-4A4B-88FE-47C453525D8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 xr:uid="{A8A3248C-58B6-4557-8BA5-151894DE2CD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4A27C8D9-25FA-4C7B-8DF3-DF505C198EF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FFDDC341-0513-4F87-A0EC-82F85C66D5B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971615DD-126F-401F-9A61-02A097CBC1D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4EED1625-6C62-47C7-B33F-24380A01EF3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CD30FDCB-CC01-42B3-AC5E-98C714E94E4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 xr:uid="{87FFE6F1-7EC1-46D9-AE1F-250C5FFA5BE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 xr:uid="{195B686A-DF81-4F56-88A8-181A7C64017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 xr:uid="{B9D3D9E2-E17A-4848-B9F3-957858BB359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 xr:uid="{47E3EB53-94BB-4249-B369-209C0EC0A46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 xr:uid="{97E93F9D-661C-4C87-B094-722B927F11C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 xr:uid="{E8184661-68E1-4721-B345-4347C00E285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 xr:uid="{F9280C3A-0D09-4BB8-AF17-AB0D9D47C859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 xr:uid="{0610F5D7-66B0-4FA8-A815-46F553AF0BC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 xr:uid="{0D4D7798-2675-431F-BBFA-97045D7503C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 xr:uid="{E401FF03-4531-4C72-AD1E-099940EE099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 xr:uid="{F28EAC5D-CD76-4426-9DAD-C59837372D7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 xr:uid="{0EC86D36-0251-408E-B276-C768F91130A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 xr:uid="{217CBCBD-19C1-4A60-A5E3-AD17BE29704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 xr:uid="{41E1516C-9C83-46D5-8348-199F98817E0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 xr:uid="{7DDB38A1-3B7B-4236-8F2D-6F095E611BB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 xr:uid="{0C86CA46-A6B2-4A97-8EF8-1C5E956BA4F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 xr:uid="{9C95027E-B002-42B2-9152-27D854D0EE5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 xr:uid="{37E5E671-F7E9-414B-9569-628ED47D91E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 xr:uid="{A48A8742-FDE9-424E-B61F-2180FBACB98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 xr:uid="{E72D5FC8-3806-40F7-8D9A-EF1162EFFC9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 xr:uid="{3FFB58AC-480B-451E-9ECF-316046B4C64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 xr:uid="{DBD700C3-FF7C-41B3-81DE-1EEBAA780D1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 xr:uid="{2680347E-B8C7-47BF-ACB3-D49E4E67B67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 xr:uid="{FBED8D80-911D-46B0-B5E1-235232911EF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 xr:uid="{77453CFB-1D7A-4E12-B75A-F848D0FDFB0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 xr:uid="{3C0CDE9E-26B5-40B1-B339-ED69C7214C4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 xr:uid="{D1E97CBD-1D6A-40CA-8982-20B75816681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 xr:uid="{90B05F11-4B96-4789-96D9-DA26448A943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 xr:uid="{7CC3E4C3-DE88-4FCD-820A-68FA37CA248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 xr:uid="{1E885B76-3F64-41E7-BA58-3746BF4D6AE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 xr:uid="{16014678-5FB6-4D6D-94D0-564D025DBAF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 xr:uid="{34E2BCA1-CDA8-478A-A9C8-8ADFBA4A640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 xr:uid="{F2606F3B-AE45-4AB9-BA73-1C01FE6E279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 xr:uid="{E2903ED4-53B3-4C42-B2F8-E717D5377A1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B80ADC9C-EE1E-43C1-B46C-6EDC7474094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3D0815DA-50D0-4549-B561-43FCB63C782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 xr:uid="{BC507A73-36CA-403C-9B2D-0896424FD62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 xr:uid="{7BBC549D-BA7F-410E-844E-D5E566595D0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 xr:uid="{924020B8-ECFE-4BE9-8DAA-08773CCF35EE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 xr:uid="{0A5022EC-306C-43B2-9FF4-BDA7A0EFB7B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 xr:uid="{73EDB393-E6EA-4F57-BBE5-24BB2C2D8B3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 xr:uid="{95B61E8C-B16B-4414-A5FE-D7C1A1E7EE0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 xr:uid="{FE608840-CD4A-4C91-9177-23B0555605C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 xr:uid="{AAE82E37-5AF3-49FA-A9F1-0D996E24F65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 xr:uid="{EABD8947-00E0-438C-A2F1-F4D0CB2A9BF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 xr:uid="{02C3CB29-A210-43D2-98F3-3766966C7EB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 xr:uid="{7F5141B2-0EFC-42B1-AD86-27EBFCC23FB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 xr:uid="{131F5DF5-EA90-4802-A873-7254FBCA72F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0776A753-D90D-4251-9C92-71D78A3F117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C8D9DDC7-466F-4207-9345-092CB452D9F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7AB46897-1447-4F36-B358-CBA666FD81E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701AFDCE-AFC2-4E73-B511-7FE0CDA4C64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BEAD0606-2BB7-4ED2-8B9F-009CCD3CBF1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2C172CBC-ECE0-4212-B379-7115B868862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 xr:uid="{1BFE7835-03FA-45CA-AF79-72D7C0FE3A8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 xr:uid="{19840771-F2D9-4BDC-8719-D86EEF575D2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 xr:uid="{8D9602C9-FFBF-4ACF-B387-8364AD3A48A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 xr:uid="{8ED78763-60F4-48B9-9751-4AB673729B1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 xr:uid="{4B0FDB27-D0C6-44CF-A652-685731DFC60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 xr:uid="{D961CD66-321C-4980-9DA6-4563FA2450F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 xr:uid="{9CB8C40A-01E4-441F-A5CA-4CF0CB83C02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 xr:uid="{33262F62-1364-4EC3-88FF-12E957E6174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 xr:uid="{EF453779-2347-4A11-B131-A0E8D77E207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 xr:uid="{AED101A2-8896-4412-A3B0-95190E1F92B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 xr:uid="{4AB45ADD-7845-40BE-8F6A-6CC71A9F084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 xr:uid="{02FDCCA1-7237-4E91-B50C-4947E6C4EF3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 xr:uid="{8C8C97D3-D0C6-4806-9E33-605DE8669F4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 xr:uid="{75D0564A-69F1-4E51-8D4C-99CC72581C2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 xr:uid="{EF4AC268-8D5B-4075-978A-580A3ED179A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 xr:uid="{DCDEB388-1841-4CF5-9F3F-F9D2D27D085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 xr:uid="{1E8D3A03-BDB7-4733-BB76-AF4F3D4B8FA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 xr:uid="{0FB0C17F-5972-43AF-9913-0C2B5763C24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 xr:uid="{B3B05FA2-AD7B-4A0D-B5AF-A64D8949538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 xr:uid="{EA976CF5-B40C-41C0-B5D9-9BA8F101791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 xr:uid="{6D2D5008-209B-4FC6-A947-F2E0C911C2AE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 xr:uid="{49460975-391A-4ECB-BBB9-06B15525E42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 xr:uid="{2FEFB2F9-97B9-41D6-ACBD-9F2BBC0C9CB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 xr:uid="{A98FC486-B396-466B-BC47-E2D98C3E941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 xr:uid="{F7455580-97A6-44D9-B7F6-92EDAB9AF6A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 xr:uid="{76EB8798-0066-448F-BAC9-AA4C16C6A4E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 xr:uid="{C063B689-C5FF-47F7-B39F-ED58DDB52FB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 xr:uid="{AB912367-B765-469D-9036-32F9A2544B9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 xr:uid="{4C25E8DE-48E8-46FA-9CB0-3D08054ACC8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 xr:uid="{206D84F2-516F-42D8-9F99-AE7E8551490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 xr:uid="{CECEFE14-BEEB-4982-B59B-9D4C5F8C59E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 xr:uid="{C48607E7-5142-4243-93CA-2F58739D9D12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 xr:uid="{EC2BEF7F-4659-44F1-A90A-F708E3F1EE3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 xr:uid="{8038D61B-90FB-4495-85AA-E6B360024C3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 xr:uid="{0C69321F-E593-43D2-9770-01D8B51DF08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 xr:uid="{BCEB0E10-88CF-45B9-9EBC-B39AEFFF001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 xr:uid="{8157D9B7-7182-4883-BCB3-97791022FDE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 xr:uid="{38717A10-927E-4529-A80A-9DB5A317466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 xr:uid="{52EC26D9-DBEC-4A59-ABE0-EE1206296E5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 xr:uid="{9E9E8515-76D4-4BE3-96B2-FB9FA374D19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 xr:uid="{57FFFFE1-36B3-4243-A6B3-F0495FE5118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 xr:uid="{3CCE9A8D-C9C9-4D60-83D2-2AFA5A3E299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 xr:uid="{279B7719-A102-409F-AC6C-4C1A8EFABD6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 xr:uid="{2A96CD60-1168-429F-AD57-D7300E2335D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 xr:uid="{AD11F57C-BDF6-4294-B283-C423AD70AB8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 xr:uid="{1D05786B-8283-4337-9E0D-BF90631C4D3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1CF010CE-E157-420A-AC98-DB547D5E762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2BAE29FD-DB55-4947-AEE6-0FEEF9966C0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 xr:uid="{67629848-07FD-4DD6-BC22-907A494F4E5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 xr:uid="{6E97EBAE-C754-4C44-B2A0-A020FD68707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 xr:uid="{A3A488B4-258B-4D77-BAF8-7C73B402E3F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 xr:uid="{070D2A14-196E-444B-BAF2-891ADF06815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 xr:uid="{DFC83130-4F6E-470D-8B9E-CC4EB2AB492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 xr:uid="{389AD2B3-EE7D-4347-97CA-CB5D12A6441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 xr:uid="{742F3251-1585-40BF-A263-8490C9A0FF1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 xr:uid="{64430C63-31DF-4D67-BEA4-D1A52F564AA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 xr:uid="{2E7BA77D-5FB3-40B6-864E-D2AD1F6F9D7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 xr:uid="{159D3E96-E1F5-496F-BAC6-143174C72C0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 xr:uid="{61E46E55-D7A2-4736-85DB-A8DDA4E6DFC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 xr:uid="{4F44ADB8-184F-4FD9-A8F8-4A0C40667DC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 shapeId="0" xr:uid="{3C2B6233-2CF2-4696-8071-678B99993AF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 shapeId="0" xr:uid="{9719AB73-587E-4851-AAA7-1F423D06833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 shapeId="0" xr:uid="{BCC5CF5B-51D8-44AF-AA3C-92561AD624B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 shapeId="0" xr:uid="{371E8CEE-2723-4F46-A4E7-C91BDC9554F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 shapeId="0" xr:uid="{A8860425-FA29-4976-925D-E7DC3C328DB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 shapeId="0" xr:uid="{A6B94284-A523-4FCB-A993-C54AA87E844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 xr:uid="{217CCCF6-4810-4314-9E13-C336681A190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 xr:uid="{AA1E4F75-993F-4A5A-9FEF-8D2F37D0CD2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 xr:uid="{007AB53C-E4E7-490C-9B3D-E381CCBCB6E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 xr:uid="{B84848F9-E905-4B3F-AC1F-580291EB23F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 xr:uid="{FCA1615C-04FF-4C65-837F-5949984E65C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 xr:uid="{892272A5-B7F4-437E-8699-7FA294CB47E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 xr:uid="{9D94D42C-3E9C-4CBE-87E6-71986F4CE12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 xr:uid="{AE9AAE63-B3E4-4F67-B201-C6F9E046869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 xr:uid="{0C769571-BC7D-4660-9323-1CF379D284D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 xr:uid="{0FDD6FC9-099F-4943-BC51-F40BB3D37E9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 xr:uid="{7C5890B6-A0D2-443D-8805-697287505B8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 xr:uid="{3A2FB665-C797-41B1-A2FE-45981518C04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 shapeId="0" xr:uid="{26E90D49-7914-4E70-9CCD-0FA82B53358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 shapeId="0" xr:uid="{D7C5512C-AD88-400A-8F25-3088874AAF6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 shapeId="0" xr:uid="{2EDAEE90-1965-4EFC-AC23-861E6C8550B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 shapeId="0" xr:uid="{9F458657-54E4-4FEC-AF2A-FFE80828CD0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9" authorId="0" shapeId="0" xr:uid="{AF2E9F48-A045-4ED5-A071-A89BAEC54CA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9" authorId="1" shapeId="0" xr:uid="{3940C7CF-4AD7-43CB-8965-BB3665560B7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 xr:uid="{703DE6AE-FD8B-466E-9DD9-5492A02A69D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 xr:uid="{F6D81D3F-DCB5-414A-943B-37161E6B62D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 xr:uid="{6169C3FF-B4ED-4B60-8EA2-7A611DAADE9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 xr:uid="{9718932C-DF4C-459E-8CA2-9D712D663B7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 shapeId="0" xr:uid="{170B5B87-1285-4A46-A04A-6E3B324460C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 shapeId="0" xr:uid="{67F92F7B-AD61-4539-9C47-3F300BADA0E8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4" authorId="0" shapeId="0" xr:uid="{82161C18-7A8A-46F3-8F5D-26BEF61C5E6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 xr:uid="{251A90AA-7AFD-4DEB-9CF2-15309C2682F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 xr:uid="{FD0EB885-313C-4EA2-A665-F1B87D11925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 xr:uid="{F31D7457-CADF-4CC9-8F45-A0FD1E06A7C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 xr:uid="{BDD6CC57-848E-4018-B1F0-AEFDE8C819D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 xr:uid="{5DD27795-C0AD-472C-B2EB-C1A312036A3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 xr:uid="{DD4EFA95-E408-4009-91CE-1CF86EFC22C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 xr:uid="{BEE487AC-5A13-4763-9BE0-3A575C61B39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 xr:uid="{E7E16CB2-D13E-46D5-A881-DB7279ACC60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 xr:uid="{2AD6FA2C-DB7E-4D3A-BED2-F491A263037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 xr:uid="{AFBC4852-FCB3-4356-972B-4A4C3562DCC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 xr:uid="{5259E7CC-2357-42BB-B4AA-573F2E58646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 xr:uid="{239EA794-10A8-4A5A-B795-30A879DED35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90C60F12-FF2B-44DA-B9B5-F7DC1BD7868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 xr:uid="{C7002CF2-67B9-4EED-A131-36AB975EA6F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 xr:uid="{4F476771-B71C-47E5-90D2-881505FE4EA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 xr:uid="{B1CD145A-6F7B-4AEF-8875-C65B4E45FFC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 xr:uid="{35649DE7-C074-4598-9514-96888EDF75F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 xr:uid="{B89879BB-C3C4-4C09-8345-35033501D47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 xr:uid="{8C0F6626-8DCD-42A3-884E-13318ACDB57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 xr:uid="{C804D051-B5F2-4619-B6BD-70E29A23C54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 xr:uid="{6B3E23E3-40AE-4039-9B6C-D1EF7D16E9F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 xr:uid="{5CF61F65-234E-437F-9A84-6D5FC299B6C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 xr:uid="{F0910096-5DF4-4CAB-8C54-50CCCB09BF6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 xr:uid="{CAAA5CA4-3743-4536-87B8-D41175EC8FC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 xr:uid="{E97B33FF-9811-4274-A7D0-52191E7E732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 xr:uid="{57766B92-7BBE-46D1-B8B6-7DC284C71EE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 xr:uid="{CFF9CDB0-7DAD-4895-9E28-3CE0A51773B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 xr:uid="{C2D5BF8D-96CC-440E-A219-FA57D9A1DC0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 xr:uid="{2F218582-A5DC-439D-8F50-06C1CD5E61C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 xr:uid="{F3ACB906-10B4-4094-B44E-5E78CCD3D0B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 xr:uid="{4AFA0A87-2546-4F36-995F-3BF1A5F2D8C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 xr:uid="{11F85422-0CB0-4D59-9FA6-2860AE97B86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 xr:uid="{55B7094A-566A-4273-A911-D0C9BC3795C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 xr:uid="{A6E53DF4-79E2-4447-8D2C-527D7767183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 xr:uid="{A07527E4-DC25-4A6C-B017-D422A61970D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7866371F-3DED-47FF-805F-5E18417BDAF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F6183A34-9321-49EB-8864-CCD56506144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70E2C2E4-367E-4532-A776-FDBFF756E7E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7D4E0DAA-F9FC-4BE4-B5A2-A8FFD4DC382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C02DA56D-6FB8-4C57-9868-056BEAD433E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5CDB134C-B26A-4F56-A0DB-3E42DDAA4DB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 xr:uid="{BC711B9A-E73A-404E-BF95-FE96DE2A591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 xr:uid="{10D758F7-63B9-4EF0-BBE7-79F3692878F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 xr:uid="{77E58544-0896-4D74-BFD1-088BED62D10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 xr:uid="{6C611810-DBC6-4A37-93EA-9606D1B02B5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 xr:uid="{AEE845F7-F035-4D6F-A6FE-DDB50DF158E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 xr:uid="{5556BF9A-FFFA-4302-AD6F-E1B605F0356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 xr:uid="{E0F2E5E2-C797-4E40-9288-C69907B9818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 xr:uid="{68F64E5D-6CBB-4D3D-B2CF-C3BCE0D6E7B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 xr:uid="{753AF298-AFD4-4338-895C-D992F1B4C53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 xr:uid="{DA4BC9F1-5CB4-48C4-94CF-0E36A7E8F4E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 xr:uid="{3064E7DD-24B2-4732-AE9F-A40374ABBD3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 xr:uid="{AFE7433E-7A82-493C-AF57-1C5731973AE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26" authorId="0" shapeId="0" xr:uid="{8BA4CB6A-2B5F-4CA3-9781-7688CCB265A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 xr:uid="{84778103-11A7-4B49-BA36-4269B9ACFE1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 xr:uid="{757CB614-D6F1-49D5-95BC-E1FE18CC922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27" authorId="0" shapeId="0" xr:uid="{C194B9C9-BC7D-4FA1-AFF0-42F6C39786A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7" authorId="0" shapeId="0" xr:uid="{4CFF6817-D837-48E6-9F20-C1A66537A6D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7" authorId="1" shapeId="0" xr:uid="{AD98CE43-7B65-4742-A5F7-FBC4DF73E71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 shapeId="0" xr:uid="{9BD0B8EF-0387-470B-98DF-2D39F33BDA1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 xr:uid="{19C3FDCF-079C-4F81-848D-ECC4A69CE71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 xr:uid="{55DE10A9-EA5B-402A-9868-25AFEC7B474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 xr:uid="{4E38C794-3938-48CF-B21A-39BAD064048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 xr:uid="{52B6CFBC-9F00-4284-B7FD-736B10C9D13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 xr:uid="{EA74F66C-E854-4F38-BF5F-983AD036391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 xr:uid="{A0C9CB27-341B-4342-B21C-06135A5247C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 xr:uid="{45575F59-B84F-471D-BB8B-A5BB331A66D2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 xr:uid="{45535E87-BEDE-45DD-9B19-92EEF63A269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 xr:uid="{36ABB092-3C5F-4E6D-A37F-40307B71DF4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 xr:uid="{B9D529FC-F88B-4BB3-8423-B837FCD84BB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 xr:uid="{221FF2B8-7454-4F3D-9622-3D652C1A9EA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 xr:uid="{3638C661-DFC5-4E7F-97F3-31AA85DB691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 xr:uid="{A54837DE-DB03-4D5F-9D7F-0C4DFDE37DC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 xr:uid="{8AF60886-448A-4471-A550-A88F90D2297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 xr:uid="{C76B6C58-CB77-44B3-893A-AF58FF1F1B1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 xr:uid="{5587F4FD-0D0E-4EDD-A673-013F5064906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 xr:uid="{EA5E0438-149D-4397-A26C-588E960825A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 shapeId="0" xr:uid="{B3EA8A97-77FB-4C73-911E-E0FD4E350F9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 shapeId="0" xr:uid="{4ED313BC-FE4E-4F5C-B8F3-C84F3D06FDF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 shapeId="0" xr:uid="{17102E31-05E4-4C69-B4DD-EFB0B1F5A18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 xr:uid="{17DD9294-D239-42D7-B2B3-C9705E587CB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 xr:uid="{759CB576-2B00-4A1F-853A-C68D07D7596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 xr:uid="{7EAD4C99-FCCC-4C05-87CC-BE884523FC6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 xr:uid="{56F9790F-19B4-4D02-9AAB-DDA36BE1BBE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 xr:uid="{090894D3-8AE7-4F1B-9045-AF24A712A2F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 xr:uid="{A8792BF4-ABDB-4D50-AF67-13D397487FB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 xr:uid="{DCBFDE1B-30F0-4853-8299-754FA1B84BF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 xr:uid="{284AB37F-7B21-4491-8BB6-A1960E03386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 xr:uid="{5909B9FE-0CA7-483E-BD7F-F2938C1D779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 xr:uid="{034C68C7-3AE4-4DA3-9D67-F02765695C7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 xr:uid="{F031902C-0B31-4E01-BC3B-F97B9679693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 xr:uid="{B9AD72AE-BC11-456A-A6FF-11A74A89F20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 xr:uid="{12F51B16-6C4F-4150-8D7F-080C54C5B98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 xr:uid="{A07DD0A1-C460-48E9-A872-26B8097CDC0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 xr:uid="{579BD4EA-5C95-4327-8751-DFC64FF74B9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 xr:uid="{55B2321B-AF9A-4F0A-928E-3724C63AB55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 xr:uid="{5C49C2F6-5558-4BD0-902A-367103E6318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 xr:uid="{B0776AA5-1B49-4A1A-9D21-289702ED367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 xr:uid="{EC41C3F1-6E52-4936-840B-B2EC05942AE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 xr:uid="{96D89B9F-D5A0-40BD-A606-5E785DD3751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 xr:uid="{14DA065C-5E30-4DD7-B592-A75DC600AD5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49" authorId="0" shapeId="0" xr:uid="{A2E834F4-1890-4D19-99E7-3AAE2836A74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 shapeId="0" xr:uid="{D7F8FB37-A16A-4C7E-A142-D3A424D9CCC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9" authorId="1" shapeId="0" xr:uid="{3BBB9576-2714-4518-8A7A-9C28EBBB2A8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50" authorId="0" shapeId="0" xr:uid="{86962AD2-466F-4457-919D-EEAC8349F4A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 xr:uid="{8153E561-9E68-46CA-ADF9-CF7F2AB3118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 xr:uid="{8D07AD7C-C607-4FCF-B47F-4DA268FF468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51" authorId="0" shapeId="0" xr:uid="{FCD0405D-9680-4983-8C13-787B1364B69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F53F2C76-16EF-4CF2-A717-FED8E1F59C6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B1166D36-C504-4CA0-98FA-3F9CD9287A4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 xr:uid="{938D4B72-2FEC-4BC3-9421-A5442D9DC53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 xr:uid="{9F4091D7-472D-4F57-874B-0B882FB3357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 xr:uid="{6646D8DC-A280-4F85-BC6B-07E13B863EA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 xr:uid="{04F3B0F8-D4C4-4699-A7CC-B445F3DA11C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 xr:uid="{BD35C9B9-C9B0-441D-99FC-5527010A07F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 xr:uid="{D2CB7F83-F0D1-4388-A6B1-581BE33C113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5E651697-F92C-4764-A534-BA61827E1A1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AE1079FF-E212-46DF-B0F0-181E4FD5F90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A627FD01-7620-4528-BAF4-A3B31D90E30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724CD693-6717-4E2D-A6E2-5CC2CC6187C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B81D68F0-35C9-4815-99B0-DDFD948ED1F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AAF393BC-EEC0-4300-996F-FA85A253131D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 xr:uid="{C650F2EA-8223-4935-AD08-CE0B4A194B1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 xr:uid="{C604B5A8-AEB1-4F84-84BD-302DEA35544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 xr:uid="{00BBCA56-F17D-4FF5-BC5A-37229946271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 xr:uid="{8D09A92D-C4B5-42BE-BC02-121F9D5D3FB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 xr:uid="{96648391-8164-4B2D-82DE-4D2E598C5D8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 xr:uid="{C0A3C904-D555-4A7A-8E87-C7892B118DB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 xr:uid="{3AF8130D-2852-406E-ACDB-C104449B1F7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 xr:uid="{DDE8D84A-C56F-4823-BA07-AEE755435D5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 xr:uid="{C84C45BD-7F62-4A02-9CF8-52973265E65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 xr:uid="{B805340F-DAE6-483C-9D59-9938BA5000D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 xr:uid="{5A6411CD-836F-4A89-AC74-0314BDE9D34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 xr:uid="{D584FC08-9924-4B7B-9640-5C7D49BB3B8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 xr:uid="{4C4B9E40-687A-4B19-9539-B2F622945BC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 xr:uid="{1B60E284-0AB9-43C0-A2CE-6A6AD673413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 xr:uid="{22E6DEED-C978-4E21-B15E-B9171974F2B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 xr:uid="{DCD86BE0-E1CE-4D70-8A78-E15E2AA28F3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 xr:uid="{FAE8F4CF-7BD5-47D0-9E5F-EFD37DE4623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 xr:uid="{A459E8C1-2E2E-42C6-8DD7-808B204ECA9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 xr:uid="{0C3AE2CB-2A6A-468B-A0FB-95CA19C5098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 xr:uid="{5AB40468-A484-43B1-8365-4FB5260D394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 xr:uid="{5712CFAE-0F9E-422F-BF4B-2C33B7B17D8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 xr:uid="{5D70ABC4-73B2-4964-BDA8-0CA901DE28B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 xr:uid="{1CE9872B-3029-4E7B-A34B-7F9C01EA7D8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 xr:uid="{2A074B58-029B-40F5-8DEF-B7F53BE7171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 xr:uid="{58B68460-F05F-421E-A723-6C0111AA88E2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 xr:uid="{16CEE9AC-2805-4CFC-8ABC-00CDF7D66D1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 xr:uid="{3E09791D-26F5-4E4C-B2FB-3D5CEA7E526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 xr:uid="{A8C665F0-417B-4598-A1C9-30E2E425553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 xr:uid="{1D0A0676-9E28-428E-AC33-C7578EE610C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 xr:uid="{5252F080-7D38-46E1-9EC9-000D98C795E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73" authorId="0" shapeId="0" xr:uid="{81F02E3D-7822-4CA7-B52F-54BEAD29E56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 xr:uid="{97539E33-3F7C-4EEF-BA8D-A31A2F4D4E4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 xr:uid="{5902AD95-1785-4950-B2D7-82007E5C74D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74" authorId="0" shapeId="0" xr:uid="{9A52F249-807F-456A-B6CC-54C52910007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FD5A6537-85B6-4A90-8F3B-BE8701624F8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0DB61FDF-625D-40E5-B75A-163F69734F6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75" authorId="0" shapeId="0" xr:uid="{F025C615-2305-48DF-A3E0-5E215F461FA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 xr:uid="{BF09CE7E-A27C-4CA2-A727-8C7567F064F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 xr:uid="{A2E62E7A-8120-471C-BCA9-5743F315769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 xr:uid="{26EABD83-1553-49CC-9C01-E9F1767173E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 xr:uid="{9799D599-73A6-47F1-9919-F8715EB63C62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 xr:uid="{63C66A2D-4939-4ADD-979C-5B3E5EB76F6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 xr:uid="{11199211-0505-454E-8580-651382EC26F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 xr:uid="{C2B9A41F-3519-4F28-B37E-CF6A6E07FAB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 xr:uid="{30EC7B45-1A9E-4255-A05D-A58CBBA3B65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 xr:uid="{00402E83-DF36-4344-8229-3D04AFB38F9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 xr:uid="{88F720F6-83EE-48F3-A84F-A59CCFFBCB5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 xr:uid="{8A2FBB88-BF2D-495E-8468-84DF5C1227B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 xr:uid="{C18FC32C-ED7C-4175-8DAA-B06BCEC9319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 xr:uid="{A1381CC3-AF99-455E-9887-4CBEDC38BE9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 xr:uid="{4CE14EEF-802A-4458-B0EF-9CA2AA3C3FD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 xr:uid="{F9D60ECB-994B-4E5F-9DE8-22294D5E6AB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 xr:uid="{7512DFD0-BEA8-4280-8692-8D9F559A2322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 xr:uid="{409BAE29-88A4-4240-B263-CE5D9F140A2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 xr:uid="{E42E8D5A-F7EA-4C52-8DB3-889739E1049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 xr:uid="{92629910-D94E-42CD-BA18-E1FA5D3A5FE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 xr:uid="{24F66EF7-0016-45D9-B9C5-7D3E9016CD0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 xr:uid="{01F8E302-A362-4012-994F-EF0ABB9659E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 xr:uid="{13597FA1-4BC5-486B-8BC3-41903DDF6BD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 xr:uid="{F9BC70D6-785F-41C7-BC87-1203ACF54AD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 xr:uid="{1B907CF0-B39C-4833-B370-668F8AA9A23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 xr:uid="{3BC9B586-3D9B-481C-9EDD-E5E2BC69EB6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 xr:uid="{35FB6F80-C50F-40E1-A4AE-494F5399240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 xr:uid="{BF5A8151-128F-470D-BB25-07566659791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 xr:uid="{5E2406E7-37C6-4506-83A3-20B3A323843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 xr:uid="{747427FE-D7D4-48AC-B20B-ABF6036F9B2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 xr:uid="{81AB1A78-584E-47C3-AD08-ACA1327CE84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 xr:uid="{E044E8AA-FDFE-4E5B-9091-77367526926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 xr:uid="{32E5E79D-DC90-435A-B2F9-D72EB22F33A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8" authorId="0" shapeId="0" xr:uid="{8B9D4617-F531-466C-B3F5-B10B3908B4A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8" authorId="0" shapeId="0" xr:uid="{AB4123BA-AD0B-4B23-9CD3-E3A299911E8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8" authorId="0" shapeId="0" xr:uid="{A3F3048B-E680-49A0-995D-566F00EEF90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8" authorId="0" shapeId="0" xr:uid="{0ECCC65F-843B-4EBE-BC67-DACAAF06647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8" authorId="0" shapeId="0" xr:uid="{8BDEB3B6-90EE-4173-9864-221D3820DA6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8" authorId="1" shapeId="0" xr:uid="{AAAC894E-8039-41E2-A95A-FF7230B280E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 shapeId="0" xr:uid="{54FCDA1E-F072-4123-88F5-CAB0FB793C9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 shapeId="0" xr:uid="{A1AED447-2984-400C-8A73-BDF5100ADAF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 shapeId="0" xr:uid="{9758B5F5-C6C2-4C19-9A3A-48B88F28724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 shapeId="0" xr:uid="{DB0A0BCA-5C47-4713-849E-53B0579C9DF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2" authorId="0" shapeId="0" xr:uid="{3ECEC2C1-9D8B-447C-98EA-B5D80A5B42F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2" authorId="1" shapeId="0" xr:uid="{770A6485-2075-4E7F-B4FB-129067E7365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93" authorId="0" shapeId="0" xr:uid="{02A8F2CC-172E-4109-B34B-512ED97887F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3" authorId="0" shapeId="0" xr:uid="{C0D0C823-19E0-45CE-A363-7EAC9852AA2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3" authorId="1" shapeId="0" xr:uid="{FA3860D9-AC5F-4DEB-B07C-7FC93652951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94" authorId="0" shapeId="0" xr:uid="{2A2BD0F6-B9EC-4B3E-867B-9D27D524CC3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4" authorId="0" shapeId="0" xr:uid="{AED6840A-416F-4841-A0ED-D247B314EAB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4" authorId="1" shapeId="0" xr:uid="{6B31DEE1-4126-4971-B35D-0758C955F4D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95" authorId="0" shapeId="0" xr:uid="{23F15810-5662-4582-AB73-4CC5AED25CE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5" authorId="0" shapeId="0" xr:uid="{8DE90B9F-23AF-42B2-A234-3D81BE31008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5" authorId="1" shapeId="0" xr:uid="{DF986288-EFE8-4DEA-BF2E-5925593AB37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9" authorId="0" shapeId="0" xr:uid="{CD711AA1-77BC-4024-9301-C78C27120A6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9" authorId="0" shapeId="0" xr:uid="{BE678AAC-A00A-4B7A-A4ED-4AAB72FFC4C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9" authorId="0" shapeId="0" xr:uid="{F6872B45-D9E6-4159-9864-59F7E4A46FE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9" authorId="0" shapeId="0" xr:uid="{990E0F60-4EF7-4B2C-AF5E-EDACA09C7D4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9" authorId="0" shapeId="0" xr:uid="{F6CEDA6B-4CF7-4AA9-AEB5-05190181364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9" authorId="1" shapeId="0" xr:uid="{E19FEFC9-F02C-4783-9471-275495A93F7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4" authorId="0" shapeId="0" xr:uid="{9F8AC03D-EE33-46E7-BFA5-87EDB19BA62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4" authorId="0" shapeId="0" xr:uid="{9F1964D3-6D90-45B8-A5F6-C3B86BD915B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4" authorId="0" shapeId="0" xr:uid="{DB35884F-9043-40EB-B670-87B367AF51C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4" authorId="0" shapeId="0" xr:uid="{01E360BC-CB6B-483F-958C-85FCFE7788B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4" authorId="0" shapeId="0" xr:uid="{A6EF94D2-952F-4F97-9ABD-B64699C1280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4" authorId="1" shapeId="0" xr:uid="{21432DE5-8C82-421F-8B4B-F08ED3D512EF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6" authorId="0" shapeId="0" xr:uid="{DF1C56D7-FC02-4A57-BF9E-261A89E973D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 xr:uid="{6D8E34A4-1765-4ACD-94B6-ADC67AE54D5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 xr:uid="{40DC4C29-4AF3-4BB6-A222-72451FE7769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 xr:uid="{6BCF01C9-36A5-4B54-84EC-0DE6B288D0C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 xr:uid="{23BAF8CF-7856-4813-A8CD-D37B1FDC28C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 xr:uid="{7D2D8F36-D607-42E5-AD5F-A5077B188C7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 shapeId="0" xr:uid="{792E2A89-94BE-49C8-B597-09F5BFE2F63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 xr:uid="{591598A2-0B3B-40B9-9EED-14CA9BDD232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 xr:uid="{BBDC7BE5-A652-4957-A18A-CBE56FCF182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 xr:uid="{ECF53FF0-2BAB-4068-9D55-294B2E0FBEA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 shapeId="0" xr:uid="{9B9FD59F-A785-4FE5-98AB-ED8FF18A08C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 shapeId="0" xr:uid="{FE7DD069-4868-4FD1-8E12-76F6DDBB9AC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 xr:uid="{B683971D-4DAE-4281-B5E3-18218950E33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68605805-EFA4-4F90-A6FE-2DE955A4670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 xr:uid="{D6A5E9A2-2AFD-4E06-897B-B91617B6D2AE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 xr:uid="{80C99F58-6747-40E7-9325-FB1F99EDBF7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 xr:uid="{64C65D05-A94C-431E-98E4-2306F552EF9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 xr:uid="{007D2B4E-0D98-4F61-8871-F24289A3E95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 xr:uid="{7C6D316F-16D8-4129-A36E-7FB19ADE163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 xr:uid="{F6917DCC-9CF5-406C-BE82-753CE591BC1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 xr:uid="{C5F0C841-CD61-472D-A7CA-620C7E271EF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 xr:uid="{4E6E96DC-318D-4201-88FB-C7B14BD3454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 xr:uid="{76A4A739-BC43-4D88-8368-04801AC6722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 xr:uid="{C4213918-AB9C-4B47-92A4-01321A26FBC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 xr:uid="{A4D4BF5A-9164-4C2D-8888-E6C4FD004292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 xr:uid="{A957E101-5EB9-404F-B864-802AEA45EEC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 xr:uid="{3454226F-1F83-41B1-BC34-A6FD588F096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 xr:uid="{0E4C0469-AAC0-4989-A683-C4C0B4EF006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 xr:uid="{5192DE52-1426-473B-AB8A-58BB3A856E9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 xr:uid="{F8B43C8F-EE6A-49E6-928B-90B87FD2EA9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15" authorId="0" shapeId="0" xr:uid="{0CB6096F-4208-4392-AAA5-44A884D8D01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 xr:uid="{8512F586-DAD4-42FD-99A6-75E1F8C165F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 xr:uid="{1C67B09B-DA82-4B60-843A-33A7B8D1676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 xr:uid="{990C51A2-1E80-4F8C-9311-7A65FBA4D52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 xr:uid="{A5B11A1B-23E8-46E0-B0A4-04271D56AEC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 xr:uid="{C8C2DF1E-4084-46CC-B0D6-3B9797C606A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 xr:uid="{08F65FFB-AADB-45FF-BBD3-D63BF75CA5A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 xr:uid="{81A66F2A-E72B-40E6-87FE-DD034291473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 xr:uid="{1C9E614F-A873-4DAB-9144-61E4F7C52FF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 xr:uid="{1555734B-7B46-42BC-AB03-C070D86498F2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 xr:uid="{B9F38082-8DAC-4720-8FED-70E9A562430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 xr:uid="{63C64470-3F80-4612-8EBA-0D9488A1E07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 xr:uid="{6889CC62-A30A-4E70-93BF-7A14F9ACE09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 xr:uid="{72D98B4E-8D32-439B-AF9C-924DB4B4BFD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 xr:uid="{43CBC96E-8BFF-4561-8F2A-AD1C71505A1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 xr:uid="{50B7B107-37C2-4BC8-B59A-C952429DD47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 xr:uid="{1C774568-DBBA-4447-B14E-9763062BB6E2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 xr:uid="{45BBEEED-FC34-4702-B6B3-B65009821C6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 xr:uid="{60CE9AEE-B63D-43DA-AA64-86CB0C77B78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 xr:uid="{B4B7D68E-6725-49E5-9F28-F7B2DD9A78C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 xr:uid="{F611AABB-6DC8-4054-B7B2-229786089FD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F0395612-BC70-4359-B6E5-EC69C4C9DCA9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DDC623A4-640F-411B-836E-8C0804059F4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AA0F0D3E-3CB8-4A2A-9A7A-4C8A05C942C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CC745FBC-C1ED-47E0-8571-8B6648D0249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EFBD70F6-1EA5-4FBB-81A9-689B1D8A0D3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683722F0-EA65-4C32-9CF5-5CF5203D120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 xr:uid="{089B1C22-358A-43F9-A43D-5B3A370AB5D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07FC42F5-44A6-46A5-BC95-EC4115A47B1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5D6F6ED5-5FA4-446C-BAD0-8F3F5B65024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E740FBD9-4319-473D-ADAD-04F0E6B5730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96C70A79-5DC0-493A-A074-39D6FD993B8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4103826D-261F-44C1-BCB6-634C9FA014E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O34" authorId="0" shapeId="0" xr:uid="{F44C480C-C7D0-427D-A99B-2C60DD300AF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 xr:uid="{C6393905-99D9-40A4-A02B-5A73C07480C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 xr:uid="{3AD271C3-0ADC-499D-86B8-B098CC92803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 xr:uid="{39F6FFB5-6EC5-4318-9408-D3991FA2EB7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 xr:uid="{B2B45DA4-7DB0-491A-B74E-7C3C1BA0CF6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 xr:uid="{F4863175-4937-4A2B-BBF5-F8A82890095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 xr:uid="{5131940E-5086-47DA-8DEE-850E85EE561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 xr:uid="{3CB83224-346A-43D1-9315-CA4C8953C88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 xr:uid="{1A8EA540-5650-4417-92C6-EA268999713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 xr:uid="{51D3D771-6D0D-4E7E-AD48-C900BACCDD4D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 xr:uid="{BC4C2F6D-4051-411E-BE40-21BB878FB63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 xr:uid="{3FFA033F-FE73-41FF-B75A-D8D1C536BD4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 xr:uid="{701BDE51-F366-41AF-A566-204909A9CD7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 xr:uid="{F11C1351-6DA7-429A-89F2-16A87131647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 xr:uid="{97DC8BA7-E2EB-4FF8-8CF2-DD0C5AE700C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 xr:uid="{B995836F-1827-4E11-BC2C-FAB49EEA765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O40" authorId="0" shapeId="0" xr:uid="{A45170FA-A3EC-475D-8578-2B505CCF252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 xr:uid="{3CE50994-CC5B-4EC3-AB9B-27769CA9653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 xr:uid="{D501AE2B-CEA9-4C02-A77F-645E0E29A15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 xr:uid="{049C1D31-1F03-4C43-982F-32A73CFB52B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O41" authorId="0" shapeId="0" xr:uid="{3A4EA2D2-D0A2-42E4-B0F2-59A30FB8455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 xr:uid="{805334DD-27BD-4031-BA49-35892F9221C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 xr:uid="{5CBED616-879F-45E2-818B-69C9D48EE4F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 xr:uid="{C5450E19-1209-49FB-A9DF-62B390589CE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 xr:uid="{3E32DD64-4861-4DD3-BB53-A7A14E0B119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 xr:uid="{0C372BE8-D8B2-4309-99D8-752E890994C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 xr:uid="{9DA0FA32-EED0-4166-9BA7-7B4B4A1619E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 xr:uid="{9388CC2A-28F8-4656-8DB0-5C8C380F3C0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 xr:uid="{C1E97E60-0458-46C2-B508-0DB5E983C88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 xr:uid="{26080AB7-87E0-4DBE-B06F-FB66F67D9DD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 xr:uid="{845517C2-A3E2-4E43-8751-A8264F380D1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 xr:uid="{385549A8-85DE-43A7-A3D7-150B89AB487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 xr:uid="{E7B4135B-B6BA-47F9-8A46-EAF0A465195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 xr:uid="{C90863E9-ED91-4AEF-90EF-7E2EB11F890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 xr:uid="{480A4748-E02E-4743-BD20-06B48879BCE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 xr:uid="{466486F4-3086-43AF-BFE3-EF12C26D500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 xr:uid="{B42FD527-FA80-4ABB-B469-CC72170A9EE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 xr:uid="{97CC3212-09A0-4318-81FD-071B567028A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 xr:uid="{E5E8BE6E-5D75-420F-AD64-CDFCE28C0BB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 xr:uid="{A0442A62-98A6-4917-B5F2-47EA40AA9B8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 xr:uid="{68905AF0-7492-4315-99D6-1C48B701151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 xr:uid="{99BC41C9-5BE7-4203-8D3D-9E1780A5BAA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 xr:uid="{106E43C4-3034-446F-A95A-0F78C409C5C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 xr:uid="{DC2084A7-F28D-48A0-B3A5-3A4A89DA846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 xr:uid="{924FC503-1308-40F0-86A7-2AF4660F598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 xr:uid="{5890847E-9E28-4F1D-8AB6-43F1E3BE520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 xr:uid="{78212E6B-0A17-4FEE-A51A-F022E2A5662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 xr:uid="{0ECF2653-56D2-4344-8DC5-653E440C52E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 xr:uid="{8704966D-FAF1-41F7-AADD-88521185547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 xr:uid="{24D3FB3F-4C1B-486F-8CC5-225B65589CA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 xr:uid="{E680DFCB-10F6-4EB3-A7DD-1420E7E6B92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 xr:uid="{B8DBBA38-04F6-40C8-917C-91594859F43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 xr:uid="{345249FD-0691-4315-9F7B-1C8B0F03443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 xr:uid="{3DE4710C-531A-4856-BB10-5BA815B5876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 xr:uid="{B888BDE7-DEFC-4932-93E9-5E2380E531E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 xr:uid="{F3D9EA4B-46AC-4D63-B928-90EBD8BD155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 xr:uid="{152382BD-8A2F-4907-B408-869E1AE2821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 xr:uid="{483F4106-B7BD-4410-B558-4B98FA880FF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 xr:uid="{EF14E93B-21F1-472C-869D-D7479A0F852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 xr:uid="{264C2E40-3C29-4213-9F84-4ECABDCB379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7E7B6B9F-FE7F-4C91-A2BE-8A41DCD9E79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C57A70A1-58F3-4BAC-82A6-DD9A92ABC96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4AF56467-18D5-4E31-AE10-295484DBBE5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BB791AB7-E62A-46E2-8FD8-D3C99AAD55A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64B37F44-F4DD-4397-9D57-B62A51F67BC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A4777860-610B-4CD9-8FF7-0A268231314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CCC07CC6-2335-433E-A655-337E30B779E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7847CB5D-1FB6-4B5B-8784-CD02F2A6CAB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5B0A0975-F373-4442-AC1E-C5AFC430EA3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E67265B4-EFC1-4320-A781-1F5B59B7E45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4B0A4861-BCBB-4BAA-B23E-A6B5D91B3C2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2F4B4D78-FF0A-412D-BC57-0F929C169D8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58" authorId="0" shapeId="0" xr:uid="{E946A8C6-9409-4408-83B5-5DDFE5E5B2F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 xr:uid="{FB44DD12-4BE1-455F-A6F3-840621F3EE6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 xr:uid="{95FB9E7D-4507-44D4-A61A-EF6D27A2335D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 xr:uid="{2546157F-9B70-4779-A6E8-3C25F12E1DB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 xr:uid="{673E1F15-5AED-4465-A4E2-EE1661B3EEA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 xr:uid="{FA0591C8-ADF0-4AB3-A251-940790EB26BE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 xr:uid="{76A11EF9-18DA-4A15-864D-AC0016E49B1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 xr:uid="{6E853713-614C-4BF8-A3E6-284B02313E9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 xr:uid="{2A2940B4-D661-4AD9-AA87-97E7DA81C39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 xr:uid="{ED5BFC15-1F53-46A9-A365-061FFAF4716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 xr:uid="{44CD528B-90A1-47DB-9831-4C7F3612F24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 xr:uid="{33B94020-F9EA-40F5-896A-1F9D885450A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 xr:uid="{F4F5FB60-0B7C-4C88-A49F-46F457C3EF2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 xr:uid="{74292FCE-18B3-4982-A509-48B2FB40218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 xr:uid="{86F5BD0F-9C6E-40D4-8A53-96642748FDE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 xr:uid="{69D57D6C-2688-403F-84E4-C52B1A32480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 xr:uid="{C1B39768-1992-4420-A501-6C2F2F7DB4C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 xr:uid="{BC398C14-27C6-4E1D-83F6-0CCA691AB5B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 xr:uid="{1BBF84DA-5BE2-4405-9929-DA92D8D87D2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 xr:uid="{18DB9C26-B529-48FF-A1B5-91AEF705A06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 xr:uid="{19A35CD0-5838-43E3-ABAC-9AC35A88D94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 xr:uid="{491FF06F-63A4-4796-BAB2-C594D897B8E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 xr:uid="{5224C5B6-413F-489C-A785-0AFC11D1203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 xr:uid="{C215F41C-FF3F-4747-8C2C-43FF0296174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 xr:uid="{7F41F355-E398-4EFC-806C-1176EE69571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 xr:uid="{6E9B9200-E7EC-41DB-85B8-E0E31E165C2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 xr:uid="{4A6197A9-F70C-4431-BF27-84E595FD4BD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 xr:uid="{21BC1D71-141D-4AF1-A59E-1BAF1EDED27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 xr:uid="{506BD0F9-C630-49AB-97D3-5D2BB4D6399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 xr:uid="{BC5F0228-425F-4403-9249-23FF1E29DFB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 xr:uid="{C54F2915-4F87-47BC-951A-3FCD117CC7F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 xr:uid="{5A4025D1-D34E-400C-A183-A4B74A8742C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 xr:uid="{62D662DF-1289-4F2E-A29B-57367BB1BA5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 xr:uid="{CBA2AC81-EF10-467A-BDDB-AC4807C820E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 xr:uid="{0AF9E4BB-3A4F-47C1-AE8F-20CA13EA73F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 xr:uid="{284C20C4-7715-4301-A9F4-AABEA4A1433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 xr:uid="{41A2B513-C12C-4B48-A446-DD1F051A1F5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 xr:uid="{0FE0538F-4896-4B67-921E-A61A8AE0C59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 xr:uid="{B7AD5120-76C2-4A83-BFD9-4874D4F8473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 xr:uid="{AADC254B-4EAB-49DB-A685-28C288A2E48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 xr:uid="{35D6E9CA-6320-4A15-AF5B-0571974B3472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 xr:uid="{ADD39CB2-1445-4213-BBC9-8493E7B7A18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 xr:uid="{4F5DFF19-5B62-41E6-B9DE-492E19FBC32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 xr:uid="{0F5993FF-0264-40D7-AB69-3F1D58A3049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 xr:uid="{115458F5-81EC-4CD0-9C10-E9A0FE7A4B3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76" authorId="0" shapeId="0" xr:uid="{F71D892C-B16F-4029-95DF-725419D6122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 xr:uid="{C57B49C2-A1EB-42AD-98A3-545AB3F30E5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 xr:uid="{852FC10B-A702-4B70-AD9B-BBB4D5D9070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87ACC600-E1CB-4CD4-A8F4-55CE2CA69BA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A869BDAB-B08A-4D0F-9D26-D38A4847864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8180D5F2-EA79-4A36-818E-6AB4E92F12A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22C1C7D3-4040-4797-9796-AF8D46557C7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EAD1F1EA-B6C1-47BF-89C1-858C24E7A93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7A5053CF-1573-4A45-9B55-8F5BDAAE8A8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 xr:uid="{FF3697CE-00EB-407C-B373-ABB7A17C823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 xr:uid="{2E779FDE-123B-43C3-81E5-3E8B1F6092F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 xr:uid="{C1CDEF3D-91D7-4673-B631-3004BD9BA18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 xr:uid="{A936533E-640C-4670-9EBB-8E47C433FE9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 xr:uid="{0B962F7E-C473-4C29-888E-4D969D99498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 xr:uid="{C3B2CCF6-64E7-4FC5-8F15-1DF19011FD6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 xr:uid="{B9620FFE-480F-417E-89A0-B7DB9DBE49F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 xr:uid="{199AC5BC-67E7-44B7-9EA2-BCD8BE22B9A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 xr:uid="{B3E038B1-93AB-4171-8387-D65EDDEE2A8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 xr:uid="{639FF08C-4C10-4F90-8F53-70A305E5FB9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 xr:uid="{710AFF87-5C2C-490C-8FA9-672697561E8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 xr:uid="{530E58A2-0084-4121-BBE8-6F6D06CBCA2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 shapeId="0" xr:uid="{3E967579-BFE3-4BDD-9829-80C71FD1380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 shapeId="0" xr:uid="{0C6AB615-BA25-43AB-81F5-C20C300C488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 shapeId="0" xr:uid="{678B88FB-E9A2-47A1-81F1-76D2F47E1F1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 shapeId="0" xr:uid="{B5D7ACBF-5B24-413F-869B-9EAC378D750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3" authorId="0" shapeId="0" xr:uid="{1770582F-5012-46A4-8690-1BE39870C52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3" authorId="1" shapeId="0" xr:uid="{FAD15BD4-1602-4259-A3AD-B6D5DF6D1C9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 xr:uid="{8EE38D21-1BE5-4CDB-82D9-37FA091DF91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 xr:uid="{6217175A-FC8F-43FA-A6C9-5D327CB6233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 xr:uid="{4A0E6465-8884-4DA4-B17A-6E38A26E16B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 xr:uid="{4CFCBF3C-AEFF-4118-833E-10E8E39A804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 xr:uid="{F2097FD8-E0CD-4938-9683-DCEE0D17F58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 xr:uid="{46A3198A-A4C4-47A8-8BC9-46163740A99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8" authorId="0" shapeId="0" xr:uid="{9A63AD9A-BF6B-45E9-92F8-64BEF8DC04F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8" authorId="0" shapeId="0" xr:uid="{9CA1368C-081E-41B7-AF38-FA85193CE82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8" authorId="0" shapeId="0" xr:uid="{1D33EB30-0370-432B-9B0A-440B4BE1B88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8" authorId="0" shapeId="0" xr:uid="{96E7AAAF-C2E5-4111-92DB-3477ACD0406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8" authorId="0" shapeId="0" xr:uid="{F7A01B8E-759B-46C1-B9C5-DF0548BB9BB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8" authorId="1" shapeId="0" xr:uid="{502942B7-3C37-4A1F-9D8A-AE6E5FD19321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<sst xmlns="http://schemas.openxmlformats.org/spreadsheetml/2006/main" count="13734" uniqueCount="4823">
  <si>
    <t>Enero 2019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</si>
  <si>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</si>
  <si>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</si>
  <si>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</si>
  <si>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</si>
  <si>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</si>
  <si>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</si>
  <si>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</si>
  <si>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</si>
  <si>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</si>
  <si>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</si>
  <si>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</si>
  <si>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</si>
  <si>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</si>
  <si>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</si>
  <si>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</si>
  <si>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</si>
  <si>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</si>
  <si>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</si>
  <si>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</si>
  <si>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</si>
  <si>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</si>
  <si>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logistica</t>
  </si>
  <si>
    <t>costo integrado</t>
  </si>
  <si>
    <t>costo real</t>
  </si>
  <si>
    <t>$ carga total</t>
  </si>
  <si>
    <t>Canal de cerdo</t>
  </si>
  <si>
    <t>Nu3</t>
  </si>
  <si>
    <t>do</t>
  </si>
  <si>
    <t>lu</t>
  </si>
  <si>
    <t>Pernil con piel</t>
  </si>
  <si>
    <t>Tyson</t>
  </si>
  <si>
    <t>20 combos</t>
  </si>
  <si>
    <t>mi</t>
  </si>
  <si>
    <t>hoja + 9.5  mi 26 dic</t>
  </si>
  <si>
    <t>Sioux Preme</t>
  </si>
  <si>
    <t>Ideal Trading</t>
  </si>
  <si>
    <t>21 combos</t>
  </si>
  <si>
    <t>hoja + 10  ju 27 dic</t>
  </si>
  <si>
    <t>hoja + 10.5  mi 26 dic</t>
  </si>
  <si>
    <t>Seaboard</t>
  </si>
  <si>
    <t>ju</t>
  </si>
  <si>
    <t>hoja + 10.5 vi 28 dic</t>
  </si>
  <si>
    <t>Mi</t>
  </si>
  <si>
    <t>Juan Pablo</t>
  </si>
  <si>
    <t>vi</t>
  </si>
  <si>
    <t>sa</t>
  </si>
  <si>
    <t>hoja + 10.5  ma 01 ene</t>
  </si>
  <si>
    <t>ma</t>
  </si>
  <si>
    <t>Cierre al 31/01/18</t>
  </si>
  <si>
    <t>Agrop El Topete  mi 12/12/18</t>
  </si>
  <si>
    <t>fact 6687, 6688</t>
  </si>
  <si>
    <t>cerdo vivo y matanza</t>
  </si>
  <si>
    <t>Porc San Bernardo  mi 12/12/18</t>
  </si>
  <si>
    <t>fact 3222,3223</t>
  </si>
  <si>
    <t>Transfer Odelpa</t>
  </si>
  <si>
    <t>Mansiva  mi 12/12/18</t>
  </si>
  <si>
    <t>fact 19494</t>
  </si>
  <si>
    <t>sesos de copa</t>
  </si>
  <si>
    <t>J</t>
  </si>
  <si>
    <t>Seaboard ju 03/01/19  nlse18-119</t>
  </si>
  <si>
    <t>intercam $21,000.00</t>
  </si>
  <si>
    <t>transfer santander</t>
  </si>
  <si>
    <t>Smithfield  mi 19/12/18  nl18-103</t>
  </si>
  <si>
    <t>fact 9000600012</t>
  </si>
  <si>
    <t>intercam $25,558.70</t>
  </si>
  <si>
    <t>Agrop El Topete  ju 13/12/18</t>
  </si>
  <si>
    <t>fact 6689,6690</t>
  </si>
  <si>
    <t>Agrop La Chemita  ju 13/12/18</t>
  </si>
  <si>
    <t>fact 4467,4468</t>
  </si>
  <si>
    <t>V</t>
  </si>
  <si>
    <t>Juan Pablo  vi 21/12/18</t>
  </si>
  <si>
    <t>fact 597</t>
  </si>
  <si>
    <t>canal de cerdo</t>
  </si>
  <si>
    <t>Agrop El Topete  vi 14/12/18</t>
  </si>
  <si>
    <t>fact 6697,6698</t>
  </si>
  <si>
    <t>Smithfield  mi 19/12/18  nl18-104</t>
  </si>
  <si>
    <t>fact 9000600011</t>
  </si>
  <si>
    <t>intercam $25,250.38</t>
  </si>
  <si>
    <t>Smithfield  mi 19/12/18  nl18-106</t>
  </si>
  <si>
    <t>fact 9000600013</t>
  </si>
  <si>
    <t>intercam $25,198.78</t>
  </si>
  <si>
    <t>Smithfield sa 22/12/18  nl18-107</t>
  </si>
  <si>
    <t>fact 9000606388</t>
  </si>
  <si>
    <t>intercam $22,649.79</t>
  </si>
  <si>
    <t>Adams International  mi 19/12/18</t>
  </si>
  <si>
    <t>fact 66986</t>
  </si>
  <si>
    <t>cuero belly fresco</t>
  </si>
  <si>
    <t>transfer bancomer</t>
  </si>
  <si>
    <t>S</t>
  </si>
  <si>
    <t>D</t>
  </si>
  <si>
    <t>L</t>
  </si>
  <si>
    <t>Seaboard sa 05/01/19  nlse18-120</t>
  </si>
  <si>
    <t>intercam $23,000.00</t>
  </si>
  <si>
    <t>Smithfield vi 21/12/18  nl18-105</t>
  </si>
  <si>
    <t>fact 9000602937</t>
  </si>
  <si>
    <t>intercam $23,846.32</t>
  </si>
  <si>
    <t>Smithfield sa 22/12/18  nl18-101-R</t>
  </si>
  <si>
    <t>fact 9000606389</t>
  </si>
  <si>
    <t>intercam $22,665.22</t>
  </si>
  <si>
    <t>Smithfield  sa 29/12/18 nl18-108</t>
  </si>
  <si>
    <t>fact 9000619281</t>
  </si>
  <si>
    <t>intercam $23,180.30</t>
  </si>
  <si>
    <t>Smithfield  vi 28/12/18 nl18-109</t>
  </si>
  <si>
    <t>fact 9000617169</t>
  </si>
  <si>
    <t>intercam $23,015.57</t>
  </si>
  <si>
    <t>Adams international sa 22/12/18</t>
  </si>
  <si>
    <t>fact 67121</t>
  </si>
  <si>
    <t>papa ondulada / cabeza de cerdo</t>
  </si>
  <si>
    <t>29.50  / 19.50</t>
  </si>
  <si>
    <t>Agrop La Chemita  do 16/12/18</t>
  </si>
  <si>
    <t>fact 4473, 4474</t>
  </si>
  <si>
    <t>Agrop La Gaby  do 16/12/18</t>
  </si>
  <si>
    <t>fact 6437, 6438</t>
  </si>
  <si>
    <t>Agrop El Topete  lu 17/12/18</t>
  </si>
  <si>
    <t>fact 6704,6705</t>
  </si>
  <si>
    <t>Porc San Bernardo  lu 17/12/18</t>
  </si>
  <si>
    <t>fact 3228, 3229</t>
  </si>
  <si>
    <t>Productos Xeiba  sa 29/12/18</t>
  </si>
  <si>
    <t>fact 427</t>
  </si>
  <si>
    <t>Res Central</t>
  </si>
  <si>
    <t>enero 2019</t>
  </si>
  <si>
    <t>Ma</t>
  </si>
  <si>
    <t>FESTIVO</t>
  </si>
  <si>
    <t>Tyson  mi 09/01/19  T7169</t>
  </si>
  <si>
    <t>Intercam $22,500.00</t>
  </si>
  <si>
    <t>Tyson  mi 09/01/19  T7191</t>
  </si>
  <si>
    <t>Agrop La Chemita  ma 18/12/18</t>
  </si>
  <si>
    <t>fact 4476,4477</t>
  </si>
  <si>
    <t>Porc Soto  ma 18/12/18</t>
  </si>
  <si>
    <t>fact 1693,1694</t>
  </si>
  <si>
    <t>Agrop El Topete  mi 19/12/18</t>
  </si>
  <si>
    <t>fact 6708, 6709</t>
  </si>
  <si>
    <t>Agrop La Chemita mi 19/12/18</t>
  </si>
  <si>
    <t>fact 4480,4481</t>
  </si>
  <si>
    <t>Agrop El Topete  ju 20/12/18</t>
  </si>
  <si>
    <t>fact 6714,6715</t>
  </si>
  <si>
    <t>fact 6717,6718</t>
  </si>
  <si>
    <t>Seaboard  ju 10/01/19  nlse19-101</t>
  </si>
  <si>
    <t>Ideal Trading  mi 02/12/18 nlp053</t>
  </si>
  <si>
    <t>Smithfield  do 30/12/18 nl18-110</t>
  </si>
  <si>
    <t>fact 9000619713</t>
  </si>
  <si>
    <t>intercam $23,322.69</t>
  </si>
  <si>
    <t>Smithfield  vi 28/12/18 nl18-111</t>
  </si>
  <si>
    <t>fact 9000619282</t>
  </si>
  <si>
    <t>intercam $23,473.46</t>
  </si>
  <si>
    <t>Adams International  vi 28/12/18</t>
  </si>
  <si>
    <t>fact 67266</t>
  </si>
  <si>
    <t>Ideal Trading  mi 02/12/18 nlp058</t>
  </si>
  <si>
    <t>Granjero Feliz  mi 26/12/18</t>
  </si>
  <si>
    <t>fact A056808</t>
  </si>
  <si>
    <t>merma 650.6kg no bonificada todavia</t>
  </si>
  <si>
    <t>Agrop El Topete vi 21/12/18</t>
  </si>
  <si>
    <t>fact 6723,6724</t>
  </si>
  <si>
    <t>Porcicola Soto vi 21/12/18</t>
  </si>
  <si>
    <t>fact 1704, 1705</t>
  </si>
  <si>
    <t>Agrop El Topete  sa 22/12/18</t>
  </si>
  <si>
    <t>fact 6731,6732</t>
  </si>
  <si>
    <t>fact 6736,6737</t>
  </si>
  <si>
    <t>fact 6729,6730</t>
  </si>
  <si>
    <t>Seaboard  sa 12/01/19  nlse19-102</t>
  </si>
  <si>
    <t>Adams  International sa 29/12/18</t>
  </si>
  <si>
    <t>fact 67316</t>
  </si>
  <si>
    <t>pernil Hormel</t>
  </si>
  <si>
    <t>Agrop El Topete  do 23/12/18</t>
  </si>
  <si>
    <t>fact 6746, 6747</t>
  </si>
  <si>
    <t>fact 6741, 6742</t>
  </si>
  <si>
    <t>Agrop El Topete lu 24/12/18</t>
  </si>
  <si>
    <t>fact 6748, 6749</t>
  </si>
  <si>
    <t>fact 6753,6754</t>
  </si>
  <si>
    <t>Juan Pablo  vi 28/12/18</t>
  </si>
  <si>
    <t>fact 621</t>
  </si>
  <si>
    <t>Agrop El Topete ju 27/12/18</t>
  </si>
  <si>
    <t>fact 6767,6768</t>
  </si>
  <si>
    <t>Agrop La Chemita  ju 27/12/18</t>
  </si>
  <si>
    <t>fact 4501,4502</t>
  </si>
  <si>
    <t>Agrop El Topete  vi 28/12/18</t>
  </si>
  <si>
    <t>fact 6775,6776</t>
  </si>
  <si>
    <t>Porc Soto  vi 28/12/18</t>
  </si>
  <si>
    <t>fact 1731,1732</t>
  </si>
  <si>
    <t>Agrop La Gaby  sa 29/12/18</t>
  </si>
  <si>
    <t>fact 6480, 6481</t>
  </si>
  <si>
    <t>Agrop La Chemita  sa 29/12/18</t>
  </si>
  <si>
    <t>fact 4507, 4508</t>
  </si>
  <si>
    <t>Agrop El Topete  sa 29/12/18</t>
  </si>
  <si>
    <t>fact 6780, 6781</t>
  </si>
  <si>
    <t>Smithfield vi 28/12/18 nl18-109</t>
  </si>
  <si>
    <t>Agrop Las Reses  do 30/12/18</t>
  </si>
  <si>
    <t>fact 7031, 7032</t>
  </si>
  <si>
    <t>Agrop El Topete  do 30/12/18</t>
  </si>
  <si>
    <t>fact 6794, 6795</t>
  </si>
  <si>
    <t>Agrop El Topete  lu 31/12/18</t>
  </si>
  <si>
    <t>fact 6796, 6797</t>
  </si>
  <si>
    <t>Agrop Las Reses  lu 31/12/18</t>
  </si>
  <si>
    <t>fact 7036, 7037</t>
  </si>
  <si>
    <t>L3821</t>
  </si>
  <si>
    <t>Sanchez</t>
  </si>
  <si>
    <t>nlp053</t>
  </si>
  <si>
    <t>nlp058</t>
  </si>
  <si>
    <t>Flores</t>
  </si>
  <si>
    <t>nlse18-124</t>
  </si>
  <si>
    <t>hoja + 10.5 ju 27dic</t>
  </si>
  <si>
    <t>nl18-113</t>
  </si>
  <si>
    <t>hoja + 9.5 vi 28 dic</t>
  </si>
  <si>
    <t>nl18-112</t>
  </si>
  <si>
    <t>nlse18-119</t>
  </si>
  <si>
    <t>nlse18-120</t>
  </si>
  <si>
    <t>ESTADO DE CUENTA SEABOARD</t>
  </si>
  <si>
    <t>inicio de operaciones</t>
  </si>
  <si>
    <t>recepcion carga</t>
  </si>
  <si>
    <t>PO</t>
  </si>
  <si>
    <t>anticipo</t>
  </si>
  <si>
    <t>fecha pago</t>
  </si>
  <si>
    <t>factura</t>
  </si>
  <si>
    <t>$ factura</t>
  </si>
  <si>
    <t>frontera</t>
  </si>
  <si>
    <t>diferencia</t>
  </si>
  <si>
    <t>dif acumulada</t>
  </si>
  <si>
    <t>NLSE16-276</t>
  </si>
  <si>
    <t>seaboard tiene a favor -$18,159.94 usd</t>
  </si>
  <si>
    <t>correccion el 18/01/17 en la fact 113410, NLP15-34 del 23/05/15 claim por $4,287.60usd</t>
  </si>
  <si>
    <t>ajuste con Seaboard</t>
  </si>
  <si>
    <t>NLSE16-253</t>
  </si>
  <si>
    <t>NLSE17-03</t>
  </si>
  <si>
    <t>NLSE17-04</t>
  </si>
  <si>
    <t>NLSE17-05</t>
  </si>
  <si>
    <t>NLSE17-06</t>
  </si>
  <si>
    <t>NLSE17-07</t>
  </si>
  <si>
    <t xml:space="preserve">lu </t>
  </si>
  <si>
    <t>NLSE17-08</t>
  </si>
  <si>
    <t>CANCELADA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</si>
  <si>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</si>
  <si>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</si>
  <si>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</si>
  <si>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</si>
  <si>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</si>
  <si>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</si>
  <si>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</si>
  <si>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</si>
  <si>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</si>
  <si>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</si>
  <si>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</si>
  <si>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</si>
  <si>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</si>
  <si>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</si>
  <si>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</si>
  <si>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</si>
  <si>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</si>
  <si>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</si>
  <si>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</si>
  <si>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</si>
  <si>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</si>
  <si>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</si>
  <si>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</si>
  <si>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</si>
  <si>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</si>
  <si>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</si>
  <si>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</si>
  <si>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</si>
  <si>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</si>
  <si>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</si>
  <si>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</si>
  <si>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</si>
  <si>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</si>
  <si>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</si>
  <si>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</si>
  <si>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</si>
  <si>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</si>
  <si>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</si>
  <si>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</si>
  <si>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</si>
  <si>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</si>
  <si>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</si>
  <si>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</si>
  <si>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claim 55752</t>
  </si>
  <si>
    <t xml:space="preserve">ju </t>
  </si>
  <si>
    <t>reclamo por diferencia en precio carga NLSE17-50</t>
  </si>
  <si>
    <t>NLSE17-51</t>
  </si>
  <si>
    <t>NLSE17-52</t>
  </si>
  <si>
    <t>NLSE17-53</t>
  </si>
  <si>
    <t>NLSE17-54</t>
  </si>
  <si>
    <t xml:space="preserve">mi 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</si>
  <si>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</si>
  <si>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</si>
  <si>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</si>
  <si>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</si>
  <si>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</si>
  <si>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</si>
  <si>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</si>
  <si>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</si>
  <si>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</si>
  <si>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</si>
  <si>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</si>
  <si>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</si>
  <si>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</si>
  <si>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</si>
  <si>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</si>
  <si>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</si>
  <si>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</si>
  <si>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</si>
  <si>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</si>
  <si>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</si>
  <si>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</si>
  <si>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</si>
  <si>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</si>
  <si>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</si>
  <si>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</si>
  <si>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</si>
  <si>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</si>
  <si>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</si>
  <si>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</si>
  <si>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</si>
  <si>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</si>
  <si>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</si>
  <si>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</si>
  <si>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</si>
  <si>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</si>
  <si>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</si>
  <si>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</si>
  <si>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</si>
  <si>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</si>
  <si>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</si>
  <si>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</si>
  <si>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</si>
  <si>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</si>
  <si>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</si>
  <si>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</si>
  <si>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</si>
  <si>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</si>
  <si>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</si>
  <si>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</si>
  <si>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</si>
  <si>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</si>
  <si>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</si>
  <si>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</si>
  <si>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</si>
  <si>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</si>
  <si>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</si>
  <si>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</si>
  <si>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</si>
  <si>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</si>
  <si>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</si>
  <si>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</si>
  <si>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</si>
  <si>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</si>
  <si>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</si>
  <si>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</si>
  <si>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</si>
  <si>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</si>
  <si>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</si>
  <si>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</si>
  <si>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</si>
  <si>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</si>
  <si>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</si>
  <si>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</si>
  <si>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</si>
  <si>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claim 59184</t>
  </si>
  <si>
    <t>reclamo por diferencia en precio carga NLSE17-126 por 0.01 usd</t>
  </si>
  <si>
    <t>NLSE17-127</t>
  </si>
  <si>
    <t>NLSE17-128</t>
  </si>
  <si>
    <t>NLSE17-129</t>
  </si>
  <si>
    <t>NLSE17-131</t>
  </si>
  <si>
    <t>NLSE17-132</t>
  </si>
  <si>
    <t>NLSE17-130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</si>
  <si>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</si>
  <si>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</si>
  <si>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</si>
  <si>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</si>
  <si>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</si>
  <si>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</si>
  <si>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</si>
  <si>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</si>
  <si>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</si>
  <si>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</si>
  <si>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</si>
  <si>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</si>
  <si>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Claim#59460</t>
  </si>
  <si>
    <t>ju 28/12/17</t>
  </si>
  <si>
    <t>diferencia en precio carga NLSE17-144</t>
  </si>
  <si>
    <t>NLSE17-145</t>
  </si>
  <si>
    <t>NLSE17-146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</si>
  <si>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</si>
  <si>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</si>
  <si>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</si>
  <si>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</si>
  <si>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</si>
  <si>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</si>
  <si>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</si>
  <si>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</si>
  <si>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</si>
  <si>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</si>
  <si>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</si>
  <si>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</si>
  <si>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</si>
  <si>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</si>
  <si>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</si>
  <si>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</si>
  <si>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</si>
  <si>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</si>
  <si>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</si>
  <si>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</si>
  <si>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</si>
  <si>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</si>
  <si>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</si>
  <si>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NLSECONG-01</t>
  </si>
  <si>
    <t>NLSE18-20</t>
  </si>
  <si>
    <t>NLSE18-21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</si>
  <si>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</si>
  <si>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</si>
  <si>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</si>
  <si>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</si>
  <si>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</si>
  <si>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</si>
  <si>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</si>
  <si>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</si>
  <si>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</si>
  <si>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</si>
  <si>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</si>
  <si>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</si>
  <si>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</si>
  <si>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</si>
  <si>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</si>
  <si>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</si>
  <si>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</si>
  <si>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</si>
  <si>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</si>
  <si>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</si>
  <si>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</si>
  <si>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</si>
  <si>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</si>
  <si>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</si>
  <si>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</si>
  <si>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</si>
  <si>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</si>
  <si>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</si>
  <si>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</si>
  <si>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</si>
  <si>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</si>
  <si>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</si>
  <si>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</si>
  <si>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</si>
  <si>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</si>
  <si>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</si>
  <si>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</si>
  <si>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</si>
  <si>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</si>
  <si>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</si>
  <si>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</si>
  <si>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</si>
  <si>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</si>
  <si>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</si>
  <si>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</si>
  <si>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</si>
  <si>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</si>
  <si>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</si>
  <si>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</si>
  <si>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</si>
  <si>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</si>
  <si>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</si>
  <si>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</si>
  <si>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 xml:space="preserve">vi 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</si>
  <si>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</si>
  <si>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</si>
  <si>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</si>
  <si>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</si>
  <si>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</si>
  <si>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</si>
  <si>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</si>
  <si>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</si>
  <si>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</si>
  <si>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</si>
  <si>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</si>
  <si>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</si>
  <si>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</si>
  <si>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</si>
  <si>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</si>
  <si>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</si>
  <si>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</si>
  <si>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</si>
  <si>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</si>
  <si>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</si>
  <si>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</si>
  <si>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</si>
  <si>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</si>
  <si>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</si>
  <si>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</si>
  <si>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</si>
  <si>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</si>
  <si>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</si>
  <si>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NLSE18-106</t>
  </si>
  <si>
    <t>NLSE18-102</t>
  </si>
  <si>
    <t>NLSE18-103</t>
  </si>
  <si>
    <t>NLSE18-107</t>
  </si>
  <si>
    <t>NLSE18-108</t>
  </si>
  <si>
    <t>NLSE18-109</t>
  </si>
  <si>
    <t>NLSE18-110</t>
  </si>
  <si>
    <t>NLSE18-111</t>
  </si>
  <si>
    <t>NLSE18-122</t>
  </si>
  <si>
    <t>NLSE18-112</t>
  </si>
  <si>
    <t>NLSE18-113</t>
  </si>
  <si>
    <t>NLSE18-114</t>
  </si>
  <si>
    <t>NLSE18-115</t>
  </si>
  <si>
    <t>NLSE18-116</t>
  </si>
  <si>
    <t>NLSE18-123</t>
  </si>
  <si>
    <t>NLSE18-117</t>
  </si>
  <si>
    <t>NLSE18-118</t>
  </si>
  <si>
    <t>NLSE18-124</t>
  </si>
  <si>
    <t>NLSE18-119</t>
  </si>
  <si>
    <t>NLSE18-120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</si>
  <si>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</si>
  <si>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</si>
  <si>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</si>
  <si>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</si>
  <si>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</si>
  <si>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</si>
  <si>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</si>
  <si>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</si>
  <si>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</si>
  <si>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</si>
  <si>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</si>
  <si>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</si>
  <si>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</si>
  <si>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</si>
  <si>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</si>
  <si>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</si>
  <si>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</si>
  <si>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</si>
  <si>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</si>
  <si>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</si>
  <si>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</si>
  <si>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</si>
  <si>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</si>
  <si>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</si>
  <si>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</si>
  <si>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</si>
  <si>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</si>
  <si>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088E29821A</t>
  </si>
  <si>
    <t>X4030</t>
  </si>
  <si>
    <t>088E30822A</t>
  </si>
  <si>
    <t>X4031</t>
  </si>
  <si>
    <t>088F03822A</t>
  </si>
  <si>
    <t>X4032</t>
  </si>
  <si>
    <t>069F05826A</t>
  </si>
  <si>
    <t>storm lake 244</t>
  </si>
  <si>
    <t>X4033</t>
  </si>
  <si>
    <t>088F06821A</t>
  </si>
  <si>
    <t>waterloo  244W</t>
  </si>
  <si>
    <t>Y5642</t>
  </si>
  <si>
    <t>069F13825A</t>
  </si>
  <si>
    <t>X4034</t>
  </si>
  <si>
    <t>088F13824A</t>
  </si>
  <si>
    <t>X4035</t>
  </si>
  <si>
    <t>088F17820A</t>
  </si>
  <si>
    <t>X4036</t>
  </si>
  <si>
    <t>088F20820A</t>
  </si>
  <si>
    <t>X4037</t>
  </si>
  <si>
    <t>088F20824A</t>
  </si>
  <si>
    <t>X4038</t>
  </si>
  <si>
    <t>088F22820A</t>
  </si>
  <si>
    <t>069F29823A</t>
  </si>
  <si>
    <t>069G01828A</t>
  </si>
  <si>
    <t>069G05821A</t>
  </si>
  <si>
    <t>069G05831A</t>
  </si>
  <si>
    <t>cancelada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</si>
  <si>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</si>
  <si>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</si>
  <si>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</si>
  <si>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</si>
  <si>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</si>
  <si>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</si>
  <si>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</si>
  <si>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</si>
  <si>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</si>
  <si>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</si>
  <si>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</si>
  <si>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</si>
  <si>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</si>
  <si>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</si>
  <si>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</si>
  <si>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</si>
  <si>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069H22822A</t>
  </si>
  <si>
    <t>G8659</t>
  </si>
  <si>
    <t>038H28822A</t>
  </si>
  <si>
    <t>G8685</t>
  </si>
  <si>
    <t>038H28826A</t>
  </si>
  <si>
    <t>G8686</t>
  </si>
  <si>
    <t>038I05822A</t>
  </si>
  <si>
    <t>G8687</t>
  </si>
  <si>
    <t>038I06821A</t>
  </si>
  <si>
    <t>G8688</t>
  </si>
  <si>
    <t>072I12821A</t>
  </si>
  <si>
    <t>G8689</t>
  </si>
  <si>
    <t>069I12822A</t>
  </si>
  <si>
    <t>G8690</t>
  </si>
  <si>
    <t>038I19823A</t>
  </si>
  <si>
    <t>G8691</t>
  </si>
  <si>
    <t>038I19821A</t>
  </si>
  <si>
    <t>G8692</t>
  </si>
  <si>
    <t>038I27824A</t>
  </si>
  <si>
    <t>G8693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</si>
  <si>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</si>
  <si>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</si>
  <si>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</si>
  <si>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</si>
  <si>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</si>
  <si>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</si>
  <si>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</si>
  <si>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</si>
  <si>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</si>
  <si>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</si>
  <si>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</si>
  <si>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</si>
  <si>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</si>
  <si>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</si>
  <si>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072J23821A</t>
  </si>
  <si>
    <t>L9682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</si>
  <si>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</si>
  <si>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</si>
  <si>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</si>
  <si>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</si>
  <si>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</si>
  <si>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</si>
  <si>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</si>
  <si>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</si>
  <si>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</si>
  <si>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088K14824A</t>
  </si>
  <si>
    <t>U3031</t>
  </si>
  <si>
    <t>088K15821A</t>
  </si>
  <si>
    <t>U3032</t>
  </si>
  <si>
    <t>088K20822A</t>
  </si>
  <si>
    <t>U3033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</si>
  <si>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</si>
  <si>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</si>
  <si>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</si>
  <si>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</si>
  <si>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</si>
  <si>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</si>
  <si>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</si>
  <si>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</si>
  <si>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</si>
  <si>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</si>
  <si>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</si>
  <si>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</si>
  <si>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</si>
  <si>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</si>
  <si>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</si>
  <si>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</si>
  <si>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</si>
  <si>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</si>
  <si>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</si>
  <si>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</si>
  <si>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</si>
  <si>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</si>
  <si>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</si>
  <si>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</si>
  <si>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</si>
  <si>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</si>
  <si>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</si>
  <si>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</si>
  <si>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</si>
  <si>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</si>
  <si>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</si>
  <si>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</si>
  <si>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</si>
  <si>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</si>
  <si>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</si>
  <si>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069N19824A</t>
  </si>
  <si>
    <t>F0777</t>
  </si>
  <si>
    <t>069N20822A</t>
  </si>
  <si>
    <t>F0778</t>
  </si>
  <si>
    <t>069N20826A</t>
  </si>
  <si>
    <t>F0779</t>
  </si>
  <si>
    <t>069N28822A</t>
  </si>
  <si>
    <t>F0780</t>
  </si>
  <si>
    <t>072N29821A</t>
  </si>
  <si>
    <t>J0601</t>
  </si>
  <si>
    <t>038C11820A</t>
  </si>
  <si>
    <t>J0613</t>
  </si>
  <si>
    <t>I9810</t>
  </si>
  <si>
    <t>038C17826A</t>
  </si>
  <si>
    <t>J0614</t>
  </si>
  <si>
    <t>038C18829A</t>
  </si>
  <si>
    <t>J0615</t>
  </si>
  <si>
    <t>m</t>
  </si>
  <si>
    <t>038C24828A</t>
  </si>
  <si>
    <t>J0616</t>
  </si>
  <si>
    <t>038C27821A</t>
  </si>
  <si>
    <t>J0617</t>
  </si>
  <si>
    <t>038C31820A</t>
  </si>
  <si>
    <t>J0618</t>
  </si>
  <si>
    <t>038C31822A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</si>
  <si>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</si>
  <si>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</si>
  <si>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</si>
  <si>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</si>
  <si>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</si>
  <si>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</si>
  <si>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</si>
  <si>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</si>
  <si>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069E08826A</t>
  </si>
  <si>
    <t>X0644</t>
  </si>
  <si>
    <t>088E16821A</t>
  </si>
  <si>
    <t>X0645</t>
  </si>
  <si>
    <t>088E16823A</t>
  </si>
  <si>
    <t>X0646</t>
  </si>
  <si>
    <t>069E22827A</t>
  </si>
  <si>
    <t>X0647</t>
  </si>
  <si>
    <t>069E30821A</t>
  </si>
  <si>
    <t>X0648</t>
  </si>
  <si>
    <t>038E30820A</t>
  </si>
  <si>
    <t>088F04824A</t>
  </si>
  <si>
    <t>088F06822A</t>
  </si>
  <si>
    <t>088F13827A</t>
  </si>
  <si>
    <t>088F19824A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</si>
  <si>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</si>
  <si>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</si>
  <si>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</si>
  <si>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</si>
  <si>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</si>
  <si>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</si>
  <si>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</si>
  <si>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</si>
  <si>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</si>
  <si>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</si>
  <si>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</si>
  <si>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</si>
  <si>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069G24821A</t>
  </si>
  <si>
    <t>A7501</t>
  </si>
  <si>
    <t>carga cancelada</t>
  </si>
  <si>
    <t>A7502</t>
  </si>
  <si>
    <t>069G31829A</t>
  </si>
  <si>
    <t>A7503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</si>
  <si>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</si>
  <si>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</si>
  <si>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</si>
  <si>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</si>
  <si>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</si>
  <si>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</si>
  <si>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</si>
  <si>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</si>
  <si>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069H19824A</t>
  </si>
  <si>
    <t>H0103</t>
  </si>
  <si>
    <t>069H19822A</t>
  </si>
  <si>
    <t>H0104</t>
  </si>
  <si>
    <t>069H26827A</t>
  </si>
  <si>
    <t>H0106</t>
  </si>
  <si>
    <t>G3525</t>
  </si>
  <si>
    <t>088H27821A</t>
  </si>
  <si>
    <t>H0107</t>
  </si>
  <si>
    <t>069I03826A</t>
  </si>
  <si>
    <t>H0108</t>
  </si>
  <si>
    <t>069I03827A</t>
  </si>
  <si>
    <t>N9858</t>
  </si>
  <si>
    <t>088I06826A</t>
  </si>
  <si>
    <t>N8846</t>
  </si>
  <si>
    <t>072I13824A</t>
  </si>
  <si>
    <t>N8847</t>
  </si>
  <si>
    <t>069I13822A</t>
  </si>
  <si>
    <t>N8848</t>
  </si>
  <si>
    <t>N8849</t>
  </si>
  <si>
    <t>069I19830A</t>
  </si>
  <si>
    <t>N8850</t>
  </si>
  <si>
    <t>069I26827A</t>
  </si>
  <si>
    <t>N8851</t>
  </si>
  <si>
    <t>069I27820A</t>
  </si>
  <si>
    <t>N8853</t>
  </si>
  <si>
    <t>069J02831A</t>
  </si>
  <si>
    <t>N8854</t>
  </si>
  <si>
    <t>069J02825A</t>
  </si>
  <si>
    <t>V8744</t>
  </si>
  <si>
    <t>038J09825A</t>
  </si>
  <si>
    <t>V8747</t>
  </si>
  <si>
    <t>038J09826A</t>
  </si>
  <si>
    <t>V8748</t>
  </si>
  <si>
    <t>038J16822A</t>
  </si>
  <si>
    <t>V8749</t>
  </si>
  <si>
    <t>038J16826A</t>
  </si>
  <si>
    <t>V8750</t>
  </si>
  <si>
    <t>038J24829A</t>
  </si>
  <si>
    <t>V8751</t>
  </si>
  <si>
    <t>038J24824A</t>
  </si>
  <si>
    <t>V8752</t>
  </si>
  <si>
    <t>069J31825A</t>
  </si>
  <si>
    <t>V8753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</si>
  <si>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</si>
  <si>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</si>
  <si>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</si>
  <si>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</si>
  <si>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</si>
  <si>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</si>
  <si>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</si>
  <si>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</si>
  <si>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</si>
  <si>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</si>
  <si>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</si>
  <si>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</si>
  <si>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</si>
  <si>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069K27820A</t>
  </si>
  <si>
    <t>09835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</si>
  <si>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</si>
  <si>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</si>
  <si>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</si>
  <si>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</si>
  <si>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</si>
  <si>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</si>
  <si>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</si>
  <si>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</si>
  <si>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</si>
  <si>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</si>
  <si>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069L17825A</t>
  </si>
  <si>
    <t>87564</t>
  </si>
  <si>
    <t>069L26825A</t>
  </si>
  <si>
    <t>87565</t>
  </si>
  <si>
    <t>069L25827A</t>
  </si>
  <si>
    <t>87566</t>
  </si>
  <si>
    <t>069M01833A</t>
  </si>
  <si>
    <t>87567</t>
  </si>
  <si>
    <t>069M01831A</t>
  </si>
  <si>
    <t>E4469</t>
  </si>
  <si>
    <t>E4470</t>
  </si>
  <si>
    <t>038M16821A</t>
  </si>
  <si>
    <t>E4471</t>
  </si>
  <si>
    <t>E4472</t>
  </si>
  <si>
    <t>038M29827A</t>
  </si>
  <si>
    <t>E4473</t>
  </si>
  <si>
    <t>072M30822A</t>
  </si>
  <si>
    <t>L3797</t>
  </si>
  <si>
    <t>L3820</t>
  </si>
  <si>
    <t>069N22821A</t>
  </si>
  <si>
    <t>072N27821A</t>
  </si>
  <si>
    <t>T7169</t>
  </si>
  <si>
    <t>T7191</t>
  </si>
  <si>
    <t>REALCION DE ENTEGA DE REMISIONES CAJA OBRADOR</t>
  </si>
  <si>
    <t>REMISION</t>
  </si>
  <si>
    <t>VALOR</t>
  </si>
  <si>
    <t>PAGOS</t>
  </si>
  <si>
    <t>FECHA PAGO</t>
  </si>
  <si>
    <t>DIFERENCIA</t>
  </si>
  <si>
    <t>FECHA RECIBIDA</t>
  </si>
  <si>
    <t>FECHA ENTREGADA A CAJA</t>
  </si>
  <si>
    <t>d19680</t>
  </si>
  <si>
    <t>dep en transfer</t>
  </si>
  <si>
    <t>vale rosa</t>
  </si>
  <si>
    <t>rem 971</t>
  </si>
  <si>
    <t>rem 961</t>
  </si>
  <si>
    <t>d19977</t>
  </si>
  <si>
    <t>transfer</t>
  </si>
  <si>
    <t>d20155</t>
  </si>
  <si>
    <t>d20079</t>
  </si>
  <si>
    <t>efectivo</t>
  </si>
  <si>
    <t>d20116</t>
  </si>
  <si>
    <t>d22348</t>
  </si>
  <si>
    <t>d22843</t>
  </si>
  <si>
    <t>d22632</t>
  </si>
  <si>
    <t>d23087</t>
  </si>
  <si>
    <t>d23298</t>
  </si>
  <si>
    <t>d22958</t>
  </si>
  <si>
    <t>d22633</t>
  </si>
  <si>
    <t>rem 1081</t>
  </si>
  <si>
    <t>rem 1079</t>
  </si>
  <si>
    <t>rem xx</t>
  </si>
  <si>
    <t>rem 1071</t>
  </si>
  <si>
    <t>d23690</t>
  </si>
  <si>
    <t>d23496</t>
  </si>
  <si>
    <t>d23345</t>
  </si>
  <si>
    <t>rem 1099</t>
  </si>
  <si>
    <t>rem 1072</t>
  </si>
  <si>
    <t>d23832</t>
  </si>
  <si>
    <t>d23964</t>
  </si>
  <si>
    <t>Transfer</t>
  </si>
  <si>
    <t>d24432</t>
  </si>
  <si>
    <t>d24148</t>
  </si>
  <si>
    <t>d24249</t>
  </si>
  <si>
    <t>d24398</t>
  </si>
  <si>
    <t>d24247</t>
  </si>
  <si>
    <t>d24402</t>
  </si>
  <si>
    <t>d24724</t>
  </si>
  <si>
    <t>d24607</t>
  </si>
  <si>
    <t>d24841</t>
  </si>
  <si>
    <t>E00102</t>
  </si>
  <si>
    <t>e00240</t>
  </si>
  <si>
    <t>e00101</t>
  </si>
  <si>
    <t>e00589</t>
  </si>
  <si>
    <t>e00262</t>
  </si>
  <si>
    <t>e00267</t>
  </si>
  <si>
    <t>rem 1122</t>
  </si>
  <si>
    <t>e00251</t>
  </si>
  <si>
    <t>rem 1125</t>
  </si>
  <si>
    <t>e00539</t>
  </si>
  <si>
    <t>rem 1132</t>
  </si>
  <si>
    <t>28/29/30/31/08/17</t>
  </si>
  <si>
    <t xml:space="preserve"> </t>
  </si>
  <si>
    <t>e000644</t>
  </si>
  <si>
    <t>e00427</t>
  </si>
  <si>
    <t>e00902</t>
  </si>
  <si>
    <t>e00906</t>
  </si>
  <si>
    <t>e01243</t>
  </si>
  <si>
    <t>rem 1143</t>
  </si>
  <si>
    <t>rem 1151</t>
  </si>
  <si>
    <t>e00905</t>
  </si>
  <si>
    <t>e02148</t>
  </si>
  <si>
    <t>e01389</t>
  </si>
  <si>
    <t>e01402</t>
  </si>
  <si>
    <t>e01242</t>
  </si>
  <si>
    <t>rem 1166</t>
  </si>
  <si>
    <t>e01529</t>
  </si>
  <si>
    <t>rem 1150</t>
  </si>
  <si>
    <t>8-11/08/17</t>
  </si>
  <si>
    <t xml:space="preserve">                                                    </t>
  </si>
  <si>
    <t>e01807</t>
  </si>
  <si>
    <t>e02421</t>
  </si>
  <si>
    <t>rem 1172</t>
  </si>
  <si>
    <t>sobrante no registrado en proledo</t>
  </si>
  <si>
    <t>e02183</t>
  </si>
  <si>
    <t>e02147</t>
  </si>
  <si>
    <t>e02573</t>
  </si>
  <si>
    <t>e02737</t>
  </si>
  <si>
    <t>rem 1179</t>
  </si>
  <si>
    <t>rem 1192</t>
  </si>
  <si>
    <t>rem 1193</t>
  </si>
  <si>
    <t>e02857</t>
  </si>
  <si>
    <t>e02954</t>
  </si>
  <si>
    <t>e03023</t>
  </si>
  <si>
    <t>e03040</t>
  </si>
  <si>
    <t>e03267</t>
  </si>
  <si>
    <t>e03266</t>
  </si>
  <si>
    <t>e02764</t>
  </si>
  <si>
    <t>e03691</t>
  </si>
  <si>
    <t>rem 1220</t>
  </si>
  <si>
    <t>rem 1188</t>
  </si>
  <si>
    <t>rem 1186</t>
  </si>
  <si>
    <t>rem1181</t>
  </si>
  <si>
    <t>rem 1180</t>
  </si>
  <si>
    <t>rem 1216</t>
  </si>
  <si>
    <t>transfer banco</t>
  </si>
  <si>
    <t xml:space="preserve">transfer  </t>
  </si>
  <si>
    <t>e03727</t>
  </si>
  <si>
    <t>e03681</t>
  </si>
  <si>
    <t>e03690</t>
  </si>
  <si>
    <t>e03892</t>
  </si>
  <si>
    <t>e03397</t>
  </si>
  <si>
    <t>tranfer</t>
  </si>
  <si>
    <t>e04146</t>
  </si>
  <si>
    <t>e04014</t>
  </si>
  <si>
    <t>rem 1234</t>
  </si>
  <si>
    <t>rem 1233</t>
  </si>
  <si>
    <t>rem 1237</t>
  </si>
  <si>
    <t>rem 1235</t>
  </si>
  <si>
    <t>rem 1238</t>
  </si>
  <si>
    <t>rem 1242</t>
  </si>
  <si>
    <t>e04772</t>
  </si>
  <si>
    <t>e04019</t>
  </si>
  <si>
    <t>e04426</t>
  </si>
  <si>
    <t>e04412</t>
  </si>
  <si>
    <t>e04892</t>
  </si>
  <si>
    <t>e04893</t>
  </si>
  <si>
    <t>rem 1264</t>
  </si>
  <si>
    <t>e05038</t>
  </si>
  <si>
    <t>rem 1262</t>
  </si>
  <si>
    <t>rem 1248</t>
  </si>
  <si>
    <t>rem 1255</t>
  </si>
  <si>
    <t>rem 1258</t>
  </si>
  <si>
    <t>e05066</t>
  </si>
  <si>
    <t xml:space="preserve">transfer </t>
  </si>
  <si>
    <t>e05173</t>
  </si>
  <si>
    <t>e05570</t>
  </si>
  <si>
    <t>e04749</t>
  </si>
  <si>
    <t>e05332</t>
  </si>
  <si>
    <t>e05469</t>
  </si>
  <si>
    <t>e05321</t>
  </si>
  <si>
    <t>e05793</t>
  </si>
  <si>
    <t>e05820</t>
  </si>
  <si>
    <t>rem 1283</t>
  </si>
  <si>
    <t>rem 1275</t>
  </si>
  <si>
    <t>rem 1271</t>
  </si>
  <si>
    <t>rem 1266</t>
  </si>
  <si>
    <t>e05842</t>
  </si>
  <si>
    <t>e05953</t>
  </si>
  <si>
    <t>e06096</t>
  </si>
  <si>
    <t>e06269</t>
  </si>
  <si>
    <t>rem 1302</t>
  </si>
  <si>
    <t>rem 1295</t>
  </si>
  <si>
    <t>e06632</t>
  </si>
  <si>
    <t>e06655</t>
  </si>
  <si>
    <t>e06569</t>
  </si>
  <si>
    <t>e07189</t>
  </si>
  <si>
    <t>e07190</t>
  </si>
  <si>
    <t>e07033</t>
  </si>
  <si>
    <t>e06777</t>
  </si>
  <si>
    <t>e07214</t>
  </si>
  <si>
    <t>e07485</t>
  </si>
  <si>
    <t>e07547</t>
  </si>
  <si>
    <t>e07556</t>
  </si>
  <si>
    <t>rem 1311</t>
  </si>
  <si>
    <t>rem 1310</t>
  </si>
  <si>
    <t>e 07682</t>
  </si>
  <si>
    <t>rem 1342</t>
  </si>
  <si>
    <t>e07808</t>
  </si>
  <si>
    <t>rem 1352</t>
  </si>
  <si>
    <t>e07954</t>
  </si>
  <si>
    <t>rem1345</t>
  </si>
  <si>
    <t>rem 1355</t>
  </si>
  <si>
    <t>e08110</t>
  </si>
  <si>
    <t>e08247</t>
  </si>
  <si>
    <t>e08544</t>
  </si>
  <si>
    <t>e08558</t>
  </si>
  <si>
    <t>e08703</t>
  </si>
  <si>
    <t>rem 1362</t>
  </si>
  <si>
    <t>rem 1371</t>
  </si>
  <si>
    <t>rem 1378</t>
  </si>
  <si>
    <t>rem 1373</t>
  </si>
  <si>
    <t>e08774</t>
  </si>
  <si>
    <t>e09054</t>
  </si>
  <si>
    <t>e08958</t>
  </si>
  <si>
    <t>e09056</t>
  </si>
  <si>
    <t>e09073</t>
  </si>
  <si>
    <t>e09329</t>
  </si>
  <si>
    <t>e09340</t>
  </si>
  <si>
    <t>e09448</t>
  </si>
  <si>
    <t>rem 1399</t>
  </si>
  <si>
    <t>e09576</t>
  </si>
  <si>
    <t>e09720</t>
  </si>
  <si>
    <t>e09719</t>
  </si>
  <si>
    <t>e09637</t>
  </si>
  <si>
    <t>e09854</t>
  </si>
  <si>
    <t>vale es por 59105.70</t>
  </si>
  <si>
    <t>e10172</t>
  </si>
  <si>
    <t>e09339</t>
  </si>
  <si>
    <t>e10062</t>
  </si>
  <si>
    <t>e10461</t>
  </si>
  <si>
    <t>e10396</t>
  </si>
  <si>
    <t>e11004</t>
  </si>
  <si>
    <t>e11133</t>
  </si>
  <si>
    <t>e11134</t>
  </si>
  <si>
    <t>rem 1451</t>
  </si>
  <si>
    <t>rem 1458</t>
  </si>
  <si>
    <t>rem 1437</t>
  </si>
  <si>
    <t>e11270</t>
  </si>
  <si>
    <t>la transfer real es por 148,000 pero se contemplo solo 147, los 1000 se compensan en la siguiente nota</t>
  </si>
  <si>
    <t>rem 1457</t>
  </si>
  <si>
    <t>rem 1397</t>
  </si>
  <si>
    <t>rem 1443</t>
  </si>
  <si>
    <t>rem 1413</t>
  </si>
  <si>
    <t>rem 1409</t>
  </si>
  <si>
    <t>rem 1402</t>
  </si>
  <si>
    <t>rem 1425</t>
  </si>
  <si>
    <t>sobrante real en caja $54,024.00</t>
  </si>
  <si>
    <t>e11142</t>
  </si>
  <si>
    <t>sobrante</t>
  </si>
  <si>
    <t>sobrante real en caja $45,492.00</t>
  </si>
  <si>
    <t>e10581</t>
  </si>
  <si>
    <t>e11559</t>
  </si>
  <si>
    <t>e11862</t>
  </si>
  <si>
    <t>e11750</t>
  </si>
  <si>
    <t>vale por 143,243.40 , menos 100 por adeudo de billete falso</t>
  </si>
  <si>
    <t>hay una diferencia en vales de 400 en total a cobrar</t>
  </si>
  <si>
    <t>e11863</t>
  </si>
  <si>
    <t>rem 1489</t>
  </si>
  <si>
    <t>e12115</t>
  </si>
  <si>
    <t>rem 1484</t>
  </si>
  <si>
    <t>e12087</t>
  </si>
  <si>
    <t>rem 1481</t>
  </si>
  <si>
    <t>e12015</t>
  </si>
  <si>
    <t>e11984</t>
  </si>
  <si>
    <t>e12690</t>
  </si>
  <si>
    <t>e12258</t>
  </si>
  <si>
    <t>rem 1507</t>
  </si>
  <si>
    <t>e12395</t>
  </si>
  <si>
    <t>rem 1512</t>
  </si>
  <si>
    <t>rem 1504</t>
  </si>
  <si>
    <t>rem 1502</t>
  </si>
  <si>
    <t>rem 1494</t>
  </si>
  <si>
    <t>rem 1505</t>
  </si>
  <si>
    <t>e12853</t>
  </si>
  <si>
    <t>e12997</t>
  </si>
  <si>
    <t>e12721</t>
  </si>
  <si>
    <t>rem 1518</t>
  </si>
  <si>
    <t>rem 1520</t>
  </si>
  <si>
    <t>rem 1513</t>
  </si>
  <si>
    <t>e13151</t>
  </si>
  <si>
    <t>rem 1536</t>
  </si>
  <si>
    <t>e13306</t>
  </si>
  <si>
    <t>e13150</t>
  </si>
  <si>
    <t>rem 1537</t>
  </si>
  <si>
    <t>e13677</t>
  </si>
  <si>
    <t>boleta transfer</t>
  </si>
  <si>
    <t>e13688</t>
  </si>
  <si>
    <t>e13281</t>
  </si>
  <si>
    <t>e13431</t>
  </si>
  <si>
    <t>rem 1544</t>
  </si>
  <si>
    <t>rem 1545</t>
  </si>
  <si>
    <t>e13588</t>
  </si>
  <si>
    <t>rem 1552</t>
  </si>
  <si>
    <t>e13863</t>
  </si>
  <si>
    <t>E13731</t>
  </si>
  <si>
    <t>E14151</t>
  </si>
  <si>
    <t>rem 1563</t>
  </si>
  <si>
    <t>e14188</t>
  </si>
  <si>
    <t>e14175</t>
  </si>
  <si>
    <t>e14194</t>
  </si>
  <si>
    <t>rem 1575</t>
  </si>
  <si>
    <t>e14051</t>
  </si>
  <si>
    <t>e14730</t>
  </si>
  <si>
    <t>e14888</t>
  </si>
  <si>
    <t>rem 1587</t>
  </si>
  <si>
    <t>rem 1601</t>
  </si>
  <si>
    <t>rem 1599</t>
  </si>
  <si>
    <t>rem 1589</t>
  </si>
  <si>
    <t>rem 1600</t>
  </si>
  <si>
    <t>rem 1607</t>
  </si>
  <si>
    <t>rem 1583</t>
  </si>
  <si>
    <t>rem 1570</t>
  </si>
  <si>
    <t>rem 1595</t>
  </si>
  <si>
    <t>e15235</t>
  </si>
  <si>
    <t>e15511</t>
  </si>
  <si>
    <t>e15272</t>
  </si>
  <si>
    <t>no captura este pago con sobrante</t>
  </si>
  <si>
    <t>rem 1623</t>
  </si>
  <si>
    <t>rem 1620</t>
  </si>
  <si>
    <t>rem 1613</t>
  </si>
  <si>
    <t>e15596</t>
  </si>
  <si>
    <t>e15512</t>
  </si>
  <si>
    <t>rem 1618</t>
  </si>
  <si>
    <t>rem 1628</t>
  </si>
  <si>
    <t>rem 1631</t>
  </si>
  <si>
    <t>rem 1633</t>
  </si>
  <si>
    <t>e 15751</t>
  </si>
  <si>
    <t>e15754</t>
  </si>
  <si>
    <t>e16521</t>
  </si>
  <si>
    <t>e16277</t>
  </si>
  <si>
    <t>e16168</t>
  </si>
  <si>
    <t>e16389</t>
  </si>
  <si>
    <t>e16388</t>
  </si>
  <si>
    <t>rem 1621</t>
  </si>
  <si>
    <t>rem 1630</t>
  </si>
  <si>
    <t>rem 1635</t>
  </si>
  <si>
    <t>e16680</t>
  </si>
  <si>
    <t>e16818</t>
  </si>
  <si>
    <t>e16963</t>
  </si>
  <si>
    <t>rem 1662</t>
  </si>
  <si>
    <t>rem 1679</t>
  </si>
  <si>
    <t>s/f</t>
  </si>
  <si>
    <t>rem 1668</t>
  </si>
  <si>
    <t>rem 1680</t>
  </si>
  <si>
    <t>rem 1675</t>
  </si>
  <si>
    <t>rem 1684</t>
  </si>
  <si>
    <t>rem 1676</t>
  </si>
  <si>
    <t>e17300</t>
  </si>
  <si>
    <t>e17162</t>
  </si>
  <si>
    <t>e17196</t>
  </si>
  <si>
    <t>e16976</t>
  </si>
  <si>
    <t>e17299</t>
  </si>
  <si>
    <t>e17211</t>
  </si>
  <si>
    <t>e17292</t>
  </si>
  <si>
    <t>e17437</t>
  </si>
  <si>
    <t>e17570</t>
  </si>
  <si>
    <t>sobrante $42,694 15/01/18</t>
  </si>
  <si>
    <t>e18055</t>
  </si>
  <si>
    <t>e18184</t>
  </si>
  <si>
    <t>e18308</t>
  </si>
  <si>
    <t>e18341</t>
  </si>
  <si>
    <t>e18579</t>
  </si>
  <si>
    <t>pagado 12/06/18</t>
  </si>
  <si>
    <t>e18405</t>
  </si>
  <si>
    <t>rem 1751</t>
  </si>
  <si>
    <t>e18719</t>
  </si>
  <si>
    <t>rem 1696</t>
  </si>
  <si>
    <t>e18836</t>
  </si>
  <si>
    <t>rem 1688</t>
  </si>
  <si>
    <t>rem 1705</t>
  </si>
  <si>
    <t>rem 1706</t>
  </si>
  <si>
    <t>rem 1721</t>
  </si>
  <si>
    <t>rem 1715</t>
  </si>
  <si>
    <t>rem 1737</t>
  </si>
  <si>
    <t>e18897</t>
  </si>
  <si>
    <t>e19151</t>
  </si>
  <si>
    <t>e19466</t>
  </si>
  <si>
    <t>e19027</t>
  </si>
  <si>
    <t>rem 1767</t>
  </si>
  <si>
    <t>e19611</t>
  </si>
  <si>
    <t>e20039</t>
  </si>
  <si>
    <t>rem 1782</t>
  </si>
  <si>
    <t>e19973</t>
  </si>
  <si>
    <t>corregida</t>
  </si>
  <si>
    <t>e19669</t>
  </si>
  <si>
    <t>e19893</t>
  </si>
  <si>
    <t>e20487</t>
  </si>
  <si>
    <t>e20348</t>
  </si>
  <si>
    <t>e20184</t>
  </si>
  <si>
    <t>e20510</t>
  </si>
  <si>
    <t>rem 1799</t>
  </si>
  <si>
    <t>rem 1798</t>
  </si>
  <si>
    <t>e20711</t>
  </si>
  <si>
    <t>e20491</t>
  </si>
  <si>
    <t>e20649</t>
  </si>
  <si>
    <t>rem 1804</t>
  </si>
  <si>
    <t>rem 1806</t>
  </si>
  <si>
    <t>e20907</t>
  </si>
  <si>
    <t>e20908</t>
  </si>
  <si>
    <t>e21195</t>
  </si>
  <si>
    <t>e21196</t>
  </si>
  <si>
    <t>e21159</t>
  </si>
  <si>
    <t>rem 1818</t>
  </si>
  <si>
    <t>e21332</t>
  </si>
  <si>
    <t>rem 1832</t>
  </si>
  <si>
    <t>e21341</t>
  </si>
  <si>
    <t>e21824</t>
  </si>
  <si>
    <t>e22328</t>
  </si>
  <si>
    <t>e22003</t>
  </si>
  <si>
    <t>e21734</t>
  </si>
  <si>
    <t>rem 11862</t>
  </si>
  <si>
    <t>rem 1849</t>
  </si>
  <si>
    <t>e21733</t>
  </si>
  <si>
    <t>e21838</t>
  </si>
  <si>
    <t>e22329</t>
  </si>
  <si>
    <t>e22475</t>
  </si>
  <si>
    <t>trasnsfer</t>
  </si>
  <si>
    <t>e22581</t>
  </si>
  <si>
    <t>e22709</t>
  </si>
  <si>
    <t>e22986</t>
  </si>
  <si>
    <t>e22987</t>
  </si>
  <si>
    <t>vale</t>
  </si>
  <si>
    <t>entrega caja</t>
  </si>
  <si>
    <t xml:space="preserve">tomo </t>
  </si>
  <si>
    <t xml:space="preserve">entrega caja </t>
  </si>
  <si>
    <t>e22850</t>
  </si>
  <si>
    <t>e23287</t>
  </si>
  <si>
    <t>e23445</t>
  </si>
  <si>
    <t>e23170</t>
  </si>
  <si>
    <t>e23573</t>
  </si>
  <si>
    <t>e23711</t>
  </si>
  <si>
    <t>e24009</t>
  </si>
  <si>
    <t>e23935</t>
  </si>
  <si>
    <t>rem 1912</t>
  </si>
  <si>
    <t>corregida esta ultima</t>
  </si>
  <si>
    <t>e24137</t>
  </si>
  <si>
    <t>e24024</t>
  </si>
  <si>
    <t>rem 1910</t>
  </si>
  <si>
    <t>rem 1914</t>
  </si>
  <si>
    <t>rem 1911</t>
  </si>
  <si>
    <t>e24287</t>
  </si>
  <si>
    <t>rem 1919</t>
  </si>
  <si>
    <t>e24529</t>
  </si>
  <si>
    <t>e24649</t>
  </si>
  <si>
    <t>e24686</t>
  </si>
  <si>
    <t>e24855</t>
  </si>
  <si>
    <t>rem1939</t>
  </si>
  <si>
    <t>rem 1937</t>
  </si>
  <si>
    <t>rem 1933</t>
  </si>
  <si>
    <t>e24990</t>
  </si>
  <si>
    <t>e24981</t>
  </si>
  <si>
    <t>f00092</t>
  </si>
  <si>
    <t>f00217</t>
  </si>
  <si>
    <t>rem 1947</t>
  </si>
  <si>
    <t>sobran 430 en el deposito</t>
  </si>
  <si>
    <t>f00362</t>
  </si>
  <si>
    <t>f00499</t>
  </si>
  <si>
    <t>f00802</t>
  </si>
  <si>
    <t>f00803</t>
  </si>
  <si>
    <t>f00933</t>
  </si>
  <si>
    <t>f00932</t>
  </si>
  <si>
    <t>f01298</t>
  </si>
  <si>
    <t>f01066</t>
  </si>
  <si>
    <t>rem 1974</t>
  </si>
  <si>
    <t>f01299</t>
  </si>
  <si>
    <t>rem 1970</t>
  </si>
  <si>
    <t>rem 1952</t>
  </si>
  <si>
    <t>f01719</t>
  </si>
  <si>
    <t>f01022</t>
  </si>
  <si>
    <t>rem 0001</t>
  </si>
  <si>
    <t>rem 1994</t>
  </si>
  <si>
    <t>f01502</t>
  </si>
  <si>
    <t>f02152</t>
  </si>
  <si>
    <t>f02247</t>
  </si>
  <si>
    <t>f02253</t>
  </si>
  <si>
    <t>f02255</t>
  </si>
  <si>
    <t>f02400</t>
  </si>
  <si>
    <t>f02249</t>
  </si>
  <si>
    <t>f02370</t>
  </si>
  <si>
    <t>f02702</t>
  </si>
  <si>
    <t>f02498</t>
  </si>
  <si>
    <t>f02526</t>
  </si>
  <si>
    <t>f02568</t>
  </si>
  <si>
    <t>f02832</t>
  </si>
  <si>
    <t>f03156</t>
  </si>
  <si>
    <t>f03036</t>
  </si>
  <si>
    <t>f03408</t>
  </si>
  <si>
    <t>f03293</t>
  </si>
  <si>
    <t>f03261</t>
  </si>
  <si>
    <t>f03561</t>
  </si>
  <si>
    <t>f03552</t>
  </si>
  <si>
    <t>f03566</t>
  </si>
  <si>
    <t>f03693</t>
  </si>
  <si>
    <t>f03890</t>
  </si>
  <si>
    <t>f04131</t>
  </si>
  <si>
    <t>f04018</t>
  </si>
  <si>
    <t>f04257</t>
  </si>
  <si>
    <t>f04388</t>
  </si>
  <si>
    <t>f04566</t>
  </si>
  <si>
    <t>f04381</t>
  </si>
  <si>
    <t>f04512</t>
  </si>
  <si>
    <t>f04940</t>
  </si>
  <si>
    <t>f04925</t>
  </si>
  <si>
    <t>f05064</t>
  </si>
  <si>
    <t>f05209</t>
  </si>
  <si>
    <t>f04719</t>
  </si>
  <si>
    <t>f05556</t>
  </si>
  <si>
    <t>f05557</t>
  </si>
  <si>
    <t>f05794</t>
  </si>
  <si>
    <t>f05964</t>
  </si>
  <si>
    <t>transfer.</t>
  </si>
  <si>
    <t>f05795</t>
  </si>
  <si>
    <t>f06076</t>
  </si>
  <si>
    <t>trensfer</t>
  </si>
  <si>
    <t>f062233</t>
  </si>
  <si>
    <t>f06075</t>
  </si>
  <si>
    <t>f06687</t>
  </si>
  <si>
    <t>rem 190</t>
  </si>
  <si>
    <t>f06688</t>
  </si>
  <si>
    <t>rem 162</t>
  </si>
  <si>
    <t>rem 163</t>
  </si>
  <si>
    <t>f06435</t>
  </si>
  <si>
    <t>f06842</t>
  </si>
  <si>
    <t>rem 194</t>
  </si>
  <si>
    <t>f06986</t>
  </si>
  <si>
    <t>rem 103</t>
  </si>
  <si>
    <t>f07142</t>
  </si>
  <si>
    <t>f07127</t>
  </si>
  <si>
    <t>transfer caja</t>
  </si>
  <si>
    <t>f06993</t>
  </si>
  <si>
    <t>rem 115</t>
  </si>
  <si>
    <t>f07467</t>
  </si>
  <si>
    <t>f07465</t>
  </si>
  <si>
    <t>f07918</t>
  </si>
  <si>
    <t>f07783</t>
  </si>
  <si>
    <t>f07610</t>
  </si>
  <si>
    <t>f07754</t>
  </si>
  <si>
    <t>f08211</t>
  </si>
  <si>
    <t>f08064</t>
  </si>
  <si>
    <t>f08367</t>
  </si>
  <si>
    <t>f08366</t>
  </si>
  <si>
    <t>f08624</t>
  </si>
  <si>
    <t>f08509</t>
  </si>
  <si>
    <t>f09533</t>
  </si>
  <si>
    <t>f09393</t>
  </si>
  <si>
    <t>f09269</t>
  </si>
  <si>
    <t>f09151</t>
  </si>
  <si>
    <t>f09150</t>
  </si>
  <si>
    <t>rem 149</t>
  </si>
  <si>
    <t>f09696</t>
  </si>
  <si>
    <t>rem 148</t>
  </si>
  <si>
    <t>real 7978</t>
  </si>
  <si>
    <t>f09860</t>
  </si>
  <si>
    <t>f10186</t>
  </si>
  <si>
    <t>f09673</t>
  </si>
  <si>
    <t>f08793</t>
  </si>
  <si>
    <t>f10313</t>
  </si>
  <si>
    <t>f10178</t>
  </si>
  <si>
    <t>diferencia en kg vale</t>
  </si>
  <si>
    <t>rem 0263</t>
  </si>
  <si>
    <t>rem 253</t>
  </si>
  <si>
    <t>rem 258</t>
  </si>
  <si>
    <t>rem 252</t>
  </si>
  <si>
    <t>efectivo/deposito</t>
  </si>
  <si>
    <t>f10610</t>
  </si>
  <si>
    <t>f10429</t>
  </si>
  <si>
    <t>f10761</t>
  </si>
  <si>
    <t>f10929</t>
  </si>
  <si>
    <t>f10779</t>
  </si>
  <si>
    <t>f11073</t>
  </si>
  <si>
    <t>f11092</t>
  </si>
  <si>
    <t>f11076</t>
  </si>
  <si>
    <t>f11121</t>
  </si>
  <si>
    <t>rem 266</t>
  </si>
  <si>
    <t>diferencia con vale 16/6/18</t>
  </si>
  <si>
    <t>f11338</t>
  </si>
  <si>
    <t>f10762</t>
  </si>
  <si>
    <t>f11399</t>
  </si>
  <si>
    <t>rem 292</t>
  </si>
  <si>
    <t>rem 287</t>
  </si>
  <si>
    <t>14-15/06/2018</t>
  </si>
  <si>
    <t>f11509</t>
  </si>
  <si>
    <t>f11664</t>
  </si>
  <si>
    <t>f11507</t>
  </si>
  <si>
    <t>f11842</t>
  </si>
  <si>
    <t>f11853</t>
  </si>
  <si>
    <t>F11854</t>
  </si>
  <si>
    <t>pagado  28/07/18</t>
  </si>
  <si>
    <t>$22,050 a Lety</t>
  </si>
  <si>
    <t>f11977</t>
  </si>
  <si>
    <t>f11921</t>
  </si>
  <si>
    <t>f12249</t>
  </si>
  <si>
    <t>f12113</t>
  </si>
  <si>
    <t>f12350</t>
  </si>
  <si>
    <t>f12415</t>
  </si>
  <si>
    <t>f12542</t>
  </si>
  <si>
    <t>f12735</t>
  </si>
  <si>
    <t>f12771</t>
  </si>
  <si>
    <t>f12751</t>
  </si>
  <si>
    <t>f12862</t>
  </si>
  <si>
    <t>f13036</t>
  </si>
  <si>
    <t>f12991</t>
  </si>
  <si>
    <t>f13435</t>
  </si>
  <si>
    <t>f13299</t>
  </si>
  <si>
    <t>f12398</t>
  </si>
  <si>
    <t>f13756</t>
  </si>
  <si>
    <t>f13755</t>
  </si>
  <si>
    <t>f13899</t>
  </si>
  <si>
    <t>f13439</t>
  </si>
  <si>
    <t>f14043</t>
  </si>
  <si>
    <t>f14203</t>
  </si>
  <si>
    <t>f14370</t>
  </si>
  <si>
    <t>f14381</t>
  </si>
  <si>
    <t>f14178</t>
  </si>
  <si>
    <t>f14582</t>
  </si>
  <si>
    <t>f14699</t>
  </si>
  <si>
    <t>f14698</t>
  </si>
  <si>
    <t>f14839</t>
  </si>
  <si>
    <t>f15118</t>
  </si>
  <si>
    <t>F15327</t>
  </si>
  <si>
    <t>F15851</t>
  </si>
  <si>
    <t>F15654</t>
  </si>
  <si>
    <t>F15585</t>
  </si>
  <si>
    <t>F15471</t>
  </si>
  <si>
    <t>F 15740</t>
  </si>
  <si>
    <t>F 15273</t>
  </si>
  <si>
    <t>F16172</t>
  </si>
  <si>
    <t>F16195</t>
  </si>
  <si>
    <t>F16321</t>
  </si>
  <si>
    <t>F16545</t>
  </si>
  <si>
    <t>F16546</t>
  </si>
  <si>
    <t>F16827</t>
  </si>
  <si>
    <t>F16841</t>
  </si>
  <si>
    <t>F16840</t>
  </si>
  <si>
    <t>F16953</t>
  </si>
  <si>
    <t>F17162</t>
  </si>
  <si>
    <t>F17454</t>
  </si>
  <si>
    <t>f17746</t>
  </si>
  <si>
    <t>f17564</t>
  </si>
  <si>
    <t>F18322</t>
  </si>
  <si>
    <t>F17847</t>
  </si>
  <si>
    <t>F18028</t>
  </si>
  <si>
    <t>F18565</t>
  </si>
  <si>
    <t xml:space="preserve">Transfer </t>
  </si>
  <si>
    <t>F18222</t>
  </si>
  <si>
    <t>rem 473</t>
  </si>
  <si>
    <t>F18464</t>
  </si>
  <si>
    <t>F18736</t>
  </si>
  <si>
    <t>F18874</t>
  </si>
  <si>
    <t>F19058</t>
  </si>
  <si>
    <t>rem 494</t>
  </si>
  <si>
    <t>rem 479</t>
  </si>
  <si>
    <t>F19292</t>
  </si>
  <si>
    <t>F19570</t>
  </si>
  <si>
    <t>F19165</t>
  </si>
  <si>
    <t>F19702</t>
  </si>
  <si>
    <t>F19897</t>
  </si>
  <si>
    <t>F20001</t>
  </si>
  <si>
    <t>F20405</t>
  </si>
  <si>
    <t>f20571</t>
  </si>
  <si>
    <t>F20701</t>
  </si>
  <si>
    <t>F20207</t>
  </si>
  <si>
    <t>F20258</t>
  </si>
  <si>
    <t>F20775</t>
  </si>
  <si>
    <t xml:space="preserve">  </t>
  </si>
  <si>
    <t>F21131</t>
  </si>
  <si>
    <t>F20896</t>
  </si>
  <si>
    <t>F21184</t>
  </si>
  <si>
    <t>F21023</t>
  </si>
  <si>
    <t>f21321</t>
  </si>
  <si>
    <t>F21549</t>
  </si>
  <si>
    <t>F21673</t>
  </si>
  <si>
    <t>F21674</t>
  </si>
  <si>
    <t>F21774</t>
  </si>
  <si>
    <t>F21931</t>
  </si>
  <si>
    <t>F21797</t>
  </si>
  <si>
    <t>F22038</t>
  </si>
  <si>
    <t>rem565</t>
  </si>
  <si>
    <t>rem 568</t>
  </si>
  <si>
    <t>F22189</t>
  </si>
  <si>
    <t>F22539</t>
  </si>
  <si>
    <t>F22664</t>
  </si>
  <si>
    <t>F22781</t>
  </si>
  <si>
    <t>F22333</t>
  </si>
  <si>
    <t>F22872</t>
  </si>
  <si>
    <t>F22300</t>
  </si>
  <si>
    <t>F22923</t>
  </si>
  <si>
    <t>F23114</t>
  </si>
  <si>
    <t>F23240</t>
  </si>
  <si>
    <t>F22922</t>
  </si>
  <si>
    <t>F23531</t>
  </si>
  <si>
    <t>F23782</t>
  </si>
  <si>
    <t>F23656</t>
  </si>
  <si>
    <t>F23940</t>
  </si>
  <si>
    <t>F23530</t>
  </si>
  <si>
    <t>F23790</t>
  </si>
  <si>
    <t>F24086</t>
  </si>
  <si>
    <t>F24397</t>
  </si>
  <si>
    <t>F24789</t>
  </si>
  <si>
    <t>F24949</t>
  </si>
  <si>
    <t>F24261</t>
  </si>
  <si>
    <t>F24536</t>
  </si>
  <si>
    <t>rem 637</t>
  </si>
  <si>
    <t>rem 625</t>
  </si>
  <si>
    <t>rem 634</t>
  </si>
  <si>
    <t>rem 633</t>
  </si>
  <si>
    <t>G00147</t>
  </si>
  <si>
    <t>G00275</t>
  </si>
  <si>
    <t>G00409</t>
  </si>
  <si>
    <t>rem 657</t>
  </si>
  <si>
    <t>rem 642</t>
  </si>
  <si>
    <t>rem 644</t>
  </si>
  <si>
    <t>rem 636</t>
  </si>
  <si>
    <t>G00678</t>
  </si>
  <si>
    <t>G00655</t>
  </si>
  <si>
    <t>G00541</t>
  </si>
  <si>
    <t>G00800</t>
  </si>
  <si>
    <t>G01014</t>
  </si>
  <si>
    <t>G02111</t>
  </si>
  <si>
    <t>G01986</t>
  </si>
  <si>
    <t>G01857</t>
  </si>
  <si>
    <t>G01673</t>
  </si>
  <si>
    <t>G01521</t>
  </si>
  <si>
    <t>G01237</t>
  </si>
  <si>
    <t>G01127</t>
  </si>
  <si>
    <t>G01858</t>
  </si>
  <si>
    <t>G02243</t>
  </si>
  <si>
    <t>G01351</t>
  </si>
  <si>
    <t>G02398</t>
  </si>
  <si>
    <t>G02535</t>
  </si>
  <si>
    <t>G02854</t>
  </si>
  <si>
    <t>G02952</t>
  </si>
  <si>
    <t>rem 744</t>
  </si>
  <si>
    <t>G03412</t>
  </si>
  <si>
    <t>rem 754</t>
  </si>
  <si>
    <t>rem 758</t>
  </si>
  <si>
    <t>G03112</t>
  </si>
  <si>
    <t>G03626</t>
  </si>
  <si>
    <t>G03741</t>
  </si>
  <si>
    <t>G03863</t>
  </si>
  <si>
    <t>G04003</t>
  </si>
  <si>
    <t>rem 768</t>
  </si>
  <si>
    <t>G04115</t>
  </si>
  <si>
    <t>G04140</t>
  </si>
  <si>
    <t>G04248</t>
  </si>
  <si>
    <t>G04275</t>
  </si>
  <si>
    <t>G04550</t>
  </si>
  <si>
    <t>G04466</t>
  </si>
  <si>
    <t>G05064</t>
  </si>
  <si>
    <t>G04963</t>
  </si>
  <si>
    <t>G05306</t>
  </si>
  <si>
    <t>G05210</t>
  </si>
  <si>
    <t>G04831</t>
  </si>
  <si>
    <t>G05428</t>
  </si>
  <si>
    <t>G05562</t>
  </si>
  <si>
    <t>G05679</t>
  </si>
  <si>
    <t>rem 797</t>
  </si>
  <si>
    <t>rem 788</t>
  </si>
  <si>
    <t>G05774</t>
  </si>
  <si>
    <t>G05975</t>
  </si>
  <si>
    <t>G05954</t>
  </si>
  <si>
    <t>G06433</t>
  </si>
  <si>
    <t>G06297</t>
  </si>
  <si>
    <t>G06296</t>
  </si>
  <si>
    <t>G06718</t>
  </si>
  <si>
    <t>G07043</t>
  </si>
  <si>
    <t>G06568</t>
  </si>
  <si>
    <t>G07168</t>
  </si>
  <si>
    <t>G07197</t>
  </si>
  <si>
    <t>G07301</t>
  </si>
  <si>
    <t>G07045</t>
  </si>
  <si>
    <t>G07174</t>
  </si>
  <si>
    <t>G07596</t>
  </si>
  <si>
    <t>diferencia en precio rem G07174</t>
  </si>
  <si>
    <t>G07738</t>
  </si>
  <si>
    <t>G08223</t>
  </si>
  <si>
    <t>G07961</t>
  </si>
  <si>
    <t>G07422</t>
  </si>
  <si>
    <t>rem 938</t>
  </si>
  <si>
    <t>G08512</t>
  </si>
  <si>
    <t>G08683</t>
  </si>
  <si>
    <t>G08341</t>
  </si>
  <si>
    <t>G08520</t>
  </si>
  <si>
    <t>G08938</t>
  </si>
  <si>
    <t>G09209</t>
  </si>
  <si>
    <t>G08078</t>
  </si>
  <si>
    <t>G09215</t>
  </si>
  <si>
    <t>G09091</t>
  </si>
  <si>
    <t>G09336</t>
  </si>
  <si>
    <t>G09330</t>
  </si>
  <si>
    <t>G09697</t>
  </si>
  <si>
    <t>G09937</t>
  </si>
  <si>
    <t>G10062</t>
  </si>
  <si>
    <t>G10108</t>
  </si>
  <si>
    <t>G10254</t>
  </si>
  <si>
    <t>rem 1080</t>
  </si>
  <si>
    <t>G10374</t>
  </si>
  <si>
    <t>rem 1073</t>
  </si>
  <si>
    <t>G10427</t>
  </si>
  <si>
    <t>G10614</t>
  </si>
  <si>
    <t>vale rosa cic Adriana</t>
  </si>
  <si>
    <t>G10779</t>
  </si>
  <si>
    <t>G11110</t>
  </si>
  <si>
    <t>G11109</t>
  </si>
  <si>
    <t>G11044</t>
  </si>
  <si>
    <t>G10798</t>
  </si>
  <si>
    <t>G11249</t>
  </si>
  <si>
    <t>rem 967</t>
  </si>
  <si>
    <t>rem 1097</t>
  </si>
  <si>
    <t>rem 957</t>
  </si>
  <si>
    <t>rem 958</t>
  </si>
  <si>
    <t>G11757</t>
  </si>
  <si>
    <t>G11568</t>
  </si>
  <si>
    <t>sobrantes antiguos</t>
  </si>
  <si>
    <t>fact 202271</t>
  </si>
  <si>
    <t>intercam $22,213.16</t>
  </si>
  <si>
    <t>NLSE19-101</t>
  </si>
  <si>
    <t>NLSE19-102</t>
  </si>
  <si>
    <t>NLSE19-103</t>
  </si>
  <si>
    <t>NLSE19-104</t>
  </si>
  <si>
    <t>NLSE19-105</t>
  </si>
  <si>
    <t>NLSE19-106</t>
  </si>
  <si>
    <t>intercam $24,500.00</t>
  </si>
  <si>
    <t>fact 202270</t>
  </si>
  <si>
    <t>intercam $22,836.32</t>
  </si>
  <si>
    <t>Cruz</t>
  </si>
  <si>
    <t>G12210</t>
  </si>
  <si>
    <t>rem 984</t>
  </si>
  <si>
    <t>rem 986</t>
  </si>
  <si>
    <t>rem 969</t>
  </si>
  <si>
    <t>rem 992</t>
  </si>
  <si>
    <t>rem 991</t>
  </si>
  <si>
    <t>fact 1564823</t>
  </si>
  <si>
    <t>merma 650.6kg Ya bonificada todavia el 04/01/19</t>
  </si>
  <si>
    <t>Gaby y Topete</t>
  </si>
  <si>
    <t>fact 6503,6504,6806,6807</t>
  </si>
  <si>
    <t>Agrop Las Reses</t>
  </si>
  <si>
    <t>fact 7042, 7043</t>
  </si>
  <si>
    <t>fact 6500,6501</t>
  </si>
  <si>
    <t>p 37.50 G12698</t>
  </si>
  <si>
    <t>hoja + 9.5  ju 3 ene</t>
  </si>
  <si>
    <t>hoja + 10  ju 3 ene</t>
  </si>
  <si>
    <t>hoja + 10.5 vi 4 ene</t>
  </si>
  <si>
    <t>hoja + 9.5 vi 4 ene</t>
  </si>
  <si>
    <t>hoja + 10.5  ma 8 ene</t>
  </si>
  <si>
    <t>nl19-01</t>
  </si>
  <si>
    <t>nlp067</t>
  </si>
  <si>
    <t>T7192</t>
  </si>
  <si>
    <t>nlse19-101</t>
  </si>
  <si>
    <t>nl18-02</t>
  </si>
  <si>
    <t>nlse19-102</t>
  </si>
  <si>
    <t>P 37.45  G12732</t>
  </si>
  <si>
    <t>T7193</t>
  </si>
  <si>
    <t>T7194</t>
  </si>
  <si>
    <t>T7195</t>
  </si>
  <si>
    <t>T7196</t>
  </si>
  <si>
    <t>T7197</t>
  </si>
  <si>
    <t>T7198</t>
  </si>
  <si>
    <t>T7199</t>
  </si>
  <si>
    <t>Intercam $22,000.00</t>
  </si>
  <si>
    <t>intercam $24,000.00</t>
  </si>
  <si>
    <t>Seaboard  ju 17/01/19  nlse19-103</t>
  </si>
  <si>
    <t>Seaboard  sa 19/01/19  nlse19-104</t>
  </si>
  <si>
    <t>Tyson mi 16/01/19   T7192</t>
  </si>
  <si>
    <t>Tyson mi 16/01/19   T7193</t>
  </si>
  <si>
    <t>Smithfield  vi 4/01/19  nl18-112</t>
  </si>
  <si>
    <t>fact 9000631984</t>
  </si>
  <si>
    <t>Smithfield  vi 4/01/19  nl18-113</t>
  </si>
  <si>
    <t>fact 9000629949</t>
  </si>
  <si>
    <t>intercam $23,213.36</t>
  </si>
  <si>
    <t>Ideal Trading  ma 08/01/19  nlp067</t>
  </si>
  <si>
    <t>intercam $23,587.78-1,159.02</t>
  </si>
  <si>
    <t>Aplicación de NC de la orden NL18-108 que falto un combo, NC por $1,159.02usd</t>
  </si>
  <si>
    <t>Seaboard  vi 11/01/19  nlse19-111</t>
  </si>
  <si>
    <t>nlse19-111</t>
  </si>
  <si>
    <t>hoja + 10.5 lu 07 ene</t>
  </si>
  <si>
    <t>G12732</t>
  </si>
  <si>
    <t>G12698</t>
  </si>
  <si>
    <t>G12212</t>
  </si>
  <si>
    <t>rem 1114</t>
  </si>
  <si>
    <t>rem 1121</t>
  </si>
  <si>
    <t>fact 202274</t>
  </si>
  <si>
    <t>Agrop El Topete</t>
  </si>
  <si>
    <t>fact 6814, 6815</t>
  </si>
  <si>
    <t>Porc San Bernardo</t>
  </si>
  <si>
    <t>fact 3272,3273</t>
  </si>
  <si>
    <t>fact 6817, 6818</t>
  </si>
  <si>
    <t>P 37.50  G13119</t>
  </si>
  <si>
    <t>P 37.40 G13120</t>
  </si>
  <si>
    <t>intercam $23,035.58-802.42</t>
  </si>
  <si>
    <t>Tamez</t>
  </si>
  <si>
    <t>fact 069C04829A</t>
  </si>
  <si>
    <t>fact 069C05821A</t>
  </si>
  <si>
    <t>fact 1566683</t>
  </si>
  <si>
    <t>069C04829A</t>
  </si>
  <si>
    <t>069C05821A</t>
  </si>
  <si>
    <t>Productos Xeiba  sa 05/01/19</t>
  </si>
  <si>
    <t xml:space="preserve">fact 433 </t>
  </si>
  <si>
    <t>fact 6821, 6822</t>
  </si>
  <si>
    <t>P 37.40 G13235</t>
  </si>
  <si>
    <t>Agrop la Gaby</t>
  </si>
  <si>
    <t>merma por error de tara, compensada en el pago con NC</t>
  </si>
  <si>
    <t>NLSE19-111</t>
  </si>
  <si>
    <t>Ju</t>
  </si>
  <si>
    <t>fact 1567430</t>
  </si>
  <si>
    <t xml:space="preserve">NC aplicada por diferencia en peso por error en bascula en planta </t>
  </si>
  <si>
    <t>fact 632</t>
  </si>
  <si>
    <t>Juan Pablo  vi 04/01/19</t>
  </si>
  <si>
    <t>fact 6827,6828,6830,6831</t>
  </si>
  <si>
    <t>P 37.40  G13384</t>
  </si>
  <si>
    <t>Smithfield  ma 08/01/19  nl19-01</t>
  </si>
  <si>
    <t>fact 9000637472</t>
  </si>
  <si>
    <t>intercam $22,756.95</t>
  </si>
  <si>
    <t>G13120</t>
  </si>
  <si>
    <t>G13119</t>
  </si>
  <si>
    <t>G13235</t>
  </si>
  <si>
    <t>G13384</t>
  </si>
  <si>
    <t>fact 1567660</t>
  </si>
  <si>
    <t>Agrop La Gaby</t>
  </si>
  <si>
    <t>fact 6522,6523</t>
  </si>
  <si>
    <t>Agrop La Chemita</t>
  </si>
  <si>
    <t>fact 4544,4545</t>
  </si>
  <si>
    <t>fact 3284,3285</t>
  </si>
  <si>
    <t>hoja + 9.5  ju 10 ene</t>
  </si>
  <si>
    <t>hoja + 10  ju 10 ene</t>
  </si>
  <si>
    <t>hoja + 9.5  vi 11 ene</t>
  </si>
  <si>
    <t>hoja + 10.5 vi 11 ene</t>
  </si>
  <si>
    <t>hoja + 10 vi 11 ene</t>
  </si>
  <si>
    <t>hoja + 10.5  ma 15 ene</t>
  </si>
  <si>
    <t>Contra</t>
  </si>
  <si>
    <t>excel</t>
  </si>
  <si>
    <t>Ryc</t>
  </si>
  <si>
    <t>Menudo</t>
  </si>
  <si>
    <t>excel 86M</t>
  </si>
  <si>
    <t>Roel</t>
  </si>
  <si>
    <t>Saga</t>
  </si>
  <si>
    <t>nl19-03</t>
  </si>
  <si>
    <t>nlp068</t>
  </si>
  <si>
    <t>nl19-04</t>
  </si>
  <si>
    <t>nlse19-103</t>
  </si>
  <si>
    <t>nlp071</t>
  </si>
  <si>
    <t>nlse19-104</t>
  </si>
  <si>
    <t>hoja + 10  ju 17 ene</t>
  </si>
  <si>
    <t>hoja + 9.5  ju 17 ene</t>
  </si>
  <si>
    <t>hoja + 10.5 vi 18 ene</t>
  </si>
  <si>
    <t>hoja + 9.5 lu 21 ene</t>
  </si>
  <si>
    <t>hoja + 10.5  ma 22 ene</t>
  </si>
  <si>
    <t>nlp069</t>
  </si>
  <si>
    <t>nl19-05</t>
  </si>
  <si>
    <t>nlse19-105</t>
  </si>
  <si>
    <t>nlp072</t>
  </si>
  <si>
    <t>nl19-06</t>
  </si>
  <si>
    <t>nlse19-106</t>
  </si>
  <si>
    <t>hoja + 9.5  ju 24 ene</t>
  </si>
  <si>
    <t>hoja + 10  ju 24 ene</t>
  </si>
  <si>
    <t>nl19-07</t>
  </si>
  <si>
    <t>nlp070</t>
  </si>
  <si>
    <t>nl19-08</t>
  </si>
  <si>
    <t>hoja + 10.5 vi 25 ene</t>
  </si>
  <si>
    <t>hoja + 9.5  vi 25 ene</t>
  </si>
  <si>
    <t>hoja + 10.5  ma 29 ene</t>
  </si>
  <si>
    <t>Smithfield  vi 11/01/19  nl19-02</t>
  </si>
  <si>
    <t>fact 9000645309</t>
  </si>
  <si>
    <t>intercam $23,304.69</t>
  </si>
  <si>
    <t>intercam $26,000.00</t>
  </si>
  <si>
    <t>P 37.05  G13566</t>
  </si>
  <si>
    <t>Agrop Las Reses  ju 03/01/19</t>
  </si>
  <si>
    <t>Agrop La Gaby  ju 03/01/19</t>
  </si>
  <si>
    <t>Agrop La Gaby  vi 04/01/19</t>
  </si>
  <si>
    <t>fact 6503,6504</t>
  </si>
  <si>
    <t>fact 6806,6807</t>
  </si>
  <si>
    <t>Agrop El Topete  vi 04/01/19</t>
  </si>
  <si>
    <t>Febrero 19</t>
  </si>
  <si>
    <t>Agrop El Topete  do 6/01/19</t>
  </si>
  <si>
    <t>fact 6814,6815</t>
  </si>
  <si>
    <t>fact 322,3273</t>
  </si>
  <si>
    <t>Porc San Bernardo  do 06/01/19</t>
  </si>
  <si>
    <t>Agrop El Topete  lu 07/01/19</t>
  </si>
  <si>
    <t>Agrop El Topete  ma 08/01/19</t>
  </si>
  <si>
    <t>Agrop El Topete mi 09/01/19</t>
  </si>
  <si>
    <t>fact 6830,6831</t>
  </si>
  <si>
    <t>fact6827, 6828</t>
  </si>
  <si>
    <t>Agrop La Gaby  ju 10/01/19</t>
  </si>
  <si>
    <t>fact 6522, 6523</t>
  </si>
  <si>
    <t>fact 4544, 4545</t>
  </si>
  <si>
    <t>Agrop La Chemita  ju 10/01/19</t>
  </si>
  <si>
    <t>Porc San Bernardo  vi 11/01/19</t>
  </si>
  <si>
    <t>Juan Pablo Torres vi 11/01/19</t>
  </si>
  <si>
    <t>P 37  G13713</t>
  </si>
  <si>
    <t>Corbata al vacio</t>
  </si>
  <si>
    <t>Smithfield</t>
  </si>
  <si>
    <t>104 cajas</t>
  </si>
  <si>
    <t>fact HC0825</t>
  </si>
  <si>
    <t>Roel  mi 09/01/19</t>
  </si>
  <si>
    <t>corbata smithfield vacio</t>
  </si>
  <si>
    <t>85 cajas</t>
  </si>
  <si>
    <t>fact 66637</t>
  </si>
  <si>
    <t>Saga Inc  ju 10/01/19</t>
  </si>
  <si>
    <t>menudo excell 86M</t>
  </si>
  <si>
    <t>Esp carnero</t>
  </si>
  <si>
    <t>Alliance</t>
  </si>
  <si>
    <t>278 cajas</t>
  </si>
  <si>
    <t>fact 1097262</t>
  </si>
  <si>
    <t>Ryc Alimentos  mi 09/01/19</t>
  </si>
  <si>
    <t>esp carnero Alliance</t>
  </si>
  <si>
    <t>Cuero belly fco</t>
  </si>
  <si>
    <t>Adams</t>
  </si>
  <si>
    <t>1 combo</t>
  </si>
  <si>
    <t>fact 67388</t>
  </si>
  <si>
    <t>Adams International  mi 02/01/19</t>
  </si>
  <si>
    <t>86M</t>
  </si>
  <si>
    <t>60 cajas</t>
  </si>
  <si>
    <t>fact 67486</t>
  </si>
  <si>
    <t>Adams International  sa 05/01/19</t>
  </si>
  <si>
    <t>Swift</t>
  </si>
  <si>
    <t>3 combos</t>
  </si>
  <si>
    <t>fact 67582</t>
  </si>
  <si>
    <t>Adams International mi 09/01/19</t>
  </si>
  <si>
    <t>Tyson  mi 23/01/19  T7194</t>
  </si>
  <si>
    <t>Tyson  mi 23/01/19  T7195</t>
  </si>
  <si>
    <t>Seaboard  ju  24/01/19  nlse19-105</t>
  </si>
  <si>
    <t>Ideal trading  ju 17/01/19 nlp071</t>
  </si>
  <si>
    <t>Ideal Trading  ma 15/01/19 nlp068</t>
  </si>
  <si>
    <t>Smithfield  mi 16/01/19  nl19-04</t>
  </si>
  <si>
    <t>Smithfield  ma 15/001/19  nl19-03</t>
  </si>
  <si>
    <t>fact 9000656018</t>
  </si>
  <si>
    <t>intercam $24,263.27</t>
  </si>
  <si>
    <t>fact 202277</t>
  </si>
  <si>
    <t>intercam $24,705.05</t>
  </si>
  <si>
    <t>Porc Soto</t>
  </si>
  <si>
    <t>fact 1780,1781</t>
  </si>
  <si>
    <t>fact 7071,7072</t>
  </si>
  <si>
    <t>G13566</t>
  </si>
  <si>
    <t>G13713</t>
  </si>
  <si>
    <t>rem 1136</t>
  </si>
  <si>
    <t>rem 1126</t>
  </si>
  <si>
    <t>P 36.90 G13935</t>
  </si>
  <si>
    <t>se pagaron $1,000 usd de mas, se descuentan en la NLP071</t>
  </si>
  <si>
    <t>088C11826A</t>
  </si>
  <si>
    <t>069C11822A</t>
  </si>
  <si>
    <t>fact 088C11826A</t>
  </si>
  <si>
    <t>fact 069C11822A</t>
  </si>
  <si>
    <t>fact 9000657200</t>
  </si>
  <si>
    <t>intercam $24,883.76</t>
  </si>
  <si>
    <t>P 37  G14065</t>
  </si>
  <si>
    <t>Soto y Las Reses</t>
  </si>
  <si>
    <t>fact 1785,1786,7074,7075</t>
  </si>
  <si>
    <t>G14068</t>
  </si>
  <si>
    <t>G14065</t>
  </si>
  <si>
    <t>fact 1569382</t>
  </si>
  <si>
    <t>fact 7078,7079,7080,7081</t>
  </si>
  <si>
    <t>intercam $26,500.00</t>
  </si>
  <si>
    <t>fact 202281</t>
  </si>
  <si>
    <t>intercam $24,717.50-1,000</t>
  </si>
  <si>
    <t>P 37.10 G14197</t>
  </si>
  <si>
    <t>G14197</t>
  </si>
  <si>
    <t>rem 1165</t>
  </si>
  <si>
    <t>El Dorado y San Bernardo</t>
  </si>
  <si>
    <t>fact 2071,2072,3294, 3290</t>
  </si>
  <si>
    <t>NLSE19-107</t>
  </si>
  <si>
    <t>NLSE19-108</t>
  </si>
  <si>
    <t>NLSE19-109</t>
  </si>
  <si>
    <t>NLSE19-110</t>
  </si>
  <si>
    <t>Seaboard  sa 26/01/19  nlse19-106</t>
  </si>
  <si>
    <t>Productos Xeiba  ma 15/01/19</t>
  </si>
  <si>
    <t>fact 438</t>
  </si>
  <si>
    <t>G13935</t>
  </si>
  <si>
    <t>rem 1160</t>
  </si>
  <si>
    <t>rem 1156</t>
  </si>
  <si>
    <t>fact 656</t>
  </si>
  <si>
    <t>fact 1570173</t>
  </si>
  <si>
    <t>Agrop El Dorado</t>
  </si>
  <si>
    <t>fact 2075, 2076</t>
  </si>
  <si>
    <t>fact 792,7093</t>
  </si>
  <si>
    <t>P 37 G14328</t>
  </si>
  <si>
    <t>P 36.50  G14499</t>
  </si>
  <si>
    <t>Juan Pablo Torres  vi 25/01/19</t>
  </si>
  <si>
    <t>Agrop Las Reses  do 13/01/19</t>
  </si>
  <si>
    <t>fact 1780, 1781</t>
  </si>
  <si>
    <t>Porc Soto  do 13/01/19</t>
  </si>
  <si>
    <t>Porc Soto  lu 14/01/19</t>
  </si>
  <si>
    <t>fact 1785, 1786</t>
  </si>
  <si>
    <t>fact 7074, 7075</t>
  </si>
  <si>
    <t>Agrop Las Reses lu 14/01/19</t>
  </si>
  <si>
    <t>Agrop Las Reses  ma 15/01/19</t>
  </si>
  <si>
    <t>fact 7080, 7081</t>
  </si>
  <si>
    <t>Agrop El Dorado  mi 16/01/19</t>
  </si>
  <si>
    <t>fact 2071, 2072</t>
  </si>
  <si>
    <t>fact 3294, 3295</t>
  </si>
  <si>
    <t>Porc San Bernardo  mi 16/01/19</t>
  </si>
  <si>
    <t>fact 7092, 7093</t>
  </si>
  <si>
    <t>fact 7078,7079</t>
  </si>
  <si>
    <t>Agrop Las Reses  ju 17/01/19</t>
  </si>
  <si>
    <t>Agrop El Dorado  ju 17/01/19</t>
  </si>
  <si>
    <t>fact 6544, 6545</t>
  </si>
  <si>
    <t>P 36.40  G14669</t>
  </si>
  <si>
    <t>Agrop La Gaby  vi 18/01/19</t>
  </si>
  <si>
    <t>Tyson  mi 30/01/19  T7196</t>
  </si>
  <si>
    <t>Seaboard  ju 31/01/19 nlse19-107</t>
  </si>
  <si>
    <t>Seaboard  sa 02/02/19 nlse19-108</t>
  </si>
  <si>
    <t>Ideal Trading  ma 22/01/19 nlp069</t>
  </si>
  <si>
    <t>Ideal Trading  ju 24/01/19  nlp072</t>
  </si>
  <si>
    <t>intercam $27,500.00</t>
  </si>
  <si>
    <t>Smithfield  mi 23/01/19  nl19-05</t>
  </si>
  <si>
    <t>Smithfield  sa 26/1/19  nl19-06</t>
  </si>
  <si>
    <t>fact 202284</t>
  </si>
  <si>
    <t>intercam $25,913.39</t>
  </si>
  <si>
    <t>fact 6548,6549</t>
  </si>
  <si>
    <t>fact 6550,6551</t>
  </si>
  <si>
    <t>Cuero Belly fco</t>
  </si>
  <si>
    <t>5 combos</t>
  </si>
  <si>
    <t>fact 67735</t>
  </si>
  <si>
    <t>Papa ondulada 1/2</t>
  </si>
  <si>
    <t>permafrost</t>
  </si>
  <si>
    <t>100 cajas</t>
  </si>
  <si>
    <t>fact 67855</t>
  </si>
  <si>
    <t>Adams International  lu 14/01/19</t>
  </si>
  <si>
    <t>Adams International  vi 18/01/19</t>
  </si>
  <si>
    <t xml:space="preserve">papa ondulada  </t>
  </si>
  <si>
    <t>fact 9000672662</t>
  </si>
  <si>
    <t>intercam $26,098.30</t>
  </si>
  <si>
    <t>280 cajas</t>
  </si>
  <si>
    <t>Roel   vi 18/01/19</t>
  </si>
  <si>
    <t>fact 1099112</t>
  </si>
  <si>
    <t>Ryc Alimentos  vi 18/01/19</t>
  </si>
  <si>
    <t>contra excell</t>
  </si>
  <si>
    <t>P 36.40  G14881</t>
  </si>
  <si>
    <t>Productos Xeiba  vi 18/01/19</t>
  </si>
  <si>
    <t>fact 439</t>
  </si>
  <si>
    <t>Odelpa</t>
  </si>
  <si>
    <t>088C19825A</t>
  </si>
  <si>
    <t>069C18824A</t>
  </si>
  <si>
    <t>fact 069C18824A</t>
  </si>
  <si>
    <t>fact 088C19825A</t>
  </si>
  <si>
    <t>Productos Xeiba  lu 21/01/19</t>
  </si>
  <si>
    <t>fact 447</t>
  </si>
  <si>
    <t>611 cajas</t>
  </si>
  <si>
    <t>241 cajas</t>
  </si>
  <si>
    <t>Roel  ju 17/01/19</t>
  </si>
  <si>
    <t>fact 676</t>
  </si>
  <si>
    <t>fact HC0876</t>
  </si>
  <si>
    <t>fact HC0875</t>
  </si>
  <si>
    <t>fact 2085, 2086</t>
  </si>
  <si>
    <t>fact1807,1808</t>
  </si>
  <si>
    <t>P 36.6  G15007</t>
  </si>
  <si>
    <t>fact 1572344</t>
  </si>
  <si>
    <t>hoja + 10 Lu 21 ene</t>
  </si>
  <si>
    <t>fact 4572,4573</t>
  </si>
  <si>
    <t>fact 6554,6555,6557,6558</t>
  </si>
  <si>
    <t>fact 202289</t>
  </si>
  <si>
    <t>intercam $25,397.30</t>
  </si>
  <si>
    <t>P 36.50  G15277</t>
  </si>
  <si>
    <t>Productos La Xeiba  mi 23/01/19</t>
  </si>
  <si>
    <t>fact 448</t>
  </si>
  <si>
    <t>fact 1572662</t>
  </si>
  <si>
    <t>intercam $24,558.29</t>
  </si>
  <si>
    <t>fact 9000677923</t>
  </si>
  <si>
    <t>fact 7101,7102</t>
  </si>
  <si>
    <t>fact 2091,2092</t>
  </si>
  <si>
    <t>P 36.60  G15448</t>
  </si>
  <si>
    <t>84 cajas</t>
  </si>
  <si>
    <t>fact 1823,1824</t>
  </si>
  <si>
    <t>p 36.60  G15595</t>
  </si>
  <si>
    <t>prom 5 = 33.46</t>
  </si>
  <si>
    <t>prom 3= 32.68 de las que quedan</t>
  </si>
  <si>
    <t>prom total 33.07</t>
  </si>
  <si>
    <t>Agrop La Gaby  do 20/01/19</t>
  </si>
  <si>
    <t>fact 6548, 6549</t>
  </si>
  <si>
    <t>nlse19-107</t>
  </si>
  <si>
    <t>nlp073</t>
  </si>
  <si>
    <t>G14881</t>
  </si>
  <si>
    <t>G14669</t>
  </si>
  <si>
    <t>G15595</t>
  </si>
  <si>
    <t>G15448</t>
  </si>
  <si>
    <t>G15277</t>
  </si>
  <si>
    <t>G15007</t>
  </si>
  <si>
    <t>G14858</t>
  </si>
  <si>
    <t>G14328</t>
  </si>
  <si>
    <t>Tyson mi 06/02/19  T7198</t>
  </si>
  <si>
    <t>Tyson mi 06/02/19  T7199</t>
  </si>
  <si>
    <t>Seaboard  ju 07/02/19  nlse19-109</t>
  </si>
  <si>
    <t>Ideal Trading  ma 29/01/19  nlp070</t>
  </si>
  <si>
    <t>Smithfield  ma 29/01/19 nl19-07</t>
  </si>
  <si>
    <t>fact 9000683875</t>
  </si>
  <si>
    <t>intercam $22,249.40</t>
  </si>
  <si>
    <t>Ideal Trading  vi 01/02/19 nlp073</t>
  </si>
  <si>
    <t>Smithfield  vi  01/02/19  nl19-08</t>
  </si>
  <si>
    <t>fact 202293</t>
  </si>
  <si>
    <t>intercam $23,381.56</t>
  </si>
  <si>
    <t>Febrero 2019</t>
  </si>
  <si>
    <t>fact 6853,6854</t>
  </si>
  <si>
    <t>fact 4587,4588</t>
  </si>
  <si>
    <t>P 36  G15837</t>
  </si>
  <si>
    <t>Tyson  vi 01/02/19  T7197</t>
  </si>
  <si>
    <t>fact 689</t>
  </si>
  <si>
    <t>Juan Pablo  vi 25/01/19</t>
  </si>
  <si>
    <t>Productos La Xeiba  sa 26/01/19</t>
  </si>
  <si>
    <t>fact 450</t>
  </si>
  <si>
    <t>Topete y Dorado</t>
  </si>
  <si>
    <t>fact 6859,6860,2098,2099</t>
  </si>
  <si>
    <t>Topete y Soto</t>
  </si>
  <si>
    <t>fact 6856,6857,1832,1833</t>
  </si>
  <si>
    <t>nlse19-108</t>
  </si>
  <si>
    <t>fact 9000690933</t>
  </si>
  <si>
    <t>intercam $23,443.69</t>
  </si>
  <si>
    <t>fact 088C27821A</t>
  </si>
  <si>
    <t>indiana</t>
  </si>
  <si>
    <t>2 combos</t>
  </si>
  <si>
    <t>fact 68008</t>
  </si>
  <si>
    <t>fact68029</t>
  </si>
  <si>
    <t>Roel  vi 25/01/19</t>
  </si>
  <si>
    <t>Adams International  ju 24/01/19</t>
  </si>
  <si>
    <t>fact 68029</t>
  </si>
  <si>
    <t>Adams International  vi 25/01/19</t>
  </si>
  <si>
    <t>fact 68065</t>
  </si>
  <si>
    <t>111 cajas</t>
  </si>
  <si>
    <t>fact 68089</t>
  </si>
  <si>
    <t>Adams International  lu 28/01/19</t>
  </si>
  <si>
    <t>Agrop El Dorado  lu 21/01/19</t>
  </si>
  <si>
    <t>fact 2085,2086</t>
  </si>
  <si>
    <t>fact 1807,1808</t>
  </si>
  <si>
    <t>Porc Soto  lu 21/01/19</t>
  </si>
  <si>
    <t>Agrop La Chemita  ma 22/04/19</t>
  </si>
  <si>
    <t>Agrop La Gaby  mi 23/01/19</t>
  </si>
  <si>
    <t>fact 6554,6555</t>
  </si>
  <si>
    <t>fact 6557,6558</t>
  </si>
  <si>
    <t>Agrop Las Reses  ju 24/01/19</t>
  </si>
  <si>
    <t>Agrop El Dorado  ju 24/01/19</t>
  </si>
  <si>
    <t>Porc Soto  vi 25/01/19</t>
  </si>
  <si>
    <t>Agrop El Topete  do 27/01/19</t>
  </si>
  <si>
    <t>Agrop La Chemita  do 27/01/19</t>
  </si>
  <si>
    <t>Agrop El Topete  lu 28/01/19</t>
  </si>
  <si>
    <t>fact 6856,6857</t>
  </si>
  <si>
    <t>fact 1832,1833</t>
  </si>
  <si>
    <t>Porc Soto  lu 28/01/19</t>
  </si>
  <si>
    <t>088C27821A</t>
  </si>
  <si>
    <t>prom 32.5 de 3</t>
  </si>
  <si>
    <t>P35.90  G15972</t>
  </si>
  <si>
    <t>fact 1575172</t>
  </si>
  <si>
    <t>nl19-09</t>
  </si>
  <si>
    <t>hoja + 9.5 lu 28 ene</t>
  </si>
  <si>
    <t>Marimex  mi 30/01/19</t>
  </si>
  <si>
    <t>fact PUI7789</t>
  </si>
  <si>
    <t>basa 5/7 45, atun 170,salmon 175</t>
  </si>
  <si>
    <t>Marimex</t>
  </si>
  <si>
    <t>Ideal Trading  vi 01/02/19 nlp074</t>
  </si>
  <si>
    <t>Smithfield  sa 02/02/19 nl19-09</t>
  </si>
  <si>
    <t>fact 9000694616</t>
  </si>
  <si>
    <t>intercam $23,089.82</t>
  </si>
  <si>
    <t>G14499</t>
  </si>
  <si>
    <t>G15972</t>
  </si>
  <si>
    <t>fact 6861,6862</t>
  </si>
  <si>
    <t>fact 1839,1840</t>
  </si>
  <si>
    <t>P 35.90  G16221</t>
  </si>
  <si>
    <t>P35.90  G16222</t>
  </si>
  <si>
    <t>Prodctos la Xeiba  mi 30/01/19</t>
  </si>
  <si>
    <t xml:space="preserve">fact 454 </t>
  </si>
  <si>
    <t>Filete Basa</t>
  </si>
  <si>
    <t>5/7 pielago</t>
  </si>
  <si>
    <t>Salmon porcion</t>
  </si>
  <si>
    <t>Atun porcion</t>
  </si>
  <si>
    <t>8/10 baja bay</t>
  </si>
  <si>
    <t>6/8</t>
  </si>
  <si>
    <t>12 cajas</t>
  </si>
  <si>
    <t xml:space="preserve">10 cajas </t>
  </si>
  <si>
    <t xml:space="preserve">100 cajas </t>
  </si>
  <si>
    <t>088C28821A</t>
  </si>
  <si>
    <t>fact 088C28821A</t>
  </si>
  <si>
    <t>mantuvieron el precio del martes</t>
  </si>
  <si>
    <t>fact 6859,6860</t>
  </si>
  <si>
    <t>fact 2098,2099</t>
  </si>
  <si>
    <t>Agrop El Dorado  ma 29/01/19</t>
  </si>
  <si>
    <t>Agrop El Topete  ma 29/01/19</t>
  </si>
  <si>
    <t>Agrop El Topete  mi 30/01/19</t>
  </si>
  <si>
    <t>Porc Soto  mi 30/01/19</t>
  </si>
  <si>
    <t>fact 7107,7108</t>
  </si>
  <si>
    <t>fact 6867,6868</t>
  </si>
  <si>
    <t>Agrop El Topete  ju 31/01/19</t>
  </si>
  <si>
    <t>fact 6867, 6868</t>
  </si>
  <si>
    <t>Agrop Las Reses  ju 31/01/19</t>
  </si>
  <si>
    <t>Seaboard  sa 09/02/19  nlse19-110</t>
  </si>
  <si>
    <t>NLSE19-112</t>
  </si>
  <si>
    <t>NLSE19-113</t>
  </si>
  <si>
    <t>NLSE19-114</t>
  </si>
  <si>
    <t>NLSE19-115</t>
  </si>
  <si>
    <t>NLSE19-116</t>
  </si>
  <si>
    <t>NLSE19-117</t>
  </si>
  <si>
    <t>NLSE19-118</t>
  </si>
  <si>
    <t>NLSE19-119</t>
  </si>
  <si>
    <t>fact 1844,1845</t>
  </si>
  <si>
    <t>hoja + 10  ju 31 ene</t>
  </si>
  <si>
    <t>hoja + 10.5 vi 01 feb</t>
  </si>
  <si>
    <t>hoja + 9.5  vi 01 feb</t>
  </si>
  <si>
    <t>hoja + 10 vi 01 feb</t>
  </si>
  <si>
    <t>hoja + 10.5  ma 05 feb</t>
  </si>
  <si>
    <t>fact 1575828</t>
  </si>
  <si>
    <t>Porc Soto  vi 01/02/19</t>
  </si>
  <si>
    <t>Lengua de res</t>
  </si>
  <si>
    <t xml:space="preserve">excel   </t>
  </si>
  <si>
    <t>fact 68237</t>
  </si>
  <si>
    <t>Adams International  ju 31/01/19</t>
  </si>
  <si>
    <t>lengua de res</t>
  </si>
  <si>
    <t>G16022</t>
  </si>
  <si>
    <t>G15837</t>
  </si>
  <si>
    <t>rem 1200</t>
  </si>
  <si>
    <t>transferencia</t>
  </si>
  <si>
    <t>fact HC0956</t>
  </si>
  <si>
    <t>P 35.85 G16401</t>
  </si>
  <si>
    <t>nlp074</t>
  </si>
  <si>
    <t>nlse19-109</t>
  </si>
  <si>
    <t>nl19-10</t>
  </si>
  <si>
    <t>nlp078</t>
  </si>
  <si>
    <t>nlse19-110</t>
  </si>
  <si>
    <t>CIERRE AL 31 DE ENERO DE 2019</t>
  </si>
  <si>
    <t>ANTICIPOS CARGAS DE PIERNA</t>
  </si>
  <si>
    <t>ADEUDO PROVEEDORES NACIONALES VARIOS</t>
  </si>
  <si>
    <t>ADEUDO NU3</t>
  </si>
  <si>
    <t>TOTAL NETO ADEUDO CERDO</t>
  </si>
  <si>
    <t>TOTAL NETO ADEUDO PRODUCTOS VARIOS</t>
  </si>
  <si>
    <t>INVENTARIO ALMACEN GENERAL CAJAS AL CIERRE 31/01/19</t>
  </si>
  <si>
    <t>INVENTARIO OBRADOR</t>
  </si>
  <si>
    <t>INVENTARIO CENTRAL</t>
  </si>
  <si>
    <t>DEUDORES AL 31/01/19</t>
  </si>
  <si>
    <t>Juan Pablo Torres  vi 01/02/19</t>
  </si>
  <si>
    <t>Tyson  mi 13/02/19  Z0972</t>
  </si>
  <si>
    <t>Seaboard  ju 14/02/19 nlse19-112</t>
  </si>
  <si>
    <t>Seaboard  sa 16/02/19  nlse19-113</t>
  </si>
  <si>
    <t>Smithfield  vi 08/02/19  nl19-10</t>
  </si>
  <si>
    <t>Ideal Trading  vi 08/02/19 nlp078</t>
  </si>
  <si>
    <t>Tyson  mi 20/02/19  Z1002</t>
  </si>
  <si>
    <t>Ideal Trading  ma 12/02/19 nlp075</t>
  </si>
  <si>
    <t>Seaboard  mi 20/02/19  nlse19-120</t>
  </si>
  <si>
    <t>Seaboard  ju 21/02/19  nlse19-114</t>
  </si>
  <si>
    <t>Seaboard  sa 23/02/19  nlse19-115</t>
  </si>
  <si>
    <t>Seaboard  mi 27/02/19  nlse19-121</t>
  </si>
  <si>
    <t>Seaboard  ju 28/02/19  nlse19-116</t>
  </si>
  <si>
    <t>Seaboard  sa 02/03/19  nlse19-117</t>
  </si>
  <si>
    <t>Smithfield  ma 12/02/19  nl19-11</t>
  </si>
  <si>
    <t>Smithfield  mi 13/02/19  nl19-19</t>
  </si>
  <si>
    <t>Ideal Trading  vi 15/02/19 nlp079</t>
  </si>
  <si>
    <t>Smithfield  vi 15/02/19  nl19-12</t>
  </si>
  <si>
    <t>Smithfield  ma 19/02/19  nl19-13</t>
  </si>
  <si>
    <t>Ideal Trading  ma 19/02/19  nlp076</t>
  </si>
  <si>
    <t>Smithfield  vi 22/02/19 nl19-14</t>
  </si>
  <si>
    <t>Ideal Trading  vi 22/02/19  nlp080</t>
  </si>
  <si>
    <t>P 36.1  G16553</t>
  </si>
  <si>
    <t>Productos Xeiba  ju 31/01/19</t>
  </si>
  <si>
    <t>fact 455</t>
  </si>
  <si>
    <t>marzo 2019</t>
  </si>
  <si>
    <t>Tyson  mi 06/03/19  Z1003</t>
  </si>
  <si>
    <t>Tyson  mi 06/03/19  Z1004</t>
  </si>
  <si>
    <t>Seaboard  ju 07/03/19  nlse19-118</t>
  </si>
  <si>
    <t>Seaboard  sa 09/03/19  nlse19-119</t>
  </si>
  <si>
    <t>Smithfield  ma 26/02/19  nl19-15</t>
  </si>
  <si>
    <t>Ideal Trading ma 26/02/19 nlp077</t>
  </si>
  <si>
    <t>Ideal Trading  vi 01/03/19 nlp081</t>
  </si>
  <si>
    <t>Ideal Trading ma05/03/19  nlp</t>
  </si>
  <si>
    <t>Z0972</t>
  </si>
  <si>
    <t>Z1002</t>
  </si>
  <si>
    <t>Z1003</t>
  </si>
  <si>
    <t>Z1004</t>
  </si>
  <si>
    <t>intercam $20,000.00</t>
  </si>
  <si>
    <t>hoja + 9.5  ju 07 feb</t>
  </si>
  <si>
    <t>hoja + 10  ju 07 feb</t>
  </si>
  <si>
    <t>hoja + 10.5 vi 08 feb</t>
  </si>
  <si>
    <t>hoja + 9.5  vi 08 feb</t>
  </si>
  <si>
    <t>hoja + 10 lu 11 feb</t>
  </si>
  <si>
    <t>hoja + 10.5  ma 12 feb</t>
  </si>
  <si>
    <t>nl19-11</t>
  </si>
  <si>
    <t>nlp075</t>
  </si>
  <si>
    <t>nl19-19</t>
  </si>
  <si>
    <t>nlse19-112</t>
  </si>
  <si>
    <t>nl19-12</t>
  </si>
  <si>
    <t>nlp079</t>
  </si>
  <si>
    <t>nlse19-113</t>
  </si>
  <si>
    <t>hoja + 9.5  ju 14 feb</t>
  </si>
  <si>
    <t>hoja + 10  ju 14 feb</t>
  </si>
  <si>
    <t>nl19-13</t>
  </si>
  <si>
    <t>nlp076</t>
  </si>
  <si>
    <t>nlse19-120</t>
  </si>
  <si>
    <t>nlse19-114</t>
  </si>
  <si>
    <t>hoja + 10.5 vi 15 feb</t>
  </si>
  <si>
    <t>nl19-14</t>
  </si>
  <si>
    <t>nlp080</t>
  </si>
  <si>
    <t>hoja + 9.5  vi 15 feb</t>
  </si>
  <si>
    <t>hoja + 10 lu 18 feb</t>
  </si>
  <si>
    <t>nlse19-115</t>
  </si>
  <si>
    <t>hoja + 10.5  ma 19 feb</t>
  </si>
  <si>
    <t>088D01821A</t>
  </si>
  <si>
    <t>fact 088D02822A</t>
  </si>
  <si>
    <t>fact 088D01821A</t>
  </si>
  <si>
    <t>fact 6872,6873</t>
  </si>
  <si>
    <t>fact 6580,6581</t>
  </si>
  <si>
    <t>Topete y Gaby</t>
  </si>
  <si>
    <t>fact 6874,6875,6582,6583</t>
  </si>
  <si>
    <t>fact 202296</t>
  </si>
  <si>
    <t>intercam $23,558.66</t>
  </si>
  <si>
    <t>intercam $23,417.77</t>
  </si>
  <si>
    <t>fact 202299</t>
  </si>
  <si>
    <t>G16297</t>
  </si>
  <si>
    <t>G16401</t>
  </si>
  <si>
    <t>G16221</t>
  </si>
  <si>
    <t>G16800</t>
  </si>
  <si>
    <t>G16553</t>
  </si>
  <si>
    <t>G16222</t>
  </si>
  <si>
    <t>P 35.90  G16926</t>
  </si>
  <si>
    <t>P 35.90  G16927</t>
  </si>
  <si>
    <t>Flensa</t>
  </si>
  <si>
    <t>G16927</t>
  </si>
  <si>
    <t>fact 900706606</t>
  </si>
  <si>
    <t>intercam $23,672.13</t>
  </si>
  <si>
    <t>fact 1577367</t>
  </si>
  <si>
    <t>fact 3316,3317</t>
  </si>
  <si>
    <t>P 35.85  G17037</t>
  </si>
  <si>
    <t>G16926</t>
  </si>
  <si>
    <t>fact 701</t>
  </si>
  <si>
    <t>fact 6878,6879,3320,3321</t>
  </si>
  <si>
    <t>fact 202300</t>
  </si>
  <si>
    <t>intercam $23,353.99</t>
  </si>
  <si>
    <t>P 35.90 G17181</t>
  </si>
  <si>
    <t>fact 1859,1860</t>
  </si>
  <si>
    <t>fact 6882, 6883</t>
  </si>
  <si>
    <t xml:space="preserve">120 cajas </t>
  </si>
  <si>
    <t>fact 67505</t>
  </si>
  <si>
    <t>Saga Inc  mi 06/02/19</t>
  </si>
  <si>
    <t>Pata de cerdo</t>
  </si>
  <si>
    <t>IBP</t>
  </si>
  <si>
    <t>16 cajas</t>
  </si>
  <si>
    <t>fact 68313</t>
  </si>
  <si>
    <t>Adams International sa 02/02/19</t>
  </si>
  <si>
    <t>patitas de cerdo</t>
  </si>
  <si>
    <t>fact 1862,1863</t>
  </si>
  <si>
    <t>fact 1578063</t>
  </si>
  <si>
    <t>NL19-13</t>
  </si>
  <si>
    <t>ESTADO DE CUENTA SMITHFIELD</t>
  </si>
  <si>
    <t>NL19-14</t>
  </si>
  <si>
    <t>NL19-15</t>
  </si>
  <si>
    <t>NL19-16</t>
  </si>
  <si>
    <t>NL19-17</t>
  </si>
  <si>
    <t>NL19-18</t>
  </si>
  <si>
    <t>intercam $25,000.00</t>
  </si>
  <si>
    <t>Smithfield  vi 01/03/19  nl19-16</t>
  </si>
  <si>
    <t>Smithfield  mi 27/02/19  nl19-20</t>
  </si>
  <si>
    <t>Smithfield  ma 05/03/19  nl19-17</t>
  </si>
  <si>
    <t>Smithfield  vi /08/03/19  nl19-18</t>
  </si>
  <si>
    <t>P 35.90  G17328</t>
  </si>
  <si>
    <t>Agrop La Gaby  do 03/02/19</t>
  </si>
  <si>
    <t>Agrop El Topete  do 03/02/19</t>
  </si>
  <si>
    <t>fact 6874,6875</t>
  </si>
  <si>
    <t>fact 6582,6583</t>
  </si>
  <si>
    <t>Agrop La Gaby  lu 04/02/19</t>
  </si>
  <si>
    <t>Agrop El Topete  lu 04/02/19</t>
  </si>
  <si>
    <t>P 36.10  G17471</t>
  </si>
  <si>
    <t>hoja + 9.5  ju 21 feb</t>
  </si>
  <si>
    <t>hoja + 10  ju 21 feb</t>
  </si>
  <si>
    <t>nl19-15</t>
  </si>
  <si>
    <t>nlp077</t>
  </si>
  <si>
    <t>nlse19-121</t>
  </si>
  <si>
    <t>nl19-20</t>
  </si>
  <si>
    <t>hoja + 10.5  ju 21 feb</t>
  </si>
  <si>
    <t>hoja + 10.5 vi 22 feb</t>
  </si>
  <si>
    <t>nlse19-116</t>
  </si>
  <si>
    <t>nl19-16</t>
  </si>
  <si>
    <t>nlp081</t>
  </si>
  <si>
    <t>nlse19-117</t>
  </si>
  <si>
    <t>hoja + 10 lu 25 feb</t>
  </si>
  <si>
    <t>hoja + 9.5  vi 22 feb</t>
  </si>
  <si>
    <t>hoja + 10.5  ma 26 feb</t>
  </si>
  <si>
    <t>Porc San Bernardo  ma/02/19</t>
  </si>
  <si>
    <t>fact 6878,679</t>
  </si>
  <si>
    <t>fact 3320,3321</t>
  </si>
  <si>
    <t>Agrop El Topete  mi 06/02/19</t>
  </si>
  <si>
    <t>Porc San Bernardo  mi 06/02/19</t>
  </si>
  <si>
    <t>Porc Soto  ju 07/02/19</t>
  </si>
  <si>
    <t>fact 6882,6883</t>
  </si>
  <si>
    <t>Agrop El Topete  ju 07/20/19</t>
  </si>
  <si>
    <t>Porc Soto  vi 08/02/19</t>
  </si>
  <si>
    <t>fact 1862, 1863</t>
  </si>
  <si>
    <t>Juan Pablo Torres vi 08/02/19</t>
  </si>
  <si>
    <t>fact 202303</t>
  </si>
  <si>
    <t>intercam $20,956.63</t>
  </si>
  <si>
    <t>fact 2116,2117</t>
  </si>
  <si>
    <t>fact 6595, 6596</t>
  </si>
  <si>
    <t>G17181</t>
  </si>
  <si>
    <t>G17328</t>
  </si>
  <si>
    <t>G17037</t>
  </si>
  <si>
    <t>G17162</t>
  </si>
  <si>
    <t>P 35.90 G17718</t>
  </si>
  <si>
    <t>Productos Xeiba lu 04/02/19</t>
  </si>
  <si>
    <t>Productos Xeiba sa 09/02/20</t>
  </si>
  <si>
    <t xml:space="preserve">fact 457 </t>
  </si>
  <si>
    <t>fact 458</t>
  </si>
  <si>
    <t>069D07833A</t>
  </si>
  <si>
    <t>NLSE19-120</t>
  </si>
  <si>
    <t>fact 9000716534</t>
  </si>
  <si>
    <t>intercam $21,612.85</t>
  </si>
  <si>
    <t>fact 9000718426</t>
  </si>
  <si>
    <t>intercam $20,962.41</t>
  </si>
  <si>
    <t>P 35.90   G17848</t>
  </si>
  <si>
    <t>fact 069D07833A</t>
  </si>
  <si>
    <t>G17471</t>
  </si>
  <si>
    <t>G17848</t>
  </si>
  <si>
    <t>rem 1230</t>
  </si>
  <si>
    <t>rem 1243</t>
  </si>
  <si>
    <t>fact 9000721472</t>
  </si>
  <si>
    <t>intercam $22,046.28</t>
  </si>
  <si>
    <t>fact 1580060</t>
  </si>
  <si>
    <t>P35.85  G18009</t>
  </si>
  <si>
    <t>Agrop La Gaby  do 10/02/19</t>
  </si>
  <si>
    <t>Agrop El Dorado  do 10/02/19</t>
  </si>
  <si>
    <t>fact 6595,6596</t>
  </si>
  <si>
    <t>30 cajas</t>
  </si>
  <si>
    <t>fact 68424</t>
  </si>
  <si>
    <t>Topete y Sn Bernardo</t>
  </si>
  <si>
    <t>P 35.90 G18140</t>
  </si>
  <si>
    <t>Juan Pablo  vi 15/02/19</t>
  </si>
  <si>
    <t>G17718</t>
  </si>
  <si>
    <t>Marimex  ju 14/02/19</t>
  </si>
  <si>
    <t>fact PUI7942</t>
  </si>
  <si>
    <t>filete Tilapia 53</t>
  </si>
  <si>
    <t>221 cajas</t>
  </si>
  <si>
    <t>Filete Tilapia</t>
  </si>
  <si>
    <t>3/5 Marimex</t>
  </si>
  <si>
    <t>fact 202306</t>
  </si>
  <si>
    <t>intercam $23,500.00</t>
  </si>
  <si>
    <t>NL19-20</t>
  </si>
  <si>
    <t>P 35.9  G18325</t>
  </si>
  <si>
    <t>fact 1580843</t>
  </si>
  <si>
    <t>fact 702</t>
  </si>
  <si>
    <t>fact 6889,6890</t>
  </si>
  <si>
    <t>fact 2118, 2119</t>
  </si>
  <si>
    <t>fact 1869,1870</t>
  </si>
  <si>
    <t>fact 2121,2122</t>
  </si>
  <si>
    <t>fact 6893,6894</t>
  </si>
  <si>
    <t>Agrop El Dorado  lu 11/02/19</t>
  </si>
  <si>
    <t>Agrop El Topete  ma 12/02/19</t>
  </si>
  <si>
    <t>fact 6889, 6890</t>
  </si>
  <si>
    <t>fact 1869, 1870</t>
  </si>
  <si>
    <t>Porc Soto  ma 12/02/19</t>
  </si>
  <si>
    <t>Agrop El Dorado  mi 13/02/19</t>
  </si>
  <si>
    <t>Agrop El Topete  ju 14/02/19</t>
  </si>
  <si>
    <t>fact 2123,2124</t>
  </si>
  <si>
    <t>Agrop El Dorado  ju  14/02/19</t>
  </si>
  <si>
    <t>fact 2123, 2124</t>
  </si>
  <si>
    <t>intercam $21,932.35-994.18=20,938.17</t>
  </si>
  <si>
    <t>fact 3329,3330,2127,2128</t>
  </si>
  <si>
    <t>San Bernardo y Dorado</t>
  </si>
  <si>
    <t>Juan Pablo  vi 22/02/19</t>
  </si>
  <si>
    <t>Porc San Bernardo  vi 16/02/19</t>
  </si>
  <si>
    <t>fact 3329,3330</t>
  </si>
  <si>
    <t>fact 2127,2128</t>
  </si>
  <si>
    <t>Agrop El Dorado  vi 16/02/19</t>
  </si>
  <si>
    <t>bonificacion de Merma por error en bascula</t>
  </si>
  <si>
    <t>P 35.80  G18451</t>
  </si>
  <si>
    <t>fact 68404</t>
  </si>
  <si>
    <t>Adams International  ju 07/02/19</t>
  </si>
  <si>
    <t>fact 68465</t>
  </si>
  <si>
    <t>Adams International  sa 09/02/19</t>
  </si>
  <si>
    <t>Patitas cerdo</t>
  </si>
  <si>
    <t>Manitas cerdo</t>
  </si>
  <si>
    <t>keken</t>
  </si>
  <si>
    <t>14 cajas</t>
  </si>
  <si>
    <t xml:space="preserve">93 cajas </t>
  </si>
  <si>
    <t>Abastacedora Roel  ju 09/02/19</t>
  </si>
  <si>
    <t>manitas y patitas de cerdo</t>
  </si>
  <si>
    <t>20.5  /  17</t>
  </si>
  <si>
    <t>fact 1106013</t>
  </si>
  <si>
    <t>Ryc Alimentos</t>
  </si>
  <si>
    <t>680 cajas</t>
  </si>
  <si>
    <t>Ryc Alimentos  lu 18/02/19</t>
  </si>
  <si>
    <t>G18192</t>
  </si>
  <si>
    <t>G18140</t>
  </si>
  <si>
    <t>G18009</t>
  </si>
  <si>
    <t>G18234</t>
  </si>
  <si>
    <t>fact 9000730561</t>
  </si>
  <si>
    <t>fact 1881, 1882</t>
  </si>
  <si>
    <t>fact 3334,3335</t>
  </si>
  <si>
    <t>P 35.95  G18697</t>
  </si>
  <si>
    <t>fact 1582151</t>
  </si>
  <si>
    <t>NLSE19-121</t>
  </si>
  <si>
    <t>fact 202308</t>
  </si>
  <si>
    <t>intercam $21,728.41</t>
  </si>
  <si>
    <t>Chemita y Gaby</t>
  </si>
  <si>
    <t>fact 4615,4616,6610,6611</t>
  </si>
  <si>
    <t>G18325</t>
  </si>
  <si>
    <t>P 36  G18826</t>
  </si>
  <si>
    <t>fact HC1069</t>
  </si>
  <si>
    <t>fact 2134</t>
  </si>
  <si>
    <t>fact 1582698</t>
  </si>
  <si>
    <t>fact 088D18822A</t>
  </si>
  <si>
    <t>fact 9000737600</t>
  </si>
  <si>
    <t>088D18822A</t>
  </si>
  <si>
    <t>internet $21,000.00</t>
  </si>
  <si>
    <t>G18826</t>
  </si>
  <si>
    <t>chiclan</t>
  </si>
  <si>
    <t>Productos La Xeiba ma 12/02/19</t>
  </si>
  <si>
    <t>fact 463</t>
  </si>
  <si>
    <t>fact 733</t>
  </si>
  <si>
    <t>fact 1583449</t>
  </si>
  <si>
    <t>fact 202310</t>
  </si>
  <si>
    <t>intercam $21,205.10</t>
  </si>
  <si>
    <t>nc merma ok</t>
  </si>
  <si>
    <t>fact 6896,6897,6617,6618</t>
  </si>
  <si>
    <t>fact 4618,4619</t>
  </si>
  <si>
    <t>fact 3343,3344</t>
  </si>
  <si>
    <t>fact 3347,3348</t>
  </si>
  <si>
    <t>G18697</t>
  </si>
  <si>
    <t>G18451</t>
  </si>
  <si>
    <t>G19123</t>
  </si>
  <si>
    <t>P 35.90 G19264</t>
  </si>
  <si>
    <t>P 35.95 G19269</t>
  </si>
  <si>
    <t>fact 742</t>
  </si>
  <si>
    <t>P 35.80  G19411</t>
  </si>
  <si>
    <t>19 combos</t>
  </si>
  <si>
    <t>fact 202312</t>
  </si>
  <si>
    <t>intercam $21,839.39</t>
  </si>
  <si>
    <t>NL19-21</t>
  </si>
  <si>
    <t>NL19-22</t>
  </si>
  <si>
    <t>NL19-23</t>
  </si>
  <si>
    <t>NL19-24</t>
  </si>
  <si>
    <t>NL19-25</t>
  </si>
  <si>
    <t>NL19-26</t>
  </si>
  <si>
    <t>NL19-27</t>
  </si>
  <si>
    <t>NL19-28</t>
  </si>
  <si>
    <t>Intercam $20,000.00</t>
  </si>
  <si>
    <t>G19269</t>
  </si>
  <si>
    <t>entrada 7312</t>
  </si>
  <si>
    <t>Porc Soto  do 17/02/19</t>
  </si>
  <si>
    <t>fact 1881,1882</t>
  </si>
  <si>
    <t>Porc San Bernardo  do 17/02/19</t>
  </si>
  <si>
    <t>Agrop La Chemita  lu 18/02/19</t>
  </si>
  <si>
    <t>fact 4615,4616</t>
  </si>
  <si>
    <t>fact 6610, 6611</t>
  </si>
  <si>
    <t>Agrop La Gaby  lu 18/02/19</t>
  </si>
  <si>
    <t>Agrop El Dorado  ma 19/02/19</t>
  </si>
  <si>
    <t>fact 2134,2135</t>
  </si>
  <si>
    <t>fact 6896,6897</t>
  </si>
  <si>
    <t>Agrop El Topete  mi 20/02/19</t>
  </si>
  <si>
    <t>Agrop La Gaby  mi 20/02/19</t>
  </si>
  <si>
    <t>fact 6617,6618</t>
  </si>
  <si>
    <t>Agrop La Chemita  ju 21/02/19</t>
  </si>
  <si>
    <t>Porc San Bernardo ju 21/02/19</t>
  </si>
  <si>
    <t>Porc San Bernardo  vi 22/02/19</t>
  </si>
  <si>
    <t xml:space="preserve">excel  </t>
  </si>
  <si>
    <t>107 cajas</t>
  </si>
  <si>
    <t>Roel   ju 21/02/19</t>
  </si>
  <si>
    <t>fact 67674</t>
  </si>
  <si>
    <t>Papa ondulada</t>
  </si>
  <si>
    <t>ecofrost</t>
  </si>
  <si>
    <t>Cuero Belli fco</t>
  </si>
  <si>
    <t>Indiana</t>
  </si>
  <si>
    <t>fact 68728</t>
  </si>
  <si>
    <t>Adams International lu 18/02/19</t>
  </si>
  <si>
    <t>fact 68674</t>
  </si>
  <si>
    <t>Adams International mi 20/02/19</t>
  </si>
  <si>
    <t>4 combos</t>
  </si>
  <si>
    <t>Adams Internacional lu 25/02/19</t>
  </si>
  <si>
    <t>fact 68854</t>
  </si>
  <si>
    <t>Chemita y Soto</t>
  </si>
  <si>
    <t>fact 4621,4622,1891,1892</t>
  </si>
  <si>
    <t>G19411</t>
  </si>
  <si>
    <t>fact HC1121</t>
  </si>
  <si>
    <t>fact 9000748243</t>
  </si>
  <si>
    <t>fact 9000746845</t>
  </si>
  <si>
    <t>fact 1584378</t>
  </si>
  <si>
    <t>P 35.90  G19670</t>
  </si>
  <si>
    <t>Productos Xeiba sa 23/02/19</t>
  </si>
  <si>
    <t>fact 464</t>
  </si>
  <si>
    <t>fact 2153,2154</t>
  </si>
  <si>
    <t>fact 4621, 4622</t>
  </si>
  <si>
    <t>Agrop La Chemita do 24/02/19</t>
  </si>
  <si>
    <t>Porc Soto do 24/02/19</t>
  </si>
  <si>
    <t>fact 1892, 1892</t>
  </si>
  <si>
    <t>Agrop El Dorado lu 25/02/19</t>
  </si>
  <si>
    <t>P 35.80   G19784</t>
  </si>
  <si>
    <t>fact 1585629</t>
  </si>
  <si>
    <t>fact 9000754882</t>
  </si>
  <si>
    <t>fact 3357, 3358</t>
  </si>
  <si>
    <t>Agrop El Dorado ma 26/02/19</t>
  </si>
  <si>
    <t>Porc San Bernardo mi 27/02/19</t>
  </si>
  <si>
    <t>P 35.90  G19898</t>
  </si>
  <si>
    <t>fact 202315</t>
  </si>
  <si>
    <t>intercam $21,926.29</t>
  </si>
  <si>
    <t>fact 4628, 4629</t>
  </si>
  <si>
    <t>Agrop La Chemita ju 28/02/19</t>
  </si>
  <si>
    <t>fact 2158, 2159</t>
  </si>
  <si>
    <t>Agrop El Dorado ju 28/02/19</t>
  </si>
  <si>
    <t>Transferencia BBVA</t>
  </si>
  <si>
    <t>Se le deposito 10000 de mas a estas facturas</t>
  </si>
  <si>
    <t>Se le desconto 10000 depositado de mas en el pago anterior</t>
  </si>
  <si>
    <t>G19898</t>
  </si>
  <si>
    <t>G19784</t>
  </si>
  <si>
    <t>G19264</t>
  </si>
  <si>
    <t>fact 4628, 4629,6641,6642</t>
  </si>
  <si>
    <t xml:space="preserve">Agrop El Topete </t>
  </si>
  <si>
    <t>fact 6913,6914</t>
  </si>
  <si>
    <t>hoja + 9.5  ju 28 feb</t>
  </si>
  <si>
    <t>hoja + 10  ju 28 feb</t>
  </si>
  <si>
    <t>nl19-17</t>
  </si>
  <si>
    <t>nlp082</t>
  </si>
  <si>
    <t>hoja + 10.5 vi 01 mzo</t>
  </si>
  <si>
    <t>nlse19-118</t>
  </si>
  <si>
    <t>nl19-18</t>
  </si>
  <si>
    <t>nlse19-119</t>
  </si>
  <si>
    <t>hoja + 10.5  ma 05 mzo</t>
  </si>
  <si>
    <t>excell</t>
  </si>
  <si>
    <t>P 35.85 G20236</t>
  </si>
  <si>
    <t>P 36.10  G20240</t>
  </si>
  <si>
    <t>NLSE19-122</t>
  </si>
  <si>
    <t>NLSE19-123</t>
  </si>
  <si>
    <t>NLSE19-124</t>
  </si>
  <si>
    <t>NLSE19-125</t>
  </si>
  <si>
    <t>NLSE19-126</t>
  </si>
  <si>
    <t>NLSE19-127</t>
  </si>
  <si>
    <t>NLSE19-128</t>
  </si>
  <si>
    <t>NLSE19-129</t>
  </si>
  <si>
    <t>intercam $27,000.00</t>
  </si>
  <si>
    <t>fact 1586157</t>
  </si>
  <si>
    <t>Juan Pablo  vi 01/03/19</t>
  </si>
  <si>
    <t>fact 2152,5149</t>
  </si>
  <si>
    <t>fact 2152,2149</t>
  </si>
  <si>
    <t>Agrop La Gaby  ju 28/02/19</t>
  </si>
  <si>
    <t>fact 641,6642</t>
  </si>
  <si>
    <t>Deuda hasta el 28 de febrero de 2019</t>
  </si>
  <si>
    <t>Agrop El Topete  vi 01/03/19</t>
  </si>
  <si>
    <t>fact 6913/6914</t>
  </si>
  <si>
    <t>fact 6641,6642</t>
  </si>
  <si>
    <t>P 35.95 G20380</t>
  </si>
  <si>
    <t>G19670</t>
  </si>
  <si>
    <t>G20380</t>
  </si>
  <si>
    <t>rem 31</t>
  </si>
  <si>
    <t>rem 28</t>
  </si>
  <si>
    <t>rem 22</t>
  </si>
  <si>
    <t>rem 25</t>
  </si>
  <si>
    <t>Smithfield ma 12/03/19 nl19-21</t>
  </si>
  <si>
    <t>NL19-29</t>
  </si>
  <si>
    <t>NL19-30</t>
  </si>
  <si>
    <t>Smithfield  vi 15/03/19  nl19-22</t>
  </si>
  <si>
    <t>Tyson  mi 13/03/19  57059</t>
  </si>
  <si>
    <t>Tyson   vi 15/3/19  57060</t>
  </si>
  <si>
    <t>intercam $25,500.00</t>
  </si>
  <si>
    <t>Seaboard  ju 14/03/19  nlse19-122</t>
  </si>
  <si>
    <t>Seaboard  sa 16/03/19  nlse19-123</t>
  </si>
  <si>
    <t>Tyson  mi  20/03/19   57061</t>
  </si>
  <si>
    <t>Tyson  vi 22/03/19   57062</t>
  </si>
  <si>
    <t>Seaboard  ju 21/03/19  nlse19-124</t>
  </si>
  <si>
    <t>Seaboard  sa 23/03/19  nlse19-125</t>
  </si>
  <si>
    <t>Ideal Trading  ma 05/03/19  nlp082</t>
  </si>
  <si>
    <t>fact 202318</t>
  </si>
  <si>
    <t>intercam $23,115.98</t>
  </si>
  <si>
    <t>Adams International  ju 28/02/19</t>
  </si>
  <si>
    <t>fact 3366, 3367</t>
  </si>
  <si>
    <t>festivo</t>
  </si>
  <si>
    <t>Porc San Bernardo  do 03/03/19</t>
  </si>
  <si>
    <t>G20240</t>
  </si>
  <si>
    <t>G20236</t>
  </si>
  <si>
    <t>Esp Carnero</t>
  </si>
  <si>
    <t>Guillermo Muñoz</t>
  </si>
  <si>
    <t>338 cajas</t>
  </si>
  <si>
    <t>fact 559</t>
  </si>
  <si>
    <t>Guillermo Muñoz  ju 28/02/19</t>
  </si>
  <si>
    <t>fact 599</t>
  </si>
  <si>
    <t>fact 68960</t>
  </si>
  <si>
    <t>fact 4645, 4646</t>
  </si>
  <si>
    <t>Agrop La Chemita  lu 04/03/19</t>
  </si>
  <si>
    <t>hoja + 9.5  lu 04 mzo</t>
  </si>
  <si>
    <t>P 35.80 G20739</t>
  </si>
  <si>
    <t>P 36  G20740</t>
  </si>
  <si>
    <t>fact 069D028824A</t>
  </si>
  <si>
    <t>fact 069D028826A</t>
  </si>
  <si>
    <t>069D28826A</t>
  </si>
  <si>
    <t>069D08824A</t>
  </si>
  <si>
    <t>fact 759</t>
  </si>
  <si>
    <t>fact 9000764039</t>
  </si>
  <si>
    <t>fact 1587910</t>
  </si>
  <si>
    <t>Productos la Xeiba vi 01/03/19</t>
  </si>
  <si>
    <t>fact 472</t>
  </si>
  <si>
    <t>Marimex  sa 01/03/19</t>
  </si>
  <si>
    <t>fact PUI8166</t>
  </si>
  <si>
    <t>tilapia / basa/ camaron</t>
  </si>
  <si>
    <t>53/ 49/ 139</t>
  </si>
  <si>
    <t>5 cajas</t>
  </si>
  <si>
    <t>Tilapia</t>
  </si>
  <si>
    <t>Basa</t>
  </si>
  <si>
    <t>Camaron c/cabeza</t>
  </si>
  <si>
    <t>3/5 marimex</t>
  </si>
  <si>
    <t>5/7 baja bay</t>
  </si>
  <si>
    <t>30/40 mkt</t>
  </si>
  <si>
    <t xml:space="preserve">  "    "</t>
  </si>
  <si>
    <t>319 cajas</t>
  </si>
  <si>
    <t>Roel   vi  01/03/19</t>
  </si>
  <si>
    <t>fact 68992</t>
  </si>
  <si>
    <t>fact 69026</t>
  </si>
  <si>
    <t>Adams  International vi 01/03/19</t>
  </si>
  <si>
    <t>Adams  International lu 04/03/19</t>
  </si>
  <si>
    <t>fact 1910, 1911</t>
  </si>
  <si>
    <t>Porc Soto  ma 05/03/19</t>
  </si>
  <si>
    <t>fact 1910,1911</t>
  </si>
  <si>
    <t>P 36.10  G20832</t>
  </si>
  <si>
    <t>G20739</t>
  </si>
  <si>
    <t>G20771</t>
  </si>
  <si>
    <t>rem 52</t>
  </si>
  <si>
    <t>rem 50</t>
  </si>
  <si>
    <t>hoja + 9.5  ju 07 mzo</t>
  </si>
  <si>
    <t>hoja + 10  ju 07 mzo</t>
  </si>
  <si>
    <t>hoja + 10.5 vi 08 mzo</t>
  </si>
  <si>
    <t>hoja + 10 vi 08 mzo</t>
  </si>
  <si>
    <t>nl19-21</t>
  </si>
  <si>
    <t>nlp083</t>
  </si>
  <si>
    <t>nlse19-122</t>
  </si>
  <si>
    <t>nlp086</t>
  </si>
  <si>
    <t>nl19-22</t>
  </si>
  <si>
    <t>hoja + 9.5  vi 08 mzo</t>
  </si>
  <si>
    <t>hoja + 10 lu 11 mzo</t>
  </si>
  <si>
    <t>nlse19-123</t>
  </si>
  <si>
    <t>nl19-23</t>
  </si>
  <si>
    <t>hoja + 10.5  ma 12 mzo</t>
  </si>
  <si>
    <t>hoja + 9.5  lu 11 mzo</t>
  </si>
  <si>
    <t>fact 9000770375</t>
  </si>
  <si>
    <t>fact 2174,2175</t>
  </si>
  <si>
    <t>P 36 G20960</t>
  </si>
  <si>
    <t>fact HC1191</t>
  </si>
  <si>
    <t>Productos La Xeiba  mi 06/03/19</t>
  </si>
  <si>
    <t>fact 474</t>
  </si>
  <si>
    <t>Juan Pablo   vi 08/03/19</t>
  </si>
  <si>
    <t xml:space="preserve">Gan Rancho Sn Felipe </t>
  </si>
  <si>
    <t>fact 844,845</t>
  </si>
  <si>
    <t>fact 3373,3374</t>
  </si>
  <si>
    <t>prom 30.66</t>
  </si>
  <si>
    <t>G20740</t>
  </si>
  <si>
    <t>G20832</t>
  </si>
  <si>
    <t>Smithfield  sa 16/03/19  nl19-23</t>
  </si>
  <si>
    <t>prom 33.5</t>
  </si>
  <si>
    <t>prom 35.80</t>
  </si>
  <si>
    <t>P 35.85  G21112</t>
  </si>
  <si>
    <t>P 36.10  G21227</t>
  </si>
  <si>
    <t>hoja + 10  ju 14 mzo</t>
  </si>
  <si>
    <t>nlp084</t>
  </si>
  <si>
    <t>nlp087</t>
  </si>
  <si>
    <t>hoja + 10.5 vi 15 mzo</t>
  </si>
  <si>
    <t>hoja + 9.5  vi 15 mzo</t>
  </si>
  <si>
    <t>hoja + 10 lu 18 mzo</t>
  </si>
  <si>
    <t>hoja + 10.5  ma 19 mzo</t>
  </si>
  <si>
    <t>nlse19-124</t>
  </si>
  <si>
    <t>nl19-24</t>
  </si>
  <si>
    <t>nlse19-125</t>
  </si>
  <si>
    <t>Abril 2019</t>
  </si>
  <si>
    <t>Marzo 2019</t>
  </si>
  <si>
    <t>hoja + 10 mi 20 mzo</t>
  </si>
  <si>
    <t>hoja + 9.5  ju 21 mzo</t>
  </si>
  <si>
    <t>hoja + 10  ju 21 mzo</t>
  </si>
  <si>
    <t>hoja + 10.5 vi 22 mzo</t>
  </si>
  <si>
    <t>hoja + 9.5  vi 22 mzo</t>
  </si>
  <si>
    <t>hoja + 10.5  ma 26 mzo</t>
  </si>
  <si>
    <t>nl19-25</t>
  </si>
  <si>
    <t>nlp085</t>
  </si>
  <si>
    <t>nlse19-126</t>
  </si>
  <si>
    <t>nl19-26</t>
  </si>
  <si>
    <t>fact 4653, 4654</t>
  </si>
  <si>
    <t>intercam $29,000.00</t>
  </si>
  <si>
    <t>ideal Trading  ma 12/03/19  nlp083</t>
  </si>
  <si>
    <t>fact 202325</t>
  </si>
  <si>
    <t>intercam $24,872.78</t>
  </si>
  <si>
    <t>fact 9000778986</t>
  </si>
  <si>
    <t>fact 1589024</t>
  </si>
  <si>
    <t>NC por $337.59 orden NLP081 aplicada a esta factura</t>
  </si>
  <si>
    <t>Marimex  sa 09/03/19</t>
  </si>
  <si>
    <t>fact PUI8277</t>
  </si>
  <si>
    <t>basa 5/7  $49.0</t>
  </si>
  <si>
    <t>San Bernardo y Soto</t>
  </si>
  <si>
    <t>fact 3383,3384,1917,1918</t>
  </si>
  <si>
    <t>069E07823A</t>
  </si>
  <si>
    <t>fact 069E0783A</t>
  </si>
  <si>
    <t>Agrop El dorado  mi 06/03/19</t>
  </si>
  <si>
    <t>Gan Rancho San Felipe  ju 07/03/19</t>
  </si>
  <si>
    <t>fact 844, 845</t>
  </si>
  <si>
    <t>Porc San Bernardo  ju 07/03/19</t>
  </si>
  <si>
    <t>G21112</t>
  </si>
  <si>
    <t>G20960</t>
  </si>
  <si>
    <t>G21212</t>
  </si>
  <si>
    <t>Agrop la Chemita  vi 08/03/19</t>
  </si>
  <si>
    <t>fact 4653 y 4654</t>
  </si>
  <si>
    <t>P 35.45  G21450</t>
  </si>
  <si>
    <t>Productos La Xeiba sa 09/03/19</t>
  </si>
  <si>
    <t>fact 475</t>
  </si>
  <si>
    <t>intercam $30,000.00</t>
  </si>
  <si>
    <t>fact 773</t>
  </si>
  <si>
    <t>fact 3385, 3386</t>
  </si>
  <si>
    <t>Porc San Bernardo  do 10/03/19</t>
  </si>
  <si>
    <t>fact 3383,3384</t>
  </si>
  <si>
    <t>fact 1917,1918</t>
  </si>
  <si>
    <t>Porc Soto  do 10/03/19</t>
  </si>
  <si>
    <t>Porc San Bernardo  lu 11/03/19</t>
  </si>
  <si>
    <t>P 35.40  G21571</t>
  </si>
  <si>
    <t>G21450</t>
  </si>
  <si>
    <t>rem 56</t>
  </si>
  <si>
    <t>rem 67</t>
  </si>
  <si>
    <t>rem 66</t>
  </si>
  <si>
    <t>rem 71</t>
  </si>
  <si>
    <t>fact 7136,7137</t>
  </si>
  <si>
    <t>fact 9000786960</t>
  </si>
  <si>
    <t>intercam $27,025.33-844.70</t>
  </si>
  <si>
    <t>18 combos</t>
  </si>
  <si>
    <t>fact 1590837</t>
  </si>
  <si>
    <t>G21571</t>
  </si>
  <si>
    <t>G21227</t>
  </si>
  <si>
    <t>fact 476</t>
  </si>
  <si>
    <t>fact 477</t>
  </si>
  <si>
    <t>Productos Xeiba  ju 07/03/19</t>
  </si>
  <si>
    <t>Productos Xeiba ma 12/03/19</t>
  </si>
  <si>
    <t>fact 7139,7140</t>
  </si>
  <si>
    <t>intercam $28,000.00+ $3,000</t>
  </si>
  <si>
    <t>069E11825A</t>
  </si>
  <si>
    <t>cotejado Tyson OK 14/03/19</t>
  </si>
  <si>
    <t>Juan Pablo  vi 15/03/19</t>
  </si>
  <si>
    <t>P 35.40  G21817</t>
  </si>
  <si>
    <t>P 35.40  G21818</t>
  </si>
  <si>
    <t>G21817</t>
  </si>
  <si>
    <t>G21645</t>
  </si>
  <si>
    <t>rem 72</t>
  </si>
  <si>
    <t>fact 852,853</t>
  </si>
  <si>
    <t>Gan Rancho San Felipe</t>
  </si>
  <si>
    <t>fact 3396,3397</t>
  </si>
  <si>
    <t>P 35.50 G21956</t>
  </si>
  <si>
    <t>Productos Xeiba ju 14/03/19</t>
  </si>
  <si>
    <t>fact 478</t>
  </si>
  <si>
    <t xml:space="preserve">inicia pago con credito valor factura  </t>
  </si>
  <si>
    <t>fact 9000784546</t>
  </si>
  <si>
    <t>fact 069E11825A</t>
  </si>
  <si>
    <t>fact 1591402</t>
  </si>
  <si>
    <t>fact 202327</t>
  </si>
  <si>
    <t>intercam $24,528.85</t>
  </si>
  <si>
    <t>intercam $35,500.00</t>
  </si>
  <si>
    <t>fact 3400, 3401</t>
  </si>
  <si>
    <t>P 35.50 G22069</t>
  </si>
  <si>
    <t>Ideal Trading  ju 14/03/19 nlp86</t>
  </si>
  <si>
    <t>Tyson  mi 27/03/19  57064</t>
  </si>
  <si>
    <t>Seaboard ju 28/03/19  nlse19-126</t>
  </si>
  <si>
    <t>intercam $35,000.00</t>
  </si>
  <si>
    <t>intercam $33,000.00</t>
  </si>
  <si>
    <t>069E14828A</t>
  </si>
  <si>
    <t>Seaboard  mi 27/03/19 nlco19-01 sesos</t>
  </si>
  <si>
    <t>NLCO19-01</t>
  </si>
  <si>
    <t>Tyson  ma 26/03/19  57063</t>
  </si>
  <si>
    <t>38-39</t>
  </si>
  <si>
    <t>Ideal Trading  ma 19/03/19  nlp084</t>
  </si>
  <si>
    <t>fact 202330</t>
  </si>
  <si>
    <t>intercam $29,488.73</t>
  </si>
  <si>
    <t>G22069</t>
  </si>
  <si>
    <t>fact 857,858</t>
  </si>
  <si>
    <t>fact 3405, 3406</t>
  </si>
  <si>
    <t>fact 859, 860</t>
  </si>
  <si>
    <t>P 35.40 G22442</t>
  </si>
  <si>
    <t>P 35.40  G22443</t>
  </si>
  <si>
    <t>fact 1593440</t>
  </si>
  <si>
    <t>Ideal Trading  ma 19/03/19  nlp087</t>
  </si>
  <si>
    <t>fact 202331</t>
  </si>
  <si>
    <t>intercam $29,363.72</t>
  </si>
  <si>
    <t>fact 776</t>
  </si>
  <si>
    <t>fact 861, 862</t>
  </si>
  <si>
    <t>fact 863, 864</t>
  </si>
  <si>
    <t>P 35.40  G22570</t>
  </si>
  <si>
    <t>nlp093</t>
  </si>
  <si>
    <t>hoja + 10 vi 22 mzo</t>
  </si>
  <si>
    <t>Sesos copa</t>
  </si>
  <si>
    <t>Corbata vacio</t>
  </si>
  <si>
    <t>Buche</t>
  </si>
  <si>
    <t>Nana</t>
  </si>
  <si>
    <t>Lengua</t>
  </si>
  <si>
    <t>nlco19-01</t>
  </si>
  <si>
    <t>abril 2019</t>
  </si>
  <si>
    <t>Agrop Las Reses  ma 12/03/19</t>
  </si>
  <si>
    <t>Agrop Las Reses  mi 13/03/19</t>
  </si>
  <si>
    <t>Gan Rancho San Felipe ju 14/03/19</t>
  </si>
  <si>
    <t>fact 852, 853</t>
  </si>
  <si>
    <t>fact 3396, 3394</t>
  </si>
  <si>
    <t>Porc San Bernardo  ju 14/03/19</t>
  </si>
  <si>
    <t>Porc San Bernardo  vi 15/03/19</t>
  </si>
  <si>
    <t>088E18822A</t>
  </si>
  <si>
    <t>fact 069E14828A</t>
  </si>
  <si>
    <t>P 35.40 G22695</t>
  </si>
  <si>
    <t>fact PUI8406</t>
  </si>
  <si>
    <t>442 cajas</t>
  </si>
  <si>
    <t>20 cajas</t>
  </si>
  <si>
    <t>15 cajas</t>
  </si>
  <si>
    <t>Atun porción</t>
  </si>
  <si>
    <t>8/10 Baja Bay</t>
  </si>
  <si>
    <t>5/7  Baja Bay</t>
  </si>
  <si>
    <t>30/40</t>
  </si>
  <si>
    <t>Marimex  mi 20/03/19</t>
  </si>
  <si>
    <t>tilapia / basa/ camaron/atun</t>
  </si>
  <si>
    <t>52/49/ 139/180</t>
  </si>
  <si>
    <t>Gan Rancho San Felipe do 17/03/19</t>
  </si>
  <si>
    <t>fact 857, 858</t>
  </si>
  <si>
    <t>Porc San Bernardo  do 17/03/19</t>
  </si>
  <si>
    <t>Gan Rancho San Felipe lu 18/03/19</t>
  </si>
  <si>
    <t>Gan Rancho San Felipe ma 19/03/19</t>
  </si>
  <si>
    <t>Gan Rancho San Felipe mi 20/03/19</t>
  </si>
  <si>
    <t>Juan Pablo  vi 22/03/19</t>
  </si>
  <si>
    <t>305 cajas</t>
  </si>
  <si>
    <t>fact HC1253</t>
  </si>
  <si>
    <t>Roel   vi 15/03/19</t>
  </si>
  <si>
    <t>contra Swift</t>
  </si>
  <si>
    <t>fact 69095</t>
  </si>
  <si>
    <t>Adams   ju 07/03/19</t>
  </si>
  <si>
    <t>fact 69208</t>
  </si>
  <si>
    <t>Adams  ma  12/03/19</t>
  </si>
  <si>
    <t>fact 69326</t>
  </si>
  <si>
    <t>Adams  sa 16/03/19</t>
  </si>
  <si>
    <t>G22448</t>
  </si>
  <si>
    <t>G21818</t>
  </si>
  <si>
    <t>G21956</t>
  </si>
  <si>
    <t>G22442</t>
  </si>
  <si>
    <t>Smithfield  sa 23/03/19  nl19-24</t>
  </si>
  <si>
    <t>fact 9000802385</t>
  </si>
  <si>
    <t>intercam $29,954.49</t>
  </si>
  <si>
    <t>fact 1594407</t>
  </si>
  <si>
    <t>fact 867,868</t>
  </si>
  <si>
    <t>fact 4665, 4666</t>
  </si>
  <si>
    <t>P 35.55  G22824</t>
  </si>
  <si>
    <t>Prom 40.85 de 3</t>
  </si>
  <si>
    <t>G22695</t>
  </si>
  <si>
    <t>rem 102</t>
  </si>
  <si>
    <t>rem 101</t>
  </si>
  <si>
    <t>rem 80</t>
  </si>
  <si>
    <t>rem 87</t>
  </si>
  <si>
    <t>G22824</t>
  </si>
  <si>
    <t>fact 871,872</t>
  </si>
  <si>
    <t>069E20825A</t>
  </si>
  <si>
    <t>Seaboard sa 30/03/19  nlse19-127</t>
  </si>
  <si>
    <t>Tyson ma 02/04/19  57065</t>
  </si>
  <si>
    <t>intercam $37,000.00</t>
  </si>
  <si>
    <t>Tyson vi  05/04/19  57066</t>
  </si>
  <si>
    <t>Smithfield  ma 26/03/19 nl19-25</t>
  </si>
  <si>
    <t>fact 9000810701</t>
  </si>
  <si>
    <t>intercam $35,048.60</t>
  </si>
  <si>
    <t>Smithfield  mi 27/03/19  nl19-26</t>
  </si>
  <si>
    <t>fact 9000811385</t>
  </si>
  <si>
    <t>intercam $33,589.24</t>
  </si>
  <si>
    <t>Seaboard sa 06/04/19  nls19-129</t>
  </si>
  <si>
    <t>Ideal Trading ma 26/03/19 nlp085</t>
  </si>
  <si>
    <t>Ideal Trading  ju 28/03/19  nlp093</t>
  </si>
  <si>
    <t>P 35  G22976</t>
  </si>
  <si>
    <t>Gan Rancho San Felipe  ju 21/03/19</t>
  </si>
  <si>
    <t>fact 4665,4666</t>
  </si>
  <si>
    <t xml:space="preserve">Agrop La Chemita  ju 21/03/19 </t>
  </si>
  <si>
    <t>Gan Rancho San Felipe vi 22/03/19</t>
  </si>
  <si>
    <t>G22443</t>
  </si>
  <si>
    <t>G22570</t>
  </si>
  <si>
    <t>fact 202337</t>
  </si>
  <si>
    <t>intercam $34,506.43</t>
  </si>
  <si>
    <t>fact 877, 878</t>
  </si>
  <si>
    <t>fact 4678, 4679</t>
  </si>
  <si>
    <t>G22976</t>
  </si>
  <si>
    <t>fact 069E20825A</t>
  </si>
  <si>
    <t>Empacadora Bonnacarne 20/3/17</t>
  </si>
  <si>
    <t>fact 71229</t>
  </si>
  <si>
    <t>embutidos varios</t>
  </si>
  <si>
    <t>Productos La Xeiba  vi 22/03/19</t>
  </si>
  <si>
    <t>fact 480</t>
  </si>
  <si>
    <t>Productos La Xeiba  sa 23/03/19</t>
  </si>
  <si>
    <t>fact 483</t>
  </si>
  <si>
    <t>Porc Paso Blanco</t>
  </si>
  <si>
    <t>fact 3580, 3581</t>
  </si>
  <si>
    <t>P 35 G23209</t>
  </si>
  <si>
    <t>fact 088E23824A</t>
  </si>
  <si>
    <t>088E23824A</t>
  </si>
  <si>
    <t>P 34.90  G23329</t>
  </si>
  <si>
    <t>fact 798</t>
  </si>
  <si>
    <t>fact 1596389</t>
  </si>
  <si>
    <t>Prom 43.13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</si>
  <si>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</si>
  <si>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</si>
  <si>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</si>
  <si>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</si>
  <si>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</si>
  <si>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</si>
  <si>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</si>
  <si>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</si>
  <si>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</si>
  <si>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</si>
  <si>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Obregon</t>
  </si>
  <si>
    <t>hoja + 9.5  ju 28 mzo</t>
  </si>
  <si>
    <t>hoja + 10  ju 28 mzo</t>
  </si>
  <si>
    <t>hoja + 10 mi 27 mzo</t>
  </si>
  <si>
    <t>hoja + 10.5 vi 29 mzo</t>
  </si>
  <si>
    <t>hoja + 9.5  vi 29 mzo</t>
  </si>
  <si>
    <t>hoja + 10  lu 01 abr</t>
  </si>
  <si>
    <t>hoja + 10.5  ma 02 abr</t>
  </si>
  <si>
    <t>nl19-27</t>
  </si>
  <si>
    <t>nlp088</t>
  </si>
  <si>
    <t>nlse19-128</t>
  </si>
  <si>
    <t>nl19-28</t>
  </si>
  <si>
    <t>nlse19-129</t>
  </si>
  <si>
    <t>hoja + 9.5  ju 04 abr</t>
  </si>
  <si>
    <t>hoja + 10  ju 04 abr</t>
  </si>
  <si>
    <t>hoja + 10.5 vi 05 abr</t>
  </si>
  <si>
    <t>hoja + 9.5  vi 05 abr</t>
  </si>
  <si>
    <t>hoja + 10 lu 08 abr</t>
  </si>
  <si>
    <t>hoja + 10.5  ma 09 abr</t>
  </si>
  <si>
    <t>nl19-29</t>
  </si>
  <si>
    <t>nlp089</t>
  </si>
  <si>
    <t>B2857</t>
  </si>
  <si>
    <t>nlse19-130</t>
  </si>
  <si>
    <t>nl19-30</t>
  </si>
  <si>
    <t>B2859</t>
  </si>
  <si>
    <t>nlse19-131</t>
  </si>
  <si>
    <t>hoja + 9.5  ju 11 abr</t>
  </si>
  <si>
    <t>hoja + 10  ju 11 abr</t>
  </si>
  <si>
    <t>hoja + 10 mi 10 abr</t>
  </si>
  <si>
    <t>hoja + 9.5  vi 12 abr</t>
  </si>
  <si>
    <t>hoja + 10.5 vi 12 abr</t>
  </si>
  <si>
    <t>hoja + 10.5  lu 15 abr</t>
  </si>
  <si>
    <t>nl19-31</t>
  </si>
  <si>
    <t>B2861</t>
  </si>
  <si>
    <t>nl19-32</t>
  </si>
  <si>
    <t>B2862</t>
  </si>
  <si>
    <t>B2863</t>
  </si>
  <si>
    <t>nlse19-132</t>
  </si>
  <si>
    <t>nlse19-133</t>
  </si>
  <si>
    <t>hoja + 9.5  ju 18 abr</t>
  </si>
  <si>
    <t>hoja + 10  ju 18 abr</t>
  </si>
  <si>
    <t>hoja + 10.5 vi 19 abr</t>
  </si>
  <si>
    <t>hoja + 10 lu 22 abr</t>
  </si>
  <si>
    <t>hoja + 10.5  ma 23 abr</t>
  </si>
  <si>
    <t>nl19-33</t>
  </si>
  <si>
    <t>nlp091</t>
  </si>
  <si>
    <t>B2864</t>
  </si>
  <si>
    <t>nlse19-134</t>
  </si>
  <si>
    <t>nl19-34</t>
  </si>
  <si>
    <t>B2865</t>
  </si>
  <si>
    <t>nlse19-135</t>
  </si>
  <si>
    <t>hoja + 10  ju 25 abr</t>
  </si>
  <si>
    <t>hoja + 10.5 vi 26 abr</t>
  </si>
  <si>
    <t>hoja + 9.5  vi 26 abr</t>
  </si>
  <si>
    <t>hoja + 10 lu 29 abr</t>
  </si>
  <si>
    <t>hoja + 10.5  ma 30 abr</t>
  </si>
  <si>
    <t>nl19-35</t>
  </si>
  <si>
    <t>nlp092</t>
  </si>
  <si>
    <t>B2866</t>
  </si>
  <si>
    <t>B2867</t>
  </si>
  <si>
    <t>nlse19-136</t>
  </si>
  <si>
    <t>nl19-36</t>
  </si>
  <si>
    <t>B2868</t>
  </si>
  <si>
    <t>nlse19-137</t>
  </si>
  <si>
    <t>fact 3583, 3584</t>
  </si>
  <si>
    <t>G23329</t>
  </si>
  <si>
    <t>intercam $36,000.00</t>
  </si>
  <si>
    <t>G23455</t>
  </si>
  <si>
    <t>P 35 G23455</t>
  </si>
  <si>
    <t>fact 4680, 4681</t>
  </si>
  <si>
    <t>P 35 G23574</t>
  </si>
  <si>
    <t>G23209</t>
  </si>
  <si>
    <t>rem 105</t>
  </si>
  <si>
    <t>rem 111</t>
  </si>
  <si>
    <t>G23574</t>
  </si>
  <si>
    <t>rem 109</t>
  </si>
  <si>
    <t>rem 98</t>
  </si>
  <si>
    <t>rem 114</t>
  </si>
  <si>
    <t>fact 1597081</t>
  </si>
  <si>
    <t>1803 cajas</t>
  </si>
  <si>
    <t>289 cajas</t>
  </si>
  <si>
    <t>72 cajas</t>
  </si>
  <si>
    <t>37 cajas</t>
  </si>
  <si>
    <t>34 cajas</t>
  </si>
  <si>
    <t>fact 202338</t>
  </si>
  <si>
    <t>intercam $35,578.32</t>
  </si>
  <si>
    <t>intercam $34,000.00</t>
  </si>
  <si>
    <t>carga cancelada por retrazo</t>
  </si>
  <si>
    <t>se transfiere pago a la 128</t>
  </si>
  <si>
    <t>Seaboard vi 05/04/19  nlse19-128</t>
  </si>
  <si>
    <t>Productos Xeiba  mi 27/03/19</t>
  </si>
  <si>
    <t>fact 484</t>
  </si>
  <si>
    <t>fact 3592,3593</t>
  </si>
  <si>
    <t>fact 4685, 4686</t>
  </si>
  <si>
    <t>fact 3595, 3596</t>
  </si>
  <si>
    <t>P 35  G23837</t>
  </si>
  <si>
    <t>P 34.90  G23838</t>
  </si>
  <si>
    <t>340 cajas</t>
  </si>
  <si>
    <t>Esp de carnero</t>
  </si>
  <si>
    <t>fact 601</t>
  </si>
  <si>
    <t>Guillermo Muñoz  ma 26/03/19</t>
  </si>
  <si>
    <t>Gan Rancho San Felipe do 24/03/19</t>
  </si>
  <si>
    <t>Agrop La Chemita  do 24/03/19</t>
  </si>
  <si>
    <t>fact 2580, 2581</t>
  </si>
  <si>
    <t>Porc Paso Blanco ma 26/03/19</t>
  </si>
  <si>
    <t>fact 2583, 2584</t>
  </si>
  <si>
    <t>Agrop La Chemita  mi 27/03/19</t>
  </si>
  <si>
    <t>Juan Pablo  vi 29/03/19</t>
  </si>
  <si>
    <t>fact</t>
  </si>
  <si>
    <t>Porc Paso Blanco  ju 28/03/19</t>
  </si>
  <si>
    <t>fact 3592, 3593</t>
  </si>
  <si>
    <t>Agrop La Chemita  ju 28/03/19</t>
  </si>
  <si>
    <t>Porc Paso Blanco  vi 29/03/19</t>
  </si>
  <si>
    <t>Porc Paso Blanco  lu 25/03/19</t>
  </si>
  <si>
    <t>Smithfield  ma 02/04/19  nl19-27</t>
  </si>
  <si>
    <t>fact 9000825771</t>
  </si>
  <si>
    <t>intercam $35,245.55</t>
  </si>
  <si>
    <t>intercam $34098.67</t>
  </si>
  <si>
    <t>fact 202341</t>
  </si>
  <si>
    <t>Ideal Trading  ma 02/04/19 nlp088</t>
  </si>
  <si>
    <t>G23837</t>
  </si>
  <si>
    <t>rem 121</t>
  </si>
  <si>
    <t>fact 6715, 6716</t>
  </si>
  <si>
    <t>fact 4705, 4706</t>
  </si>
  <si>
    <t xml:space="preserve">Porc Paso Blanco </t>
  </si>
  <si>
    <t>fact 3606, 3607</t>
  </si>
  <si>
    <t>Tyson  mi 10/04/19 B2857</t>
  </si>
  <si>
    <t>Tyson  vi 12/04/19 B2859</t>
  </si>
  <si>
    <t>Seaboard ju 11/04/19  nlse19-130</t>
  </si>
  <si>
    <t>P 35  G24092</t>
  </si>
  <si>
    <t>Agrop La Gaby  do 31/03/19</t>
  </si>
  <si>
    <t>fact 6715,6716</t>
  </si>
  <si>
    <t>Agrop La Chemita do 31/03/19</t>
  </si>
  <si>
    <t>G23838</t>
  </si>
  <si>
    <t>G23845</t>
  </si>
  <si>
    <t>fact 069E27828A</t>
  </si>
  <si>
    <t>069E27828A</t>
  </si>
  <si>
    <t>CIERRE DEUDA AL 31/03/19</t>
  </si>
  <si>
    <t>Productos Xeiba vi 29/03/19</t>
  </si>
  <si>
    <t>fact 495</t>
  </si>
  <si>
    <t>Empacadora Bonnacarne mi 27/3/19</t>
  </si>
  <si>
    <t>fact 41403</t>
  </si>
  <si>
    <t>fact 1598768</t>
  </si>
  <si>
    <t>P 35 G24222</t>
  </si>
  <si>
    <t>se traslado el pago a la siguiente carga</t>
  </si>
  <si>
    <t>intercam $28,000.00</t>
  </si>
  <si>
    <t>3 cabezas</t>
  </si>
  <si>
    <t>2 cabezas</t>
  </si>
  <si>
    <t>fact 3612, 3613</t>
  </si>
  <si>
    <t>nlse19-127</t>
  </si>
  <si>
    <t>Productos Xeiba  lu 01/04/19</t>
  </si>
  <si>
    <t>fact 497</t>
  </si>
  <si>
    <t>fact 811</t>
  </si>
  <si>
    <t>Smithfield   vi 05/04/19  nl19-28</t>
  </si>
  <si>
    <t>fact 9000833450</t>
  </si>
  <si>
    <t>intercam $33,182.72</t>
  </si>
  <si>
    <t>P 34.90  G24349</t>
  </si>
  <si>
    <t>fact 1599533</t>
  </si>
  <si>
    <t>fact 069E30827A</t>
  </si>
  <si>
    <t>069E30827A</t>
  </si>
  <si>
    <t>Seaboard  sa 13/04/19 nlse19-131</t>
  </si>
  <si>
    <t>Tyson  ma 16/04/19  B2861</t>
  </si>
  <si>
    <t>Tyson  mi 17/04/19  B2862</t>
  </si>
  <si>
    <t>Tyson  mi 17/04/19  B2863</t>
  </si>
  <si>
    <t>Seaboard  ju 18/04/19 nlse19-132</t>
  </si>
  <si>
    <t>Seaboard  vi 19/04/19 nlse19-133</t>
  </si>
  <si>
    <t>fact 3614, 3615</t>
  </si>
  <si>
    <t>B2869</t>
  </si>
  <si>
    <t>B2870</t>
  </si>
  <si>
    <t>P 34.90 G24468</t>
  </si>
  <si>
    <t>G24349</t>
  </si>
  <si>
    <t>G24092</t>
  </si>
  <si>
    <t>G24222</t>
  </si>
  <si>
    <t>Ideal Trading  ma 09/04/19  nlp089</t>
  </si>
  <si>
    <t>fact 202346</t>
  </si>
  <si>
    <t>intercam $29,298.03</t>
  </si>
  <si>
    <t>fact 3616,3617</t>
  </si>
  <si>
    <t>fact 4714, 4715</t>
  </si>
  <si>
    <t>P 35.10  G24598</t>
  </si>
  <si>
    <t>Juan Pablo Torres  vi 05/04/19</t>
  </si>
  <si>
    <t>fact 6738,3739</t>
  </si>
  <si>
    <t>fact HC1371</t>
  </si>
  <si>
    <t>Roel   lu  01/04/19</t>
  </si>
  <si>
    <t>P 35  G24744</t>
  </si>
  <si>
    <t>G24598</t>
  </si>
  <si>
    <t>Papa recta 3/8</t>
  </si>
  <si>
    <t>Ecofrost</t>
  </si>
  <si>
    <t>fact 69793</t>
  </si>
  <si>
    <t>Adams  mi 03/04/19</t>
  </si>
  <si>
    <t>papa recta 3/8</t>
  </si>
  <si>
    <t>17.50  /  29.50</t>
  </si>
  <si>
    <t>Smithfield  ma 08/04/19  nl19-29</t>
  </si>
  <si>
    <t>fact 9000845617</t>
  </si>
  <si>
    <t>intercam $29,045.74</t>
  </si>
  <si>
    <t>fact 1944, 1945</t>
  </si>
  <si>
    <t>fact 3625, 3626</t>
  </si>
  <si>
    <t>P 35.1  G24952</t>
  </si>
  <si>
    <t>Porc Paso Blanco  lu 01/04/19</t>
  </si>
  <si>
    <t>fact 3606,3607</t>
  </si>
  <si>
    <t>Porc Paso Blanco  ma 02/04/19</t>
  </si>
  <si>
    <t>Porc Paso Blanco  mi 03/04/19</t>
  </si>
  <si>
    <t>Porc Paso Blanco  ju 04/04/19</t>
  </si>
  <si>
    <t>fact 3616, 3617</t>
  </si>
  <si>
    <t>Agrop La Chemita  ju 04/04/19</t>
  </si>
  <si>
    <t>Agrop La Gaby  vi 05/04/19</t>
  </si>
  <si>
    <t>fact 6738, 6739</t>
  </si>
  <si>
    <t>069F05827A</t>
  </si>
  <si>
    <t>combo roto 350usd, nc Tyson</t>
  </si>
  <si>
    <t>intercam $31,000.00</t>
  </si>
  <si>
    <t>fact 816</t>
  </si>
  <si>
    <t>fact 069F05827A</t>
  </si>
  <si>
    <t>fact 3628, 3629</t>
  </si>
  <si>
    <t>bonificacion 500kg por diferncia en peso de canales con tumores</t>
  </si>
  <si>
    <t>P 35  H00095</t>
  </si>
  <si>
    <t>fact 1601533</t>
  </si>
  <si>
    <t>fact 3634, 3635</t>
  </si>
  <si>
    <t>P 35 H00240</t>
  </si>
  <si>
    <t>G24744</t>
  </si>
  <si>
    <t>G24952</t>
  </si>
  <si>
    <t>G24468</t>
  </si>
  <si>
    <t>rem 135</t>
  </si>
  <si>
    <t>rem 137</t>
  </si>
  <si>
    <t>rem 141</t>
  </si>
  <si>
    <t>rem 131</t>
  </si>
  <si>
    <t>rem 130</t>
  </si>
  <si>
    <t>rem 129</t>
  </si>
  <si>
    <t>compensado 10/4/19 rem G24468 renglon 1815</t>
  </si>
  <si>
    <t>038F08824A</t>
  </si>
  <si>
    <t>fact 038F08824A</t>
  </si>
  <si>
    <t>fact 4722, 4723</t>
  </si>
  <si>
    <t>fact 4724,4725</t>
  </si>
  <si>
    <t>fact 6745, 6746</t>
  </si>
  <si>
    <t>Smithfield  sa 13/04/19  nl19-30</t>
  </si>
  <si>
    <t>fact 9000849282</t>
  </si>
  <si>
    <t>intercam $29,351.55</t>
  </si>
  <si>
    <t>P 35  H00363</t>
  </si>
  <si>
    <t>fact 1602219</t>
  </si>
  <si>
    <t>Tyson   mi 24/04/19 B2864</t>
  </si>
  <si>
    <t>Tyson   vi 26/04/19 B2865</t>
  </si>
  <si>
    <t>Seaboard  ju 25/04/19 nlse19-134</t>
  </si>
  <si>
    <t>Seaboard  sa 27/04/19 nlse19-135</t>
  </si>
  <si>
    <t>fact 2581</t>
  </si>
  <si>
    <t>fact 2580</t>
  </si>
  <si>
    <t xml:space="preserve"> matanza</t>
  </si>
  <si>
    <t>H00095</t>
  </si>
  <si>
    <t>H00240</t>
  </si>
  <si>
    <t>H00363</t>
  </si>
  <si>
    <t>P 35.10  H00507</t>
  </si>
  <si>
    <t>fact 6752</t>
  </si>
  <si>
    <t>Juan Pablo Torres  vi 12/04/19</t>
  </si>
  <si>
    <t>Cantidad</t>
  </si>
  <si>
    <t>Concepto</t>
  </si>
  <si>
    <t>Recibió</t>
  </si>
  <si>
    <t>entrada</t>
  </si>
  <si>
    <t>Fecha pago</t>
  </si>
  <si>
    <t>fecha</t>
  </si>
  <si>
    <t xml:space="preserve">Dist Pepe Filete del Centro </t>
  </si>
  <si>
    <t>cortes cerdo</t>
  </si>
  <si>
    <t>obrador</t>
  </si>
  <si>
    <t>cuenta</t>
  </si>
  <si>
    <t>odelpa</t>
  </si>
  <si>
    <t>P 35 H00656</t>
  </si>
  <si>
    <t>Smithfield  ma 16/04/19  nl19-31</t>
  </si>
  <si>
    <t>fact 9000861832</t>
  </si>
  <si>
    <t>intercam $29,302.18</t>
  </si>
  <si>
    <t>fact 826</t>
  </si>
  <si>
    <t>Smithfield  mi 17/4/19  nl19-32</t>
  </si>
  <si>
    <t>fact 9000862612</t>
  </si>
  <si>
    <t>intercam $29,646.21</t>
  </si>
  <si>
    <t>P 35.20  H00981</t>
  </si>
  <si>
    <t>P 35.10 H00983</t>
  </si>
  <si>
    <t>069F10822A</t>
  </si>
  <si>
    <t>069F11823A</t>
  </si>
  <si>
    <t>038F12826A</t>
  </si>
  <si>
    <t>fact 827</t>
  </si>
  <si>
    <t>fact 828</t>
  </si>
  <si>
    <t>fact 829</t>
  </si>
  <si>
    <t>fact 830</t>
  </si>
  <si>
    <t>prom 37.88</t>
  </si>
  <si>
    <t>Prod Agrop La Xeiba</t>
  </si>
  <si>
    <t>Central</t>
  </si>
  <si>
    <t>Res</t>
  </si>
  <si>
    <t>Empacadora Bonnacarne</t>
  </si>
  <si>
    <t>embutidos</t>
  </si>
  <si>
    <t>7612, 7614</t>
  </si>
  <si>
    <t>H00656</t>
  </si>
  <si>
    <t>H00507</t>
  </si>
  <si>
    <t>H00983</t>
  </si>
  <si>
    <t>Juan Pablo Torres  do 14/04/19</t>
  </si>
  <si>
    <t>Juan Pablo Torres lu 15/04/19</t>
  </si>
  <si>
    <t>Juan Pablo Torres ma 16/04/19</t>
  </si>
  <si>
    <t>P 35.20 H01103</t>
  </si>
  <si>
    <t>fact 1604239</t>
  </si>
  <si>
    <t>fact 1605005</t>
  </si>
  <si>
    <t>fact 038F12826A</t>
  </si>
  <si>
    <t>fact 069F11823A</t>
  </si>
  <si>
    <t>fact 069F10822A</t>
  </si>
  <si>
    <t>Porc Paso Blanco do 07/04/19</t>
  </si>
  <si>
    <t>fact 3625,3626</t>
  </si>
  <si>
    <t>Porc Soto  do 07/04/19</t>
  </si>
  <si>
    <t>Porc Paso Blanco  lu 08/04/19</t>
  </si>
  <si>
    <t>P 35.15  H01192</t>
  </si>
  <si>
    <t>fact 69985</t>
  </si>
  <si>
    <t>Adams International  ju 11/04/19</t>
  </si>
  <si>
    <t>Excel</t>
  </si>
  <si>
    <t>323 cajas</t>
  </si>
  <si>
    <t>Roel   mi 17/04/19</t>
  </si>
  <si>
    <t>contra excel</t>
  </si>
  <si>
    <t>Adams International mi 17/04/19</t>
  </si>
  <si>
    <t>Porc Paso Blanco  ma 09/04/19</t>
  </si>
  <si>
    <t>Agrop La Chemita  mi 10/04/19</t>
  </si>
  <si>
    <t>fact 4722,4723</t>
  </si>
  <si>
    <t>Agrop La Chemita  ju 11/04/19</t>
  </si>
  <si>
    <t>fact 4724, 4725</t>
  </si>
  <si>
    <t>Agrop La Gaby  ju 11/04/19</t>
  </si>
  <si>
    <t>Agrop La Gaby  vi 12/04/19</t>
  </si>
  <si>
    <t>fact 6752, 6753</t>
  </si>
  <si>
    <t>Juan Pablo Torres  mi 17/04/19</t>
  </si>
  <si>
    <t>hoja + 9.5  mi 17 abr</t>
  </si>
  <si>
    <t>P 35.20 H01357</t>
  </si>
  <si>
    <t>Mayo 2019</t>
  </si>
  <si>
    <t>Juan Pablo Torres  ju 18/04/19</t>
  </si>
  <si>
    <t>Tyson  mi 01/05/19  B2866</t>
  </si>
  <si>
    <t>Tyson  mi 01/05/19  B2867</t>
  </si>
  <si>
    <t>Tyson  vi  03/05/19  B2868</t>
  </si>
  <si>
    <t>Seaboard  ju  02/05/19  nlse19-136</t>
  </si>
  <si>
    <t>Smithfield  ma 23/04/19  nl19-33</t>
  </si>
  <si>
    <t>fact 9000874734</t>
  </si>
  <si>
    <t>intercam $33,887.27</t>
  </si>
  <si>
    <t>Smithfield  mi 24/04/19  nl19-34</t>
  </si>
  <si>
    <t>fact 9000875402</t>
  </si>
  <si>
    <t>intercam $31,410.35</t>
  </si>
  <si>
    <t>Ideal Trading  ma 23/04/19  nlp091</t>
  </si>
  <si>
    <t>fact 202355</t>
  </si>
  <si>
    <t>intercam $32,601.90</t>
  </si>
  <si>
    <t>fact HC1522</t>
  </si>
  <si>
    <t>H01357</t>
  </si>
  <si>
    <t>H00981</t>
  </si>
  <si>
    <t>069F19822A</t>
  </si>
  <si>
    <t>H01103</t>
  </si>
  <si>
    <t>rem 0167</t>
  </si>
  <si>
    <t>rem 0153</t>
  </si>
  <si>
    <t>fact 4733, 4734</t>
  </si>
  <si>
    <t>fact 4735, 4736</t>
  </si>
  <si>
    <t>P 35  H01688</t>
  </si>
  <si>
    <t>P 35.10  H01689</t>
  </si>
  <si>
    <t>fact 069F19822A</t>
  </si>
  <si>
    <t>H01192</t>
  </si>
  <si>
    <t>H01689</t>
  </si>
  <si>
    <t>debe</t>
  </si>
  <si>
    <t>Agrop La Chemita  do 21/04/19</t>
  </si>
  <si>
    <t>Agrop La Chemita  lu 22/04/19</t>
  </si>
  <si>
    <t>H01688</t>
  </si>
  <si>
    <t>23-24/04/2019</t>
  </si>
  <si>
    <t>fact 1606986</t>
  </si>
  <si>
    <t>Agrop La Gaby  ma 23/04/19</t>
  </si>
  <si>
    <t>fact 6767, 6768</t>
  </si>
  <si>
    <t>fact 70157</t>
  </si>
  <si>
    <t>fact 70214</t>
  </si>
  <si>
    <t>fact 70227</t>
  </si>
  <si>
    <t>Adams International  lu 22/04/19</t>
  </si>
  <si>
    <t>buche ibp</t>
  </si>
  <si>
    <t>fact 6769, 6770</t>
  </si>
  <si>
    <t>Agrop La Gaby  mi 24/04/19</t>
  </si>
  <si>
    <t>hoja + 9.5  mi 24 abr</t>
  </si>
  <si>
    <t>088F23822A</t>
  </si>
  <si>
    <t>fact 088F13822A</t>
  </si>
  <si>
    <t>fact 1607819</t>
  </si>
  <si>
    <t>Seaboard  sa 04/05/19  nlse19-137</t>
  </si>
  <si>
    <t>Smithfield  ma 30/4/19  nl19-35</t>
  </si>
  <si>
    <t>fact 9000885922</t>
  </si>
  <si>
    <t>intercam $35,477.18</t>
  </si>
  <si>
    <t>fact 6772, 6773</t>
  </si>
  <si>
    <t>fact 6774, 6775</t>
  </si>
  <si>
    <t>P 35.70 H02133</t>
  </si>
  <si>
    <t>prom</t>
  </si>
  <si>
    <t>fact 6779,6780</t>
  </si>
  <si>
    <t>H02133</t>
  </si>
  <si>
    <t>rem 188</t>
  </si>
  <si>
    <t>P 35.50 H02293</t>
  </si>
  <si>
    <t>Agrop La Gaby  ju 25/04/19</t>
  </si>
  <si>
    <t>fact 6772,6773</t>
  </si>
  <si>
    <t>Agrop La Gaby  vi 26/04/19</t>
  </si>
  <si>
    <t>fact 6779, 6780</t>
  </si>
  <si>
    <t>Juan Pablo Torres  vi 26/04/19</t>
  </si>
  <si>
    <t>fact 70323</t>
  </si>
  <si>
    <t>Adams International  vi 26/04/19</t>
  </si>
  <si>
    <t>112 cajas</t>
  </si>
  <si>
    <t>Roel  ju 25/04/19</t>
  </si>
  <si>
    <t>I7389</t>
  </si>
  <si>
    <t>I7313</t>
  </si>
  <si>
    <t>I7390</t>
  </si>
  <si>
    <t>I7401</t>
  </si>
  <si>
    <t>I7402</t>
  </si>
  <si>
    <t>I7403</t>
  </si>
  <si>
    <t>I7404</t>
  </si>
  <si>
    <t>I7406</t>
  </si>
  <si>
    <t>Tyson mi 08/05/19  B2869</t>
  </si>
  <si>
    <t>Tyson mi 08/05/19  B2870</t>
  </si>
  <si>
    <t>fact 904,905</t>
  </si>
  <si>
    <t>fact 6790, 6791</t>
  </si>
  <si>
    <t>P 36 H02507</t>
  </si>
  <si>
    <t>Pago para carga B2869</t>
  </si>
  <si>
    <t>fact 839</t>
  </si>
  <si>
    <t>fact 840</t>
  </si>
  <si>
    <t>fact HC1558</t>
  </si>
  <si>
    <t>fact 202360</t>
  </si>
  <si>
    <t>intercam $35,642.25</t>
  </si>
  <si>
    <t>069F26823A</t>
  </si>
  <si>
    <t>pago de la B2866</t>
  </si>
  <si>
    <t>intercam $32,000.00</t>
  </si>
  <si>
    <t>Smithfield  mi 01/05/19  nl19-36</t>
  </si>
  <si>
    <t>fact 9000892743</t>
  </si>
  <si>
    <t>intercam $34,245.46</t>
  </si>
  <si>
    <t>Ideal Trading  ma 30/04/19 nlp092</t>
  </si>
  <si>
    <t>Seaboard  ju 09/05/19  nlse19-138</t>
  </si>
  <si>
    <t>fact 852</t>
  </si>
  <si>
    <t>fact 851</t>
  </si>
  <si>
    <t xml:space="preserve">fact 852 </t>
  </si>
  <si>
    <t>fact 069F26823A</t>
  </si>
  <si>
    <t>fact 6793, 6794</t>
  </si>
  <si>
    <t>fact 910, 909</t>
  </si>
  <si>
    <t>P 37.85 H02623</t>
  </si>
  <si>
    <t>H02293</t>
  </si>
  <si>
    <t>fact 1610137</t>
  </si>
  <si>
    <t>hoja + 9.5  ju 2 may</t>
  </si>
  <si>
    <t>hoja + 10  ju 2 may</t>
  </si>
  <si>
    <t>hoja + 10.5 vi 2 may</t>
  </si>
  <si>
    <t>hoja + 9.5  vi 2 may</t>
  </si>
  <si>
    <t>hoja + 10.5  ma 07 may</t>
  </si>
  <si>
    <t>nl19-37</t>
  </si>
  <si>
    <t>nlp094</t>
  </si>
  <si>
    <t>nlse19-138</t>
  </si>
  <si>
    <t>nl19-38</t>
  </si>
  <si>
    <t>nlse19-139</t>
  </si>
  <si>
    <t>H02623</t>
  </si>
  <si>
    <t>rem 197</t>
  </si>
  <si>
    <t>fact 1610537</t>
  </si>
  <si>
    <t>038F29820A</t>
  </si>
  <si>
    <t>fact 038F29820A</t>
  </si>
  <si>
    <t>H02507</t>
  </si>
  <si>
    <t>rem 206</t>
  </si>
  <si>
    <t>rem 208</t>
  </si>
  <si>
    <t>fact 6803, 6804</t>
  </si>
  <si>
    <t>fact 6797, 6798</t>
  </si>
  <si>
    <t>fact 3690, 3691</t>
  </si>
  <si>
    <t>fact 917, 918</t>
  </si>
  <si>
    <t>fact 919,920</t>
  </si>
  <si>
    <t>fact 1970, 1971</t>
  </si>
  <si>
    <t>P 37.60 H03184</t>
  </si>
  <si>
    <t>P37.60  H03185</t>
  </si>
  <si>
    <t>P 37.50  H03186</t>
  </si>
  <si>
    <t>P 37.50 H03187</t>
  </si>
  <si>
    <t>CIERRE AL 30 DE ABRIL DE 2019</t>
  </si>
  <si>
    <t>Gan Rancho San Felipe do 28/04/19</t>
  </si>
  <si>
    <t>fact 804,805</t>
  </si>
  <si>
    <t>Agrop La Gaby  lu 29/04/19</t>
  </si>
  <si>
    <t>Agrop La Gaby  do 28/04/19</t>
  </si>
  <si>
    <t>Gan Rancho San Felipe lu 29/04/19</t>
  </si>
  <si>
    <t>Agrop La Gaby  ma 30/04/19</t>
  </si>
  <si>
    <t>fact 6797, 6796</t>
  </si>
  <si>
    <t>fact 3690, 3695</t>
  </si>
  <si>
    <t>Porc Paso Blanco  ma 30/04/19</t>
  </si>
  <si>
    <t>Gan Rancho San Felipe mi 01/05/19</t>
  </si>
  <si>
    <t>fact 917,916</t>
  </si>
  <si>
    <t>Gan Rancho San Felipe ju 02/05/19</t>
  </si>
  <si>
    <t>fact 1970,1971</t>
  </si>
  <si>
    <t>Porc Soto  ju 02/05/19</t>
  </si>
  <si>
    <t>Agrop La Gaby  vi 03/05/19</t>
  </si>
  <si>
    <t>fact 6803,6804</t>
  </si>
  <si>
    <t>Juan Pablo Torres  vi 03/05/19</t>
  </si>
  <si>
    <t>H03185</t>
  </si>
  <si>
    <t>H03187</t>
  </si>
  <si>
    <t xml:space="preserve">Gasto programado para permiso de agua y drenaje </t>
  </si>
  <si>
    <t>gestoria para tramite (gratificación)</t>
  </si>
  <si>
    <t>Se canceló el pago programado y solo se paga medidor</t>
  </si>
  <si>
    <t>3/4/19 caja</t>
  </si>
  <si>
    <t>Devolucion de los $101,233: 3 depositos $50,000+$50,000+$1,233</t>
  </si>
  <si>
    <t xml:space="preserve"> depositos en cta NLP Santander entregados a Rosy Tellez 04/05/19 para cancelacion de vales</t>
  </si>
  <si>
    <t>Seaboard  sa 11/05/19  nlse19-139</t>
  </si>
  <si>
    <t>Tyson  mi  15/05/19  I7389</t>
  </si>
  <si>
    <t>Tyson  vi  17/05/19  I7313</t>
  </si>
  <si>
    <t>Seaboard  ju 16/05/19  nlse19-140</t>
  </si>
  <si>
    <t>Seaboard  sa 18/05/19  nlse19-141</t>
  </si>
  <si>
    <t>Ideal Trading ma 07/05/19  nlp094</t>
  </si>
  <si>
    <t>Smithfield  ma 07/05/19  nl19-37</t>
  </si>
  <si>
    <t>fact 9000904106</t>
  </si>
  <si>
    <t>intercam $33,134.77</t>
  </si>
  <si>
    <t>Smithfield  vi 10/05/19  nl19-38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</si>
  <si>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</si>
  <si>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</si>
  <si>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</si>
  <si>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</si>
  <si>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</si>
  <si>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</si>
  <si>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</si>
  <si>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</si>
  <si>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fact 202364</t>
  </si>
  <si>
    <t>intercam $33,237.41</t>
  </si>
  <si>
    <t>fact 925,926</t>
  </si>
  <si>
    <t>fact 928,929</t>
  </si>
  <si>
    <t>nlp</t>
  </si>
  <si>
    <t>Ind de Porcinos Delta</t>
  </si>
  <si>
    <t>P 37.90  H03375</t>
  </si>
  <si>
    <t>fact 038G03822A</t>
  </si>
  <si>
    <t>fact 038G03828A</t>
  </si>
  <si>
    <t>038G03822A</t>
  </si>
  <si>
    <t>038G03828A</t>
  </si>
  <si>
    <t>facr 7193, 7194</t>
  </si>
  <si>
    <t>fact 2233, 2234</t>
  </si>
  <si>
    <t>P 38 H03492</t>
  </si>
  <si>
    <t>fact 1612754</t>
  </si>
  <si>
    <t>fact 9000913223</t>
  </si>
  <si>
    <t>intercam $32,586.45</t>
  </si>
  <si>
    <t>Las Reses y El Dorado</t>
  </si>
  <si>
    <t>fact 7191, 7195,2236,2237</t>
  </si>
  <si>
    <t xml:space="preserve">indiana </t>
  </si>
  <si>
    <t>fact 70396</t>
  </si>
  <si>
    <t>Adams  lu 29/04/19</t>
  </si>
  <si>
    <t>P 37.90  H03611</t>
  </si>
  <si>
    <t>i7389</t>
  </si>
  <si>
    <t>hoja + 9.5  ju 9 may</t>
  </si>
  <si>
    <t>hoja + 10.5 vi 10 may</t>
  </si>
  <si>
    <t>hoja + 10 vi 10 may</t>
  </si>
  <si>
    <t>hoja + 10.5 lu 13 may</t>
  </si>
  <si>
    <t>hoja + 10.5  ju 9 may</t>
  </si>
  <si>
    <t>hoja + 10.5  ma 14 may</t>
  </si>
  <si>
    <t>nlse19-140</t>
  </si>
  <si>
    <t>nlp095</t>
  </si>
  <si>
    <t>nl19-40</t>
  </si>
  <si>
    <t>i7313</t>
  </si>
  <si>
    <t>nlse19-141</t>
  </si>
  <si>
    <t>swift</t>
  </si>
  <si>
    <t>hoja + 9.5  ju 16 may</t>
  </si>
  <si>
    <t>hoja + 10  ju 16 may</t>
  </si>
  <si>
    <t>hoja + 10.5  ju 16 may</t>
  </si>
  <si>
    <t>hoja + 10.5 vi 17 may</t>
  </si>
  <si>
    <t>hoja + 9.5  vi 17 may</t>
  </si>
  <si>
    <t>hoja + 10.5  ma 21 may</t>
  </si>
  <si>
    <t>nl19-41</t>
  </si>
  <si>
    <t>nlp096</t>
  </si>
  <si>
    <t>i7390</t>
  </si>
  <si>
    <t>i7401</t>
  </si>
  <si>
    <t>nlse19-142</t>
  </si>
  <si>
    <t>nl19-42</t>
  </si>
  <si>
    <t>nlse19-143</t>
  </si>
  <si>
    <t>Las Reses y La Chemita</t>
  </si>
  <si>
    <t>fact 7196,7197,4756,4757</t>
  </si>
  <si>
    <t>fact 860</t>
  </si>
  <si>
    <t>H03184</t>
  </si>
  <si>
    <t>H03186</t>
  </si>
  <si>
    <t>P 38.40 H3733</t>
  </si>
  <si>
    <t>H03375</t>
  </si>
  <si>
    <t>rem 221</t>
  </si>
  <si>
    <t>fact 7199, 7200</t>
  </si>
  <si>
    <t>fact 7202, 7203</t>
  </si>
  <si>
    <t>efectivo dep 10/5/19</t>
  </si>
  <si>
    <t>H03611</t>
  </si>
  <si>
    <t>H03733</t>
  </si>
  <si>
    <t>Marimex  vi 10/05/19</t>
  </si>
  <si>
    <t>fact PUI9008</t>
  </si>
  <si>
    <t>salmon porcion/Tilapia 3/5</t>
  </si>
  <si>
    <t>170 / 50</t>
  </si>
  <si>
    <t>fact 1613067</t>
  </si>
  <si>
    <t>fact 6952, 6953</t>
  </si>
  <si>
    <t>P 38.40  H04024</t>
  </si>
  <si>
    <t>P 38.40  H04025</t>
  </si>
  <si>
    <t>canales y cortes cerdo</t>
  </si>
  <si>
    <t>fact 21104</t>
  </si>
  <si>
    <t>fact 21113</t>
  </si>
  <si>
    <t>fact 21125</t>
  </si>
  <si>
    <t xml:space="preserve">Contra </t>
  </si>
  <si>
    <t>140 cajas</t>
  </si>
  <si>
    <t>fact HC1613</t>
  </si>
  <si>
    <t>v</t>
  </si>
  <si>
    <t>Roel  mi 08/05/19</t>
  </si>
  <si>
    <t>Roel   vi 03/05/19</t>
  </si>
  <si>
    <t>fact HC1655</t>
  </si>
  <si>
    <t>35 cajas</t>
  </si>
  <si>
    <t>fact 70578</t>
  </si>
  <si>
    <t>Adams International  sa 04/05/16</t>
  </si>
  <si>
    <t>Gan Rancho San Felipe  do 05/05/19</t>
  </si>
  <si>
    <t>Agrop Las Reses  lu 06/05/19</t>
  </si>
  <si>
    <t>fact 7193, 7194</t>
  </si>
  <si>
    <t>Agrop El Dorado  lu 06/05/19</t>
  </si>
  <si>
    <t>Agrop Las Reses  ma 07/05/19</t>
  </si>
  <si>
    <t>fact 2236,2237</t>
  </si>
  <si>
    <t>Agrop El Dorado  ma 07/05/19</t>
  </si>
  <si>
    <t>Agrop Las Reses  mi 08/05/19</t>
  </si>
  <si>
    <t>fact 7196,7197</t>
  </si>
  <si>
    <t>fact 4756, 4757</t>
  </si>
  <si>
    <t>Agrop La Chemita  mi 08/05/19</t>
  </si>
  <si>
    <t>Agrop Las Reses  ju 09/05/19</t>
  </si>
  <si>
    <t>Agrop El Topete  vi 10/05/19</t>
  </si>
  <si>
    <t>fact 6952,6953</t>
  </si>
  <si>
    <t>Juan Pablo Torres  vi 10/05/19</t>
  </si>
  <si>
    <t>Tyson  mi 22/05/19  I7390</t>
  </si>
  <si>
    <t>Tyson  mi 22/05/19  I7401</t>
  </si>
  <si>
    <t>Seaboard  ju 23/05/19  nlse19-142</t>
  </si>
  <si>
    <t>Seaboard  sa 25/05/19  nlse19-143</t>
  </si>
  <si>
    <t>intercam $38,000.00</t>
  </si>
  <si>
    <t>Smithfield  ma 14/05/19  nl19-39</t>
  </si>
  <si>
    <t>fact 9000920754</t>
  </si>
  <si>
    <t>intercam $34,417.19</t>
  </si>
  <si>
    <t>nl19-39</t>
  </si>
  <si>
    <t>fact 71896</t>
  </si>
  <si>
    <t>--</t>
  </si>
  <si>
    <t>fact 88bc</t>
  </si>
  <si>
    <t>fact bc5f</t>
  </si>
  <si>
    <t>fact c126</t>
  </si>
  <si>
    <t>bonificacion de reporte de mermas</t>
  </si>
  <si>
    <t>fact 6963, 6964</t>
  </si>
  <si>
    <t>fact 2251, 2252</t>
  </si>
  <si>
    <t>fact 6961, 6962,2254,2255</t>
  </si>
  <si>
    <t>P 39 H04236</t>
  </si>
  <si>
    <t>hoja + 9.5  vi 9.5 may</t>
  </si>
  <si>
    <t>fact 881</t>
  </si>
  <si>
    <t>fact 038G10825A</t>
  </si>
  <si>
    <t>038G10825A</t>
  </si>
  <si>
    <t>P 38.90  H04351</t>
  </si>
  <si>
    <t>H03492</t>
  </si>
  <si>
    <t>H04024</t>
  </si>
  <si>
    <t>rem 233</t>
  </si>
  <si>
    <t>intercam $37,500.00</t>
  </si>
  <si>
    <t>Smithfield  vi 17/05/19  nl19-40</t>
  </si>
  <si>
    <t>fact 9000928600</t>
  </si>
  <si>
    <t>intercam $34,808.62</t>
  </si>
  <si>
    <t>fact 1615033</t>
  </si>
  <si>
    <t>Ideal Trading ju 16/05/19 nlp095</t>
  </si>
  <si>
    <t>fact 202370</t>
  </si>
  <si>
    <t>intercam $35,355.22</t>
  </si>
  <si>
    <t>fact 6965</t>
  </si>
  <si>
    <t>P 39 H04463</t>
  </si>
  <si>
    <t>H04463</t>
  </si>
  <si>
    <t>H04025</t>
  </si>
  <si>
    <t>rem 240</t>
  </si>
  <si>
    <t>rem 230</t>
  </si>
  <si>
    <t>vale compensacion mermas sem 19 NU3</t>
  </si>
  <si>
    <t>069G13821A</t>
  </si>
  <si>
    <t>fact 069G13821A</t>
  </si>
  <si>
    <t>Juan Pablo Torres  mi 15/05/19</t>
  </si>
  <si>
    <t>fact 6968,6969</t>
  </si>
  <si>
    <t>P 39.20  H04580</t>
  </si>
  <si>
    <t>H04351</t>
  </si>
  <si>
    <t>fact 1615710</t>
  </si>
  <si>
    <t>P 39.10  H04726</t>
  </si>
  <si>
    <t>H04580</t>
  </si>
  <si>
    <t>fact 6973, 6974</t>
  </si>
  <si>
    <t>P 40.3  H04858</t>
  </si>
  <si>
    <t>reduccion precio por canal tan malo</t>
  </si>
  <si>
    <t>Tyson  mi 29/05/19  i7402</t>
  </si>
  <si>
    <t>Tyson  mi 29/05/19  i7403</t>
  </si>
  <si>
    <t>Smithfield  ma 21/05/19  nl19-41</t>
  </si>
  <si>
    <t>Seaboard  ju 30/05/19 nlse19-144</t>
  </si>
  <si>
    <t>Seaboard  sa 01/06/19 nlse19-145</t>
  </si>
  <si>
    <t>Ideal Trading  ma 21/05/19  nlp096</t>
  </si>
  <si>
    <t>Smithfield  vi 24/05/19  nl19-42</t>
  </si>
  <si>
    <t>2/4 Ensenada</t>
  </si>
  <si>
    <t>10 cajas</t>
  </si>
  <si>
    <t>52 cajas</t>
  </si>
  <si>
    <t>fact 70802</t>
  </si>
  <si>
    <t>Adams International  lu 13/05/19</t>
  </si>
  <si>
    <t>fact 9000935160</t>
  </si>
  <si>
    <t>intercam $34,962.96</t>
  </si>
  <si>
    <t>intercam $38,500.00</t>
  </si>
  <si>
    <t>i7402</t>
  </si>
  <si>
    <t>i7403</t>
  </si>
  <si>
    <t>fact 202372</t>
  </si>
  <si>
    <t>intercam $36,538.58</t>
  </si>
  <si>
    <t>fact 904</t>
  </si>
  <si>
    <t>fact 905</t>
  </si>
  <si>
    <t>fact 906</t>
  </si>
  <si>
    <t>Juan Pablo Torres Ju 16/05/19</t>
  </si>
  <si>
    <t>Juan Pablo Torres vi 17/05/19</t>
  </si>
  <si>
    <t>intercam $36,500.00</t>
  </si>
  <si>
    <t>pago excedente de $300,000</t>
  </si>
  <si>
    <t>fact 6978, 6979</t>
  </si>
  <si>
    <t>fact 6985, 6986</t>
  </si>
  <si>
    <t>fact 6989, 6990</t>
  </si>
  <si>
    <t>fact 6987, 6988</t>
  </si>
  <si>
    <t>P 40.3  H05171</t>
  </si>
  <si>
    <t>P 40.9  H05172</t>
  </si>
  <si>
    <t>fact 531</t>
  </si>
  <si>
    <t>fact 9000945890</t>
  </si>
  <si>
    <t>intercam $36,841.92</t>
  </si>
  <si>
    <t>fact 7191, 7229</t>
  </si>
  <si>
    <t>El Topete y Chemita</t>
  </si>
  <si>
    <t>P 40.9  H05285</t>
  </si>
  <si>
    <t>fact 72338</t>
  </si>
  <si>
    <t>junio 2019</t>
  </si>
  <si>
    <t>069G17823A</t>
  </si>
  <si>
    <t>069G17829A</t>
  </si>
  <si>
    <t>nl19-43</t>
  </si>
  <si>
    <t>nlp097</t>
  </si>
  <si>
    <t>nlse19-144</t>
  </si>
  <si>
    <t>nl19-44</t>
  </si>
  <si>
    <t>nlse19-145</t>
  </si>
  <si>
    <t>hoja + 9.5  ju 23 may</t>
  </si>
  <si>
    <t>hoja + 10  ju 23 may</t>
  </si>
  <si>
    <t>hoja + 10.5  ju 23 may</t>
  </si>
  <si>
    <t>hoja + 9.5  lu 27 may</t>
  </si>
  <si>
    <t>hoja + 10.5  ma 28 may</t>
  </si>
  <si>
    <t>Junio 2019</t>
  </si>
  <si>
    <t>hoja + 9.5  ju 30 may</t>
  </si>
  <si>
    <t>hoja + 10.5  ju 30 may</t>
  </si>
  <si>
    <t>hoja + 10.5 vi 31 may</t>
  </si>
  <si>
    <t>hoja + 9.5  vi 31 may</t>
  </si>
  <si>
    <t>hoja + 10.5  ma 04 jun</t>
  </si>
  <si>
    <t>hoja + 10  vi 31 may</t>
  </si>
  <si>
    <t>nl19-45</t>
  </si>
  <si>
    <t>i7404</t>
  </si>
  <si>
    <t>nlse19-146</t>
  </si>
  <si>
    <t>nlp098</t>
  </si>
  <si>
    <t>nl19-46</t>
  </si>
  <si>
    <t>nlse19-147</t>
  </si>
  <si>
    <t>fact 7000,7001,2268,2269</t>
  </si>
  <si>
    <t>fact 949,950</t>
  </si>
  <si>
    <t>fact 951,952</t>
  </si>
  <si>
    <t>P 41  H05407</t>
  </si>
  <si>
    <t>Agrop El Topete  do 12/05/19</t>
  </si>
  <si>
    <t>fact 6963,6964</t>
  </si>
  <si>
    <t>Agrop El Dorado  do 12/05/19</t>
  </si>
  <si>
    <t>Agrop El Topete  lu 13/05/19</t>
  </si>
  <si>
    <t>fact 6961,6962</t>
  </si>
  <si>
    <t>fact 254,2255</t>
  </si>
  <si>
    <t>Agrop El Dorado  lu 13/05/19</t>
  </si>
  <si>
    <t>Agrop El Topete  ma 14/05/19</t>
  </si>
  <si>
    <t>fact 6965,6966</t>
  </si>
  <si>
    <t>Agrop El Topete  ju 16/5/19</t>
  </si>
  <si>
    <t>Agrop El Topete  vi 17/05/19</t>
  </si>
  <si>
    <t>Agrop El Topete  do 19/05/19</t>
  </si>
  <si>
    <t>fact 6978,6979</t>
  </si>
  <si>
    <t>fact 6985,6986</t>
  </si>
  <si>
    <t>Agrop El Topete  lu 20/05/19</t>
  </si>
  <si>
    <t>fact 6987,6988</t>
  </si>
  <si>
    <t>Agrop El Topete  ma 21/05/19</t>
  </si>
  <si>
    <t>fact 6992,6993</t>
  </si>
  <si>
    <t>fact 4775,4776</t>
  </si>
  <si>
    <t>Agrop La Chemita ma 21/05/19</t>
  </si>
  <si>
    <t>Agrop El Topete mi 22/05/19</t>
  </si>
  <si>
    <t>fact 7000,7001</t>
  </si>
  <si>
    <t>fact 2268,2269</t>
  </si>
  <si>
    <t>Agrop El Dorado  mi 22/05/19</t>
  </si>
  <si>
    <t>fact 1618441</t>
  </si>
  <si>
    <t>Gan Rancho San Felipe ju 23/05/19</t>
  </si>
  <si>
    <t>fact 949, 950</t>
  </si>
  <si>
    <t>fact 951,652</t>
  </si>
  <si>
    <t>Agrop El Topete  vi 24/05/19</t>
  </si>
  <si>
    <t>fact 7008, 7009</t>
  </si>
  <si>
    <t>fact 7006, 7007</t>
  </si>
  <si>
    <t>descontar $300,000</t>
  </si>
  <si>
    <t>fac 7008, 7009</t>
  </si>
  <si>
    <t>fact 7006,7007</t>
  </si>
  <si>
    <t>P 41.10  H05546</t>
  </si>
  <si>
    <t>fact 1617722</t>
  </si>
  <si>
    <t>fact 069G17823A</t>
  </si>
  <si>
    <t>fact 069G17829A</t>
  </si>
  <si>
    <t>662 cajas</t>
  </si>
  <si>
    <t>fact FPL112617</t>
  </si>
  <si>
    <t>Ryc Alimentos  sa 18/05/19</t>
  </si>
  <si>
    <t>factFPL1126517</t>
  </si>
  <si>
    <t>fact 70854</t>
  </si>
  <si>
    <t>Adams International  mi 15/05/19</t>
  </si>
  <si>
    <t>fact 71011</t>
  </si>
  <si>
    <t>Adams International  mi 22/05/19</t>
  </si>
  <si>
    <t>Corbata</t>
  </si>
  <si>
    <t>49 cajas</t>
  </si>
  <si>
    <t>264 cajas</t>
  </si>
  <si>
    <t>fact 602</t>
  </si>
  <si>
    <t>"   "</t>
  </si>
  <si>
    <t>Guillermo Muñoz  ma 21/05/19</t>
  </si>
  <si>
    <t>corbata, buche y cuero</t>
  </si>
  <si>
    <t>45 / 42/ 17</t>
  </si>
  <si>
    <t>Guillermo Muñoz  mi 22/05/19</t>
  </si>
  <si>
    <t>fact 603</t>
  </si>
  <si>
    <t>menudo excell 93</t>
  </si>
  <si>
    <t>152 cajas</t>
  </si>
  <si>
    <t>excell 93</t>
  </si>
  <si>
    <t>P 41 H05680</t>
  </si>
  <si>
    <t>Tyson  mi 05/06/19  i7404</t>
  </si>
  <si>
    <t>Tyson  mi 05/06/19  i7406</t>
  </si>
  <si>
    <t>Seaboard  ju 6/06/19  nlse19-146</t>
  </si>
  <si>
    <t>Seaboard  sa 08/06/19  nlse19-147</t>
  </si>
  <si>
    <t>Smithfield  ma 28/05/19  nl19-43</t>
  </si>
  <si>
    <t>fact 9000953730</t>
  </si>
  <si>
    <t>intercam $37,569.25</t>
  </si>
  <si>
    <t>Smithfield  sa 01/06/19  nl19-44</t>
  </si>
  <si>
    <t>Ideal Trading  ma  28/05/19  nlp097</t>
  </si>
  <si>
    <t>intercam $40,000.00</t>
  </si>
  <si>
    <t>P5909</t>
  </si>
  <si>
    <t>P5940</t>
  </si>
  <si>
    <t>P6006</t>
  </si>
  <si>
    <t>P6007</t>
  </si>
  <si>
    <t>P6008</t>
  </si>
  <si>
    <t>intercam $39,000.00</t>
  </si>
  <si>
    <t>fact 7016,7017,957,958</t>
  </si>
  <si>
    <t>fact 202378</t>
  </si>
  <si>
    <t>intercam $37,376.95</t>
  </si>
  <si>
    <t>fact 7019,7020</t>
  </si>
  <si>
    <t>fact 7021,7022</t>
  </si>
  <si>
    <t>P 41.60  H05897</t>
  </si>
  <si>
    <t>fact 543</t>
  </si>
  <si>
    <t>fact 21330</t>
  </si>
  <si>
    <t>fact 7016, 7017</t>
  </si>
  <si>
    <t>Agrop El Topete  do 26/05/19</t>
  </si>
  <si>
    <t>fact 957, 958</t>
  </si>
  <si>
    <t>Agrop El Dorado  do 26/05/19</t>
  </si>
  <si>
    <t>H04236</t>
  </si>
  <si>
    <t>H04726</t>
  </si>
  <si>
    <t>El Topete y San Felipe</t>
  </si>
  <si>
    <t>H05171</t>
  </si>
  <si>
    <t>H04858</t>
  </si>
  <si>
    <t>H05897</t>
  </si>
  <si>
    <t>H05546</t>
  </si>
  <si>
    <t>H05407</t>
  </si>
  <si>
    <t>H05172</t>
  </si>
  <si>
    <t>rem 269</t>
  </si>
  <si>
    <t>P 41.70 H06006</t>
  </si>
  <si>
    <t>038G24822A</t>
  </si>
  <si>
    <t>038G24821A</t>
  </si>
  <si>
    <t>fact 038G24822A</t>
  </si>
  <si>
    <t>fact 038G24821A</t>
  </si>
  <si>
    <t>Agrop El Topete  lu 27/05/19</t>
  </si>
  <si>
    <t>fact 7019, 7020</t>
  </si>
  <si>
    <t>hoja + 10.5 lu 27 may</t>
  </si>
  <si>
    <t>intercam $39,500.00</t>
  </si>
  <si>
    <t>Agrop El Topete  ma 28/05/19</t>
  </si>
  <si>
    <t>fact 7021, 7022</t>
  </si>
  <si>
    <t>1 decomiso</t>
  </si>
  <si>
    <t>P 42.30  H06121</t>
  </si>
  <si>
    <t>fact 7032 y 7033</t>
  </si>
  <si>
    <t>Agrop El Topete mi 29/05/19</t>
  </si>
  <si>
    <t>fact 7032, 7033</t>
  </si>
  <si>
    <t>P 41.80 H06265</t>
  </si>
  <si>
    <t>fact 1620749</t>
  </si>
  <si>
    <t>fact 1620750</t>
  </si>
  <si>
    <t>fact 72743</t>
  </si>
  <si>
    <t>fact 71201</t>
  </si>
  <si>
    <t>Adams international  mi 29/05/19</t>
  </si>
  <si>
    <t>H05285</t>
  </si>
  <si>
    <t>H05680</t>
  </si>
  <si>
    <t>rem 0281</t>
  </si>
  <si>
    <t>rem 278</t>
  </si>
  <si>
    <t>rem 283</t>
  </si>
  <si>
    <t>fact 9000962716</t>
  </si>
  <si>
    <t>intercam $38,142.92</t>
  </si>
  <si>
    <t>fact 7038, 7039</t>
  </si>
  <si>
    <t>fact 7040, 7041</t>
  </si>
  <si>
    <t>P 42.20  H06408</t>
  </si>
  <si>
    <t>151 cajas</t>
  </si>
  <si>
    <t>Roel   ju 30/05/19</t>
  </si>
  <si>
    <t>fact 7050, 70501</t>
  </si>
  <si>
    <t>fact 7048, 7049</t>
  </si>
  <si>
    <t>P 42.50  H06539</t>
  </si>
  <si>
    <t>H06121</t>
  </si>
  <si>
    <t>H06265</t>
  </si>
  <si>
    <t>H06006</t>
  </si>
  <si>
    <t>Agrop El Topete ju 30/05/19</t>
  </si>
  <si>
    <t>Agrop El Topete vi 31/05/19</t>
  </si>
  <si>
    <t>fact 7038,7039</t>
  </si>
  <si>
    <t>fact 7040,7041</t>
  </si>
  <si>
    <t>fact 7050,7051</t>
  </si>
  <si>
    <t>fact HC1818</t>
  </si>
  <si>
    <t>Seaboard  ju 13/06/19  nlse19-148</t>
  </si>
  <si>
    <t>Tyson   mi 12/06/19  P5909</t>
  </si>
  <si>
    <t>Seaboard  sa 15/06/19  nlse19-149</t>
  </si>
  <si>
    <t>Smithfield  ma 04/06/19  nl19-45</t>
  </si>
  <si>
    <t>intercam $39,118.91</t>
  </si>
  <si>
    <t>fact 9000969080</t>
  </si>
  <si>
    <t>Ideal Trading  ju 06/06/19  nlp098</t>
  </si>
  <si>
    <t>Smithfield  vi  07/06/19  nl19-46</t>
  </si>
  <si>
    <t>fact 7064, 7065</t>
  </si>
  <si>
    <t>fact 7072, 7073</t>
  </si>
  <si>
    <t>Cierre al 31 de mayo de 2019</t>
  </si>
  <si>
    <t>fact 088H01830A</t>
  </si>
  <si>
    <t>fact 069G31825A</t>
  </si>
  <si>
    <t>fact 7068, 7069</t>
  </si>
  <si>
    <t>fact 7070, 7071</t>
  </si>
  <si>
    <t>i7406</t>
  </si>
  <si>
    <t>NLSE19-148</t>
  </si>
  <si>
    <t>NLSE19-149</t>
  </si>
  <si>
    <t>NLSE19-150</t>
  </si>
  <si>
    <t>NLSE19-151</t>
  </si>
  <si>
    <t>NLSE19-152</t>
  </si>
  <si>
    <t>NLSE19-153</t>
  </si>
  <si>
    <t>NLSE19-154</t>
  </si>
  <si>
    <t>NLSE19-155</t>
  </si>
  <si>
    <t>NLSE19-156</t>
  </si>
  <si>
    <t>NLSE19-157</t>
  </si>
  <si>
    <t>NLSE19-158</t>
  </si>
  <si>
    <t>NLSE19-159</t>
  </si>
  <si>
    <t>088H01830A</t>
  </si>
  <si>
    <t>069G31825A</t>
  </si>
  <si>
    <t>P 44.20  H06858</t>
  </si>
  <si>
    <t>fact 1622864</t>
  </si>
  <si>
    <t>H06408</t>
  </si>
  <si>
    <t>fact 9000974469</t>
  </si>
  <si>
    <t>intercam $38,749.48</t>
  </si>
  <si>
    <t>17 combos</t>
  </si>
  <si>
    <t>fact 202383</t>
  </si>
  <si>
    <t>intercam $30,528.70</t>
  </si>
  <si>
    <t>P 44.10  H06980</t>
  </si>
  <si>
    <t>Topete y Chemita</t>
  </si>
  <si>
    <t>fact 7075,7076,4810,4811</t>
  </si>
  <si>
    <t>fact 552</t>
  </si>
  <si>
    <t>fact 553</t>
  </si>
  <si>
    <t>intercam $40,500.00</t>
  </si>
  <si>
    <t>Tyson mi 19/6/19  P5940</t>
  </si>
  <si>
    <t>Tyson mi 19/6/19  P6006</t>
  </si>
  <si>
    <t>nl19-47</t>
  </si>
  <si>
    <t>nlp099</t>
  </si>
  <si>
    <t>hoja + 9.5 mi 05 jun</t>
  </si>
  <si>
    <t>hoja + 10  ju 06 jun</t>
  </si>
  <si>
    <t>hoja + 10.5  ju 06 jun</t>
  </si>
  <si>
    <t>nlp102</t>
  </si>
  <si>
    <t>hoja + 10.5 vi 07 jun</t>
  </si>
  <si>
    <t>hoja + 9.5  vi 07 jun</t>
  </si>
  <si>
    <t>nlp103</t>
  </si>
  <si>
    <t>hoja + 13.5 lu 10 jun</t>
  </si>
  <si>
    <t>Canales en combo</t>
  </si>
  <si>
    <t>hoja + 10.5  ma 11 jun</t>
  </si>
  <si>
    <t>nl19-48</t>
  </si>
  <si>
    <t>nlse19-149</t>
  </si>
  <si>
    <t>nlse19-148</t>
  </si>
  <si>
    <t>Seaboard  ju 20/06/19  nlse19-150</t>
  </si>
  <si>
    <t>Seaboard  sa 22/06/19  nlse19-151</t>
  </si>
  <si>
    <t>Smithfield  ma 11/06/19  nl19-47</t>
  </si>
  <si>
    <t>Ideal Trading  ma 11/06/19 nlp099</t>
  </si>
  <si>
    <t>Ideal Trading  vi 14/06/19  nlp103</t>
  </si>
  <si>
    <t>Ideal Trading  ju 13/06/19  nlp102</t>
  </si>
  <si>
    <t>Smithfield vi 14/06/19  nl19-48</t>
  </si>
  <si>
    <t>fact 9000978264</t>
  </si>
  <si>
    <t>intercam $39,186.74-175</t>
  </si>
  <si>
    <t>nl19-49</t>
  </si>
  <si>
    <t>nlp100</t>
  </si>
  <si>
    <t>hoja + 9.5  ju 13 jun</t>
  </si>
  <si>
    <t>hoja + 10.5  ju 13 jun</t>
  </si>
  <si>
    <t>hoja + 10.5 vi 14 jun</t>
  </si>
  <si>
    <t>hoja + 9.5  vi 14 jun</t>
  </si>
  <si>
    <t>hoja + 10.5  ma 18 jun</t>
  </si>
  <si>
    <t>nlse19-150</t>
  </si>
  <si>
    <t>nl19-50</t>
  </si>
  <si>
    <t>nlse19-151</t>
  </si>
  <si>
    <t>fact 7077,7078</t>
  </si>
  <si>
    <t>fact 4812, 4813</t>
  </si>
  <si>
    <t>P 44.25 H07100</t>
  </si>
  <si>
    <t>Agrop El Topete  do 02/06/19</t>
  </si>
  <si>
    <t>H06938</t>
  </si>
  <si>
    <t>H06858</t>
  </si>
  <si>
    <t>rem 304</t>
  </si>
  <si>
    <t>H06980</t>
  </si>
  <si>
    <t>fact 7064,7065</t>
  </si>
  <si>
    <t>fact 7072,7073</t>
  </si>
  <si>
    <t>Agrop El Topete  lu 03/06/19</t>
  </si>
  <si>
    <t>fact 1623913</t>
  </si>
  <si>
    <t>P 44.20  H07261</t>
  </si>
  <si>
    <t>hoja + 10 vi 07 jun</t>
  </si>
  <si>
    <t>H07100</t>
  </si>
  <si>
    <t>fact 4816, 4817</t>
  </si>
  <si>
    <t>P 44.2 H07378</t>
  </si>
  <si>
    <t>Agrop El Topete ma 04/06/19</t>
  </si>
  <si>
    <t>fact 7075, 7076</t>
  </si>
  <si>
    <t>Agrop El Topete mi 05/06/19</t>
  </si>
  <si>
    <t>Agrop La Chemita mi 05/06/19</t>
  </si>
  <si>
    <t>fact 4810, 4811</t>
  </si>
  <si>
    <t>Agrop El Topete  ju 06/06/19</t>
  </si>
  <si>
    <t>fact 4812,4813</t>
  </si>
  <si>
    <t>Agrop La Chemita  ju 06/06/19</t>
  </si>
  <si>
    <t>Agrop La Chemita  vi 07/06/19</t>
  </si>
  <si>
    <t>fact 4816,4817</t>
  </si>
  <si>
    <t>fact 7080,7081</t>
  </si>
  <si>
    <t>Agrop El Topete  vi 07/06/19</t>
  </si>
  <si>
    <t>80 cajas</t>
  </si>
  <si>
    <t>fact HC1845</t>
  </si>
  <si>
    <t>Roel  lu 03/06/19</t>
  </si>
  <si>
    <t>fact 71334</t>
  </si>
  <si>
    <t>6 combos</t>
  </si>
  <si>
    <t>fact 71376</t>
  </si>
  <si>
    <t>360 cajas</t>
  </si>
  <si>
    <t>Adams  ma 04/06/19</t>
  </si>
  <si>
    <t>Adams  ju 06/06/19</t>
  </si>
  <si>
    <t>Guillermo Muñoz  vi 07/06/19</t>
  </si>
  <si>
    <t>fact 202390</t>
  </si>
  <si>
    <t>intercam $39,028.43</t>
  </si>
  <si>
    <t>fact 7089,7090,2292,2293</t>
  </si>
  <si>
    <t>P 44.80  H07568</t>
  </si>
  <si>
    <t>Agrop El Topete  do 09/06/19</t>
  </si>
  <si>
    <t>fact 7089,7090</t>
  </si>
  <si>
    <t>fact 2292,2293</t>
  </si>
  <si>
    <t>Agrop El Dorado  do 09/6/19</t>
  </si>
  <si>
    <t>H07261</t>
  </si>
  <si>
    <t>H06539</t>
  </si>
  <si>
    <t>rem313</t>
  </si>
  <si>
    <t>fact 72864</t>
  </si>
  <si>
    <t>fact 7092,7093,2016,2017</t>
  </si>
  <si>
    <t>088H07824A</t>
  </si>
  <si>
    <t>fact 088H07824A</t>
  </si>
  <si>
    <t>fact 202392</t>
  </si>
  <si>
    <t>intercam $38,570.94</t>
  </si>
  <si>
    <t>PUI9384</t>
  </si>
  <si>
    <t>Tilapia 3/5</t>
  </si>
  <si>
    <t>Mares</t>
  </si>
  <si>
    <t>Baja Bay</t>
  </si>
  <si>
    <t>Basa 5/7</t>
  </si>
  <si>
    <t>Marimex  ma 11/06/19</t>
  </si>
  <si>
    <t>fact PUI9384</t>
  </si>
  <si>
    <t>Tilapia / Basa</t>
  </si>
  <si>
    <t>46 / 46</t>
  </si>
  <si>
    <t>fact 1626054</t>
  </si>
  <si>
    <t>Agrop El Topete  lu 10/06/19</t>
  </si>
  <si>
    <t>fact 2016,2017</t>
  </si>
  <si>
    <t>Porc Soto  lu 10/06/19</t>
  </si>
  <si>
    <t>fact 7094,7095</t>
  </si>
  <si>
    <t>fact 7094, 7095</t>
  </si>
  <si>
    <t>Agrop El Topete  ma 11/06/19</t>
  </si>
  <si>
    <t>H07568</t>
  </si>
  <si>
    <t>fact 605</t>
  </si>
  <si>
    <t>nc nana</t>
  </si>
  <si>
    <t xml:space="preserve">Menudo </t>
  </si>
  <si>
    <t>Excel 86M</t>
  </si>
  <si>
    <t xml:space="preserve">4 combos </t>
  </si>
  <si>
    <t>686 cajas</t>
  </si>
  <si>
    <t>fact 71527</t>
  </si>
  <si>
    <t>Adams International  mi 12/06/19</t>
  </si>
  <si>
    <t>P 44.70 H07799</t>
  </si>
  <si>
    <t>23 combos</t>
  </si>
  <si>
    <t>H07378</t>
  </si>
  <si>
    <t>rem 321</t>
  </si>
  <si>
    <t xml:space="preserve">vale rosa </t>
  </si>
  <si>
    <t>fact 202393</t>
  </si>
  <si>
    <t>intercam $40,046.43</t>
  </si>
  <si>
    <t>intercam $37,923.94</t>
  </si>
  <si>
    <t>fact 9000992837</t>
  </si>
  <si>
    <t>Transfer Bancomer</t>
  </si>
  <si>
    <t>fact 7097, 7098</t>
  </si>
  <si>
    <t>P 44.80  H07923</t>
  </si>
  <si>
    <t>H07799</t>
  </si>
  <si>
    <t>Agrop El Topete  mi 12/06/19</t>
  </si>
  <si>
    <t>fact 1626430</t>
  </si>
  <si>
    <t>fact 4824, 4825</t>
  </si>
  <si>
    <t>P 45.30 H08058</t>
  </si>
  <si>
    <t>fact 7105,7106</t>
  </si>
  <si>
    <t>fact 7107, 7108</t>
  </si>
  <si>
    <t>cpsto real Proledo 45.35, con el desc del trailer quedo en 44.50</t>
  </si>
  <si>
    <t>$45.05 flete compl</t>
  </si>
  <si>
    <t>$44.78 Flete 1/2</t>
  </si>
  <si>
    <t>P 44.50 H08192</t>
  </si>
  <si>
    <t>50 cajas</t>
  </si>
  <si>
    <t>fact 71593</t>
  </si>
  <si>
    <t>Manitas</t>
  </si>
  <si>
    <t>Carrol</t>
  </si>
  <si>
    <t>fact 71640</t>
  </si>
  <si>
    <t>Adams International  ju 13/06/19</t>
  </si>
  <si>
    <t>Agrop El Topete  ju 13/06/19</t>
  </si>
  <si>
    <t>fact 7101, 7102</t>
  </si>
  <si>
    <t>fact 4824, 425</t>
  </si>
  <si>
    <t>Agrop La Chemita  ju 13/06/19</t>
  </si>
  <si>
    <t>Agrop El Topete  vi 14/06/19</t>
  </si>
  <si>
    <t>fact 7105, 7106</t>
  </si>
  <si>
    <t>hoja + 10  vi 14 jun</t>
  </si>
  <si>
    <t>Seaboard mi 26/06/19  nlse19-157</t>
  </si>
  <si>
    <t>Seaboard ju 27/06/19  nlse19-152</t>
  </si>
  <si>
    <t>fact 9000998715</t>
  </si>
  <si>
    <t>intercam $36,539.00</t>
  </si>
  <si>
    <t>Smithfield  ma 18/06/19  nl19-49</t>
  </si>
  <si>
    <t>Ideal Trading  ju 20/06/19  nlp100</t>
  </si>
  <si>
    <t>Smithfield  vi 21/06/19 nl19-50</t>
  </si>
  <si>
    <t>JULIO 19</t>
  </si>
  <si>
    <t>fact 7112, 7113</t>
  </si>
  <si>
    <t>fact 2303, 2304</t>
  </si>
  <si>
    <t>H07923</t>
  </si>
  <si>
    <t>H08192</t>
  </si>
  <si>
    <t xml:space="preserve">Carga canales importados </t>
  </si>
  <si>
    <t>P 45.30 H08421</t>
  </si>
  <si>
    <t>fact 564</t>
  </si>
  <si>
    <t>fact 069H14824A</t>
  </si>
  <si>
    <t>fact 069H15820A</t>
  </si>
  <si>
    <t>069H15820A</t>
  </si>
  <si>
    <t>fact 7117,7118,2307,2308</t>
  </si>
  <si>
    <t>Agrop El Topete do 16/06/19</t>
  </si>
  <si>
    <t>fact 2303,2304</t>
  </si>
  <si>
    <t>Agrop El Dorado  do 16/06/19</t>
  </si>
  <si>
    <t>Agrop El Topete  lu 17/06/19</t>
  </si>
  <si>
    <t>fact 7117, 7118</t>
  </si>
  <si>
    <t>fact 2307, 2308</t>
  </si>
  <si>
    <t>Agrop El Dorado  lu 17/06/19</t>
  </si>
  <si>
    <t>P 45.20 H08534</t>
  </si>
  <si>
    <t>nl19-51</t>
  </si>
  <si>
    <t>nlp101</t>
  </si>
  <si>
    <t>nlse19-157</t>
  </si>
  <si>
    <t>nlse19-152</t>
  </si>
  <si>
    <t>nlp104</t>
  </si>
  <si>
    <t>nl19-52</t>
  </si>
  <si>
    <t>nlse19-153</t>
  </si>
  <si>
    <t>fact 1628415</t>
  </si>
  <si>
    <t>H08058</t>
  </si>
  <si>
    <t>H08390</t>
  </si>
  <si>
    <t>Julio 2019</t>
  </si>
  <si>
    <t>fact 7115,7116,2023,2024</t>
  </si>
  <si>
    <t>fact 9001005078</t>
  </si>
  <si>
    <t>intercam $35,483.96</t>
  </si>
  <si>
    <t>fact 202399</t>
  </si>
  <si>
    <t>intercam $35,872.92</t>
  </si>
  <si>
    <t>P 45.10 H08657</t>
  </si>
  <si>
    <t>Agrop El Topete  ma 18/06/19</t>
  </si>
  <si>
    <t>fact 7115, 7116</t>
  </si>
  <si>
    <t>fact 2023,2024</t>
  </si>
  <si>
    <t>Porc Soto  ma 18/06/19</t>
  </si>
  <si>
    <t>fact 7120,7121,2027,2028</t>
  </si>
  <si>
    <t>P 45.10 H08786</t>
  </si>
  <si>
    <t>Agrop El Topete  mi 19/06/19</t>
  </si>
  <si>
    <t>H08534</t>
  </si>
  <si>
    <t>H08421</t>
  </si>
  <si>
    <t>Seaboard sa 29/06/19 nlse19-153</t>
  </si>
  <si>
    <t xml:space="preserve">carga cancelada </t>
  </si>
  <si>
    <t>fact 7125, 7126</t>
  </si>
  <si>
    <t>fact 2318, 2319</t>
  </si>
  <si>
    <t>H08657</t>
  </si>
  <si>
    <t>H08786</t>
  </si>
  <si>
    <t>Tyson mi 03/07/19  P6007</t>
  </si>
  <si>
    <t>Tyson mi 03/07/19  P6008</t>
  </si>
  <si>
    <t>Seaboard  ju 04/06/19  nlse19-154</t>
  </si>
  <si>
    <t>Seaboard  ju 04/06/19  nlse19-155</t>
  </si>
  <si>
    <t>Seaboard  sa 06/06/19  nlse19-156</t>
  </si>
  <si>
    <t>Smithfield  ma 25/06/19  nl19-51</t>
  </si>
  <si>
    <t>fact 9001014815</t>
  </si>
  <si>
    <t>intercam $31,196.08</t>
  </si>
  <si>
    <t>intercam $31,218.21</t>
  </si>
  <si>
    <t>fact 202404</t>
  </si>
  <si>
    <t>Ideal Trading  ma 25/06/19  nlp101</t>
  </si>
  <si>
    <t>fact 7120, 7121</t>
  </si>
  <si>
    <t>Porc Soto  mi 19/06/19</t>
  </si>
  <si>
    <t>fact 2027,2028</t>
  </si>
  <si>
    <t>Agrop El Topete  ju 20/06/19</t>
  </si>
  <si>
    <t>fact 7125,7126</t>
  </si>
  <si>
    <t>fact 2318,2319</t>
  </si>
  <si>
    <t>Agrop El Dorado  ju 20/06/19</t>
  </si>
  <si>
    <t>fact 7129,7130</t>
  </si>
  <si>
    <t>fact 2033, 2034</t>
  </si>
  <si>
    <t>Agrop El Topete  vi 21/06/19</t>
  </si>
  <si>
    <t>fact 7129, 7130</t>
  </si>
  <si>
    <t>Porc Soto  vi 21/06/19</t>
  </si>
  <si>
    <t>Dorado y Soto</t>
  </si>
  <si>
    <t>fact 2326,2327,2038,2039</t>
  </si>
  <si>
    <t>Ideal Trading  ju 27/06/19  nlp104</t>
  </si>
  <si>
    <t>Smithfield  vi 28/06/19  nl19-52</t>
  </si>
  <si>
    <t>Soto y Dorado</t>
  </si>
  <si>
    <t>fact 2040,2041,2329,2330</t>
  </si>
  <si>
    <t>P 45.10 H09263</t>
  </si>
  <si>
    <t>P 45.20 H09264</t>
  </si>
  <si>
    <t>P 45.30 H9265</t>
  </si>
  <si>
    <t>P 45.40 H9367</t>
  </si>
  <si>
    <t>hoja + 9.5 ju 20 jun</t>
  </si>
  <si>
    <t>hoja + 10  ju 20 jun</t>
  </si>
  <si>
    <t>hoja + 10.5  ju 20 jun</t>
  </si>
  <si>
    <t>hoja + 9.5  vi 21 jun</t>
  </si>
  <si>
    <t>hoja + 10.5  ma 25 jun</t>
  </si>
  <si>
    <t>fact 575</t>
  </si>
  <si>
    <t>fact 9001021637</t>
  </si>
  <si>
    <t>intercam $28,449.57</t>
  </si>
  <si>
    <t>hoja + 10 vi 21 jun</t>
  </si>
  <si>
    <t>fact 2335,2336,2332,2333</t>
  </si>
  <si>
    <t>fact 202405</t>
  </si>
  <si>
    <t>intercam $29,587.12</t>
  </si>
  <si>
    <t>Agrop El Dorado  do 23/06/19</t>
  </si>
  <si>
    <t>fact 2341, 2327</t>
  </si>
  <si>
    <t>fact 2038,2039</t>
  </si>
  <si>
    <t>Porc Soto  do 23/06/19</t>
  </si>
  <si>
    <t>P 45.40   H9490</t>
  </si>
  <si>
    <t>H09265</t>
  </si>
  <si>
    <t>H09264</t>
  </si>
  <si>
    <t>H09263</t>
  </si>
  <si>
    <t>fact 7148,7149,7146,7147</t>
  </si>
  <si>
    <t>P 45.30 H0925</t>
  </si>
  <si>
    <t>H09490</t>
  </si>
  <si>
    <t>H09367</t>
  </si>
  <si>
    <t>rem 363</t>
  </si>
  <si>
    <t>hoja + 10.5  ju 27 jun</t>
  </si>
  <si>
    <t>hoja + 9.5 ju 27 jun</t>
  </si>
  <si>
    <t>hoja + 10  ju 27 jun</t>
  </si>
  <si>
    <t>hoja + 10.5  ma 2 jul</t>
  </si>
  <si>
    <t>nl19-53</t>
  </si>
  <si>
    <t>nlp105</t>
  </si>
  <si>
    <t>nlse19-154</t>
  </si>
  <si>
    <t>nlse19-155</t>
  </si>
  <si>
    <t>nlse19-156</t>
  </si>
  <si>
    <t>hoja + 10.5 lu 24 jun</t>
  </si>
  <si>
    <t>fact 1631578</t>
  </si>
  <si>
    <t>fact 1630329</t>
  </si>
  <si>
    <t>fact 1631579</t>
  </si>
  <si>
    <t>Tyson  mi 10/06/19  W9862</t>
  </si>
  <si>
    <t>Tyson  mi 10/06/19  W9899</t>
  </si>
  <si>
    <t>Seaboard  ju 11/06/19  nlse19-158</t>
  </si>
  <si>
    <t>Seaboard  sa 13/06/19  nlse19-159</t>
  </si>
  <si>
    <t>se transfiere el pago a la W9862</t>
  </si>
  <si>
    <t>W9862</t>
  </si>
  <si>
    <t>W9899</t>
  </si>
  <si>
    <t>W9900</t>
  </si>
  <si>
    <t>W9901</t>
  </si>
  <si>
    <t>X4998</t>
  </si>
  <si>
    <t>X5011</t>
  </si>
  <si>
    <t>W9902</t>
  </si>
  <si>
    <t>X5012</t>
  </si>
  <si>
    <t>W9903</t>
  </si>
  <si>
    <t>W9904</t>
  </si>
  <si>
    <t>fact 7154,7155</t>
  </si>
  <si>
    <t>fact 2342,2343</t>
  </si>
  <si>
    <t>Smithfield  ma 02/07/19  nl19-53</t>
  </si>
  <si>
    <t>fact 9001028188</t>
  </si>
  <si>
    <t>intercam $29,570.63</t>
  </si>
  <si>
    <t>P 45.30 H09768</t>
  </si>
  <si>
    <t>fact 7158,7159</t>
  </si>
  <si>
    <t>fact 2044, 2045</t>
  </si>
  <si>
    <t>P 45.30 H09896</t>
  </si>
  <si>
    <t>45 cajas</t>
  </si>
  <si>
    <t>fact 71730</t>
  </si>
  <si>
    <t>NC aplicada a esta factura</t>
  </si>
  <si>
    <t>Adams International  lu 17/06/19</t>
  </si>
  <si>
    <t>fact 71799</t>
  </si>
  <si>
    <t>Adams International  mi 19/06/19</t>
  </si>
  <si>
    <t>fact 71983</t>
  </si>
  <si>
    <t>Adams International  mi 26/06/19</t>
  </si>
  <si>
    <t>150 cajas</t>
  </si>
  <si>
    <t>fact 72041</t>
  </si>
  <si>
    <t>Adams International  ju 27/06/19</t>
  </si>
  <si>
    <t>16 combos</t>
  </si>
  <si>
    <t>fact 2351,2352</t>
  </si>
  <si>
    <t>fact 7164,7165</t>
  </si>
  <si>
    <t>NLSE19-160</t>
  </si>
  <si>
    <t>NLSE19-161</t>
  </si>
  <si>
    <t>NLSE19-162</t>
  </si>
  <si>
    <t>NLSE19-163</t>
  </si>
  <si>
    <t>NLSE19-164</t>
  </si>
  <si>
    <t>NLSE19-165</t>
  </si>
  <si>
    <t>NLSE19-166</t>
  </si>
  <si>
    <t>NLSE19-167</t>
  </si>
  <si>
    <t>NLSE19-168</t>
  </si>
  <si>
    <t>NLSE19-169</t>
  </si>
  <si>
    <t>NLSE19-170</t>
  </si>
  <si>
    <t>Ideal Trading ma 02/07/19  nlp105</t>
  </si>
  <si>
    <t>fact 202409</t>
  </si>
  <si>
    <t>intercam $23,350.16</t>
  </si>
  <si>
    <t>fact 7171,7172,2354,2355</t>
  </si>
  <si>
    <t>P 45.20 H10178</t>
  </si>
  <si>
    <t>P 45.20 H10179</t>
  </si>
  <si>
    <t>fact 038H27823A</t>
  </si>
  <si>
    <t>038H27823A</t>
  </si>
  <si>
    <t>Porc Soto  lu 24/06/19</t>
  </si>
  <si>
    <t>fact 2040,2041</t>
  </si>
  <si>
    <t>fact 2329, 2330</t>
  </si>
  <si>
    <t>Agrop El Dorado  lu 24/06/19</t>
  </si>
  <si>
    <t>Agrop El Dorado ma 25/06/19</t>
  </si>
  <si>
    <t>fact 7148,7149</t>
  </si>
  <si>
    <t>fact 7146, 7147</t>
  </si>
  <si>
    <t>Agrop El Topete  ju 27/06/19</t>
  </si>
  <si>
    <t>fact 7154, 7155</t>
  </si>
  <si>
    <t>Agrop El Dorado  ju 27/06/19</t>
  </si>
  <si>
    <t>H09768</t>
  </si>
  <si>
    <t>H09896</t>
  </si>
  <si>
    <t>H09625</t>
  </si>
  <si>
    <t>Agrop El Topete  mi 26/06/19</t>
  </si>
  <si>
    <t>Agrop El Topete  vi 28/06/19</t>
  </si>
  <si>
    <t>fact 7158, 7159</t>
  </si>
  <si>
    <t>Porc Soto  vi 28/06/19</t>
  </si>
  <si>
    <t>Agrop El Topete  do 30/06/19</t>
  </si>
  <si>
    <t>Agrop El Dorado  do 30/06/19</t>
  </si>
  <si>
    <t>CIERRE AL 30 DE JUNIO DE 2019</t>
  </si>
  <si>
    <t>fact 577</t>
  </si>
  <si>
    <t>fact 73170</t>
  </si>
  <si>
    <t>fact 73285</t>
  </si>
  <si>
    <t>hoja + 9.5 ju 04 jul</t>
  </si>
  <si>
    <t>hoja + 10  ju 04 jul</t>
  </si>
  <si>
    <t>fact 1634198</t>
  </si>
  <si>
    <t>fact 1634199</t>
  </si>
  <si>
    <t>fact 7176,7177,2360,2361</t>
  </si>
  <si>
    <t>45.4 esta vendiendo Mirasol</t>
  </si>
  <si>
    <t>H10179</t>
  </si>
  <si>
    <t>H10178</t>
  </si>
  <si>
    <t>rem 382</t>
  </si>
  <si>
    <t>rem 379</t>
  </si>
  <si>
    <t>P 44.70  H10313</t>
  </si>
  <si>
    <t>fact 578</t>
  </si>
  <si>
    <t>fact 7182,7183</t>
  </si>
  <si>
    <t>fact 2365,2366</t>
  </si>
  <si>
    <t>P 44.60 H10445</t>
  </si>
  <si>
    <t>hoja + 10.5  ju 04 jul</t>
  </si>
  <si>
    <t>hoja + 10.5 vi 05 jul</t>
  </si>
  <si>
    <t>hoja + 9.5  vi 05 jul</t>
  </si>
  <si>
    <t>hoja + 10.5  ma 09 jul</t>
  </si>
  <si>
    <t>nl19-56</t>
  </si>
  <si>
    <t>nl19-61</t>
  </si>
  <si>
    <t>nlp106</t>
  </si>
  <si>
    <t>nlse19-158</t>
  </si>
  <si>
    <t>nl19-54</t>
  </si>
  <si>
    <t>nlse19-159</t>
  </si>
  <si>
    <t>Tyson  mi  17/06/19  W9900</t>
  </si>
  <si>
    <t>Tyson  mi  17/06/19  W9901</t>
  </si>
  <si>
    <t>Seaboard  ju 18/07/19  nlse19-160</t>
  </si>
  <si>
    <t>Seaboard  sa 20/07/19  nlse19-161</t>
  </si>
  <si>
    <t>Ideal Trading  ma 09/07/19 nlp106</t>
  </si>
  <si>
    <t>Smithfield  vi 12/07/19  nl19-54</t>
  </si>
  <si>
    <t>intercam $30,500.00</t>
  </si>
  <si>
    <t>fact 1634549</t>
  </si>
  <si>
    <t>Smithfield  ma 09/07/19  nl19-61</t>
  </si>
  <si>
    <t>fact 9001043668</t>
  </si>
  <si>
    <t>intercam $28,920.52</t>
  </si>
  <si>
    <t>fact 7185,7186</t>
  </si>
  <si>
    <t>fact 2369, 2370</t>
  </si>
  <si>
    <t>H10214</t>
  </si>
  <si>
    <t>H10313</t>
  </si>
  <si>
    <t>P 44.60 H10593</t>
  </si>
  <si>
    <t>fact 7192, 7193</t>
  </si>
  <si>
    <t>fact 2375, 2376</t>
  </si>
  <si>
    <t>P 44.60 H10721</t>
  </si>
  <si>
    <t>Smithfield ma 09/06/19  nl19-56</t>
  </si>
  <si>
    <t>fact 9001046465</t>
  </si>
  <si>
    <t>intercam $29,919.05</t>
  </si>
  <si>
    <t>Agrop El Topete  lu 01/07/19</t>
  </si>
  <si>
    <t>fact 7171,7172</t>
  </si>
  <si>
    <t>fact 2354,2355</t>
  </si>
  <si>
    <t>Agrop El Dorado lu 01/07/19</t>
  </si>
  <si>
    <t>Agrop El Topete  ma 02/07/19</t>
  </si>
  <si>
    <t>fact 7176,7177</t>
  </si>
  <si>
    <t>fact 2360, 2361</t>
  </si>
  <si>
    <t>Agrop El Dorado ma 02/07/19</t>
  </si>
  <si>
    <t>Agrop El Topete  mi 03/07/19</t>
  </si>
  <si>
    <t>Agrop El Dorado  mi 03/07/19</t>
  </si>
  <si>
    <t>Agrop El Topete ju 04/07/19</t>
  </si>
  <si>
    <t>Agrop El Dorado  ju 04/07/19</t>
  </si>
  <si>
    <t>Agrop El Topete  vi 05/07/19</t>
  </si>
  <si>
    <t>fact 7192,7193</t>
  </si>
  <si>
    <t>Agrop El Dorado  vi 05/07/19</t>
  </si>
  <si>
    <t>92 cajas</t>
  </si>
  <si>
    <t>fact 608</t>
  </si>
  <si>
    <t>Guillermo Muñoz  vi 29/06/19</t>
  </si>
  <si>
    <t>menudo excel 86M</t>
  </si>
  <si>
    <t>Marimex  lu 01/07/19</t>
  </si>
  <si>
    <t>fact PUI9700</t>
  </si>
  <si>
    <t>Basa y Tilapia</t>
  </si>
  <si>
    <t>46 /  46</t>
  </si>
  <si>
    <t>fact HC2065</t>
  </si>
  <si>
    <t>Roel   mi 03/07/19</t>
  </si>
  <si>
    <t>fact 72187</t>
  </si>
  <si>
    <t>fact 72271</t>
  </si>
  <si>
    <t>Adams International  ju 04/07/19</t>
  </si>
  <si>
    <t>Adams International  sa 06/07/19</t>
  </si>
  <si>
    <t>fact 7197,7198</t>
  </si>
  <si>
    <t>fact 2058,2059</t>
  </si>
  <si>
    <t>P 44.60  H10882</t>
  </si>
  <si>
    <t>Agrop El Topete  do 07/07/19</t>
  </si>
  <si>
    <t>fact 7197, 7198</t>
  </si>
  <si>
    <t>fact 2058, 2059</t>
  </si>
  <si>
    <t>Porc Soto  do 07/07/19</t>
  </si>
  <si>
    <t>H10593</t>
  </si>
  <si>
    <t>H10445</t>
  </si>
  <si>
    <t>H10579</t>
  </si>
  <si>
    <t>fact 7199,7200,2060, 2061</t>
  </si>
  <si>
    <t>H10721</t>
  </si>
  <si>
    <t>H10893</t>
  </si>
  <si>
    <t>rem 397</t>
  </si>
  <si>
    <t>nl19-57</t>
  </si>
  <si>
    <t>nlp107</t>
  </si>
  <si>
    <t>hoja + 9.5 ju 11 jul</t>
  </si>
  <si>
    <t>hoja + 10  ju 11 jul</t>
  </si>
  <si>
    <t>hoja + 10.5  ju 11 jul</t>
  </si>
  <si>
    <t>claim 54921</t>
  </si>
  <si>
    <t>reclamo por combos rotos de carga W9862</t>
  </si>
  <si>
    <t>069I06824A</t>
  </si>
  <si>
    <t>069I06825A</t>
  </si>
  <si>
    <t>fact 069I06824A</t>
  </si>
  <si>
    <t>fact 069I06825A</t>
  </si>
  <si>
    <t>bonificacion de 580usd por venir mal combos en carga</t>
  </si>
  <si>
    <t>nlse19-160</t>
  </si>
  <si>
    <t>nl19-58</t>
  </si>
  <si>
    <t>nlse19-161</t>
  </si>
  <si>
    <t>hoja + 10.5 vi 12 jul</t>
  </si>
  <si>
    <t>hoja + 9.5  vi 12 jul</t>
  </si>
  <si>
    <t>hoja + 10.5  ma 16 jul</t>
  </si>
  <si>
    <t>fact 202411</t>
  </si>
  <si>
    <t>intercam $28,866.77</t>
  </si>
  <si>
    <t>fact 9001051765</t>
  </si>
  <si>
    <t>intercam $28,122.82</t>
  </si>
  <si>
    <t>fact 7206,7207,2064,2065</t>
  </si>
  <si>
    <t>P 44.60   H10983</t>
  </si>
  <si>
    <t>P 44.50 H11111</t>
  </si>
  <si>
    <t>H10882</t>
  </si>
  <si>
    <t>hoja + 9.5 mi 17 jul</t>
  </si>
  <si>
    <t>hoja + 10  ju 18 jul</t>
  </si>
  <si>
    <t>hoja + 10.5  mi 17 jul</t>
  </si>
  <si>
    <t>hoja + 9.5  vi 19 jul</t>
  </si>
  <si>
    <t>hoja + 10.5 vi 19 jul</t>
  </si>
  <si>
    <t>hoja + 10.5 lu 22 jul</t>
  </si>
  <si>
    <t>hoja + 10.5  ma 23 jul</t>
  </si>
  <si>
    <t>nlp108</t>
  </si>
  <si>
    <t>nlse19-162</t>
  </si>
  <si>
    <t>nlse19-163</t>
  </si>
  <si>
    <t>hoja + 10.5 vi 26 jul</t>
  </si>
  <si>
    <t>hoja + 10.5  ma 30 jul</t>
  </si>
  <si>
    <t>hoja + 9.5 ju 25 jul</t>
  </si>
  <si>
    <t>hoja + 10.5  ju 25 jul</t>
  </si>
  <si>
    <t>Agosto 2019</t>
  </si>
  <si>
    <t>nl19-55</t>
  </si>
  <si>
    <t>nlp109</t>
  </si>
  <si>
    <t>nlse19-164</t>
  </si>
  <si>
    <t>nlse19-165</t>
  </si>
  <si>
    <t>nlse19-166</t>
  </si>
  <si>
    <t>fact 7209,7210,2389.2390</t>
  </si>
  <si>
    <t>45.5 min 21 puercos</t>
  </si>
  <si>
    <t>P 44.50 H11229</t>
  </si>
  <si>
    <t>fact 1636901</t>
  </si>
  <si>
    <t>fact 1636902</t>
  </si>
  <si>
    <t>intercam $32,500.00</t>
  </si>
  <si>
    <t>Tyson  ma 23/07/19  X4998</t>
  </si>
  <si>
    <t>Tyson  ma 23/07/19  X5011</t>
  </si>
  <si>
    <t>combo $36</t>
  </si>
  <si>
    <t>fact 7217,7218</t>
  </si>
  <si>
    <t>fact 2393,2394</t>
  </si>
  <si>
    <t>H11229</t>
  </si>
  <si>
    <t>H11111</t>
  </si>
  <si>
    <t>H10983</t>
  </si>
  <si>
    <t>hoja + 10  lu 15 jul</t>
  </si>
  <si>
    <t>nlp110</t>
  </si>
  <si>
    <t>P 44.60 H11381</t>
  </si>
  <si>
    <t>fact 7221,7222</t>
  </si>
  <si>
    <t>230 cajas</t>
  </si>
  <si>
    <t>fact HC</t>
  </si>
  <si>
    <t>Roel   ma 09/07/19</t>
  </si>
  <si>
    <t>HC2093</t>
  </si>
  <si>
    <t>54 cajas</t>
  </si>
  <si>
    <t>fact 72331</t>
  </si>
  <si>
    <t>131 cajas</t>
  </si>
  <si>
    <t>fact 72352</t>
  </si>
  <si>
    <t>Adams International  ma 09/07/19</t>
  </si>
  <si>
    <t>corbata al vacio swift</t>
  </si>
  <si>
    <t>Adams International  mi 10/07/19</t>
  </si>
  <si>
    <t>fact 72369</t>
  </si>
  <si>
    <t>Seaboard  vi  26/07/19  nlse19-167</t>
  </si>
  <si>
    <t>Seaboard  ju 25/07/19  nlse19-162</t>
  </si>
  <si>
    <t>Seaboard  sa 27/07/19  nlse19-163</t>
  </si>
  <si>
    <t>Tyson  mi 31/07/19  W9902</t>
  </si>
  <si>
    <t>Seaboard  ju 01/08/19  nlse19-164</t>
  </si>
  <si>
    <t>Seaboard  ju 01/08/19  nlse19-165</t>
  </si>
  <si>
    <t>Seaboard  sa 03/8/19  nlse19-166</t>
  </si>
  <si>
    <t>Smithfield  ma 16/07/19  nl19-57</t>
  </si>
  <si>
    <t>Ideal Trading  ma 16/07/19 nlp107</t>
  </si>
  <si>
    <t>Ideal Trading  vi 19/07/19  nlp110</t>
  </si>
  <si>
    <t>Smithfield  vi 19/07/19  nl19-58</t>
  </si>
  <si>
    <t>P 44.60 H11525</t>
  </si>
  <si>
    <t>fact 72437</t>
  </si>
  <si>
    <t>Adams International  vi 12/07/19</t>
  </si>
  <si>
    <t>Agrop El Topete  lu 08/07/19</t>
  </si>
  <si>
    <t>fact 2060,2061</t>
  </si>
  <si>
    <t>Porc Soto  lu 08/07/19</t>
  </si>
  <si>
    <t>fact 9001060923</t>
  </si>
  <si>
    <t>intercam $31,919.72</t>
  </si>
  <si>
    <t>Agrop El Topete  ma 09/07/19</t>
  </si>
  <si>
    <t>fact 7206,7207</t>
  </si>
  <si>
    <t>fact 2064,2065</t>
  </si>
  <si>
    <t>Porc Soto  ma 09/07/19</t>
  </si>
  <si>
    <t>Agrop El Topete  mi 10/07/19</t>
  </si>
  <si>
    <t>fact 7209,7210</t>
  </si>
  <si>
    <t>fact 2389, 2390</t>
  </si>
  <si>
    <t>Agrop El Dorado  mi 10/07/19</t>
  </si>
  <si>
    <t>Agrop El Topete  ju 11/07/19</t>
  </si>
  <si>
    <t>Agrop El Dorado  ju 11/07/19</t>
  </si>
  <si>
    <t>Agrop El Topete  vi 12/07/19</t>
  </si>
  <si>
    <t>fact 7221, 7222</t>
  </si>
  <si>
    <t>fact 2071,2072</t>
  </si>
  <si>
    <t>Porc Soto  vi 12/07/19</t>
  </si>
  <si>
    <t>H11381</t>
  </si>
  <si>
    <t>fact 202415</t>
  </si>
  <si>
    <t>intercam $31,864.81</t>
  </si>
  <si>
    <t>fact 7226,7227</t>
  </si>
  <si>
    <t>fact 3479, 3480</t>
  </si>
  <si>
    <t>P 44  H11698</t>
  </si>
  <si>
    <t>H11525</t>
  </si>
  <si>
    <t>fact 038I12824A</t>
  </si>
  <si>
    <t>fact 088I11824A</t>
  </si>
  <si>
    <t>038I12824A</t>
  </si>
  <si>
    <t>088I11824A</t>
  </si>
  <si>
    <t>fact 9001067056</t>
  </si>
  <si>
    <t>intercam $31,748.68</t>
  </si>
  <si>
    <t>fact 7228,229</t>
  </si>
  <si>
    <t>H11698</t>
  </si>
  <si>
    <t>intercam $34,500.00</t>
  </si>
  <si>
    <t>fact 591</t>
  </si>
  <si>
    <t>Porcicola Soto lu 15/07/19</t>
  </si>
  <si>
    <t>fact 2075,2076</t>
  </si>
  <si>
    <t>Agrop El Topete lu 15/07/19</t>
  </si>
  <si>
    <t>fact 7228,7229</t>
  </si>
  <si>
    <t>Porc San Bernardo do 14/07/19</t>
  </si>
  <si>
    <t>fact 3479,3480</t>
  </si>
  <si>
    <t>Agrop El Topete do 14/07/19</t>
  </si>
  <si>
    <t>Juan Pablo Torres ma 16/07/19</t>
  </si>
  <si>
    <t>H11806</t>
  </si>
  <si>
    <t>fact 1141684</t>
  </si>
  <si>
    <t>Ryc Alimentos ju 18/07/19</t>
  </si>
  <si>
    <t>fact 2489,2490</t>
  </si>
  <si>
    <t>fact 7238,7239</t>
  </si>
  <si>
    <t>fact 202418</t>
  </si>
  <si>
    <t>intercam $29,566.41</t>
  </si>
  <si>
    <t>P 44 H11806</t>
  </si>
  <si>
    <t>P 43.50 H12068</t>
  </si>
  <si>
    <t xml:space="preserve">factura de matanza sin iva </t>
  </si>
  <si>
    <t>H12068</t>
  </si>
  <si>
    <t>Marimex  ju 18/07/19</t>
  </si>
  <si>
    <t>fact PUI9916</t>
  </si>
  <si>
    <t>fil Basa y salmon</t>
  </si>
  <si>
    <t>45  / 170</t>
  </si>
  <si>
    <t>5/7 Baja bay</t>
  </si>
  <si>
    <t>Porcion 2/4</t>
  </si>
  <si>
    <t>Salmon</t>
  </si>
  <si>
    <t>fact 1057</t>
  </si>
  <si>
    <t>fact 7243,7244</t>
  </si>
  <si>
    <t>fact 7245,7246,4892,4893</t>
  </si>
  <si>
    <t>fact 1639867</t>
  </si>
  <si>
    <t>fact 1638869</t>
  </si>
  <si>
    <t>Las Reses y Soto</t>
  </si>
  <si>
    <t>fact 2083,2084,7249</t>
  </si>
  <si>
    <t>Smithfield  ma 23/07/19  nl19-59</t>
  </si>
  <si>
    <t>fact 9001072460</t>
  </si>
  <si>
    <t>intercam $33,239.68</t>
  </si>
  <si>
    <t>Smithfield  mi  24/07/19  nl19-60</t>
  </si>
  <si>
    <t>fact 9001077761</t>
  </si>
  <si>
    <t>intercam $35,048.48</t>
  </si>
  <si>
    <t>nl19-59</t>
  </si>
  <si>
    <t>nl19-60</t>
  </si>
  <si>
    <t>Ideal Trading lu 22/07/19 nlp108</t>
  </si>
  <si>
    <t>fact 202421</t>
  </si>
  <si>
    <t>intercam $34,183.06</t>
  </si>
  <si>
    <t>fact 7253</t>
  </si>
  <si>
    <t>fact 6962</t>
  </si>
  <si>
    <t>P 43.40 H12211</t>
  </si>
  <si>
    <t>P 43.20 H12529</t>
  </si>
  <si>
    <t>fact 7251,7252</t>
  </si>
  <si>
    <t>fact 4900,4901</t>
  </si>
  <si>
    <t xml:space="preserve">Agrop La Chemita </t>
  </si>
  <si>
    <t>fact 73682</t>
  </si>
  <si>
    <t>transfer Bancomer</t>
  </si>
  <si>
    <t>fact 088I17823A</t>
  </si>
  <si>
    <t>fact 069I19834A</t>
  </si>
  <si>
    <t>069I19834A</t>
  </si>
  <si>
    <t>088I17823A</t>
  </si>
  <si>
    <t>vta 39</t>
  </si>
  <si>
    <t>P 43.20  H12641</t>
  </si>
  <si>
    <t>7/9ensenada</t>
  </si>
  <si>
    <t>3/5 Mares</t>
  </si>
  <si>
    <t>nlp111</t>
  </si>
  <si>
    <t>hoja + 10  lu 29 jul</t>
  </si>
  <si>
    <t>H12211</t>
  </si>
  <si>
    <t>H12529</t>
  </si>
  <si>
    <t>fact 6992, 6993</t>
  </si>
  <si>
    <t>intercam $42,000.00</t>
  </si>
  <si>
    <t>fact 1641723</t>
  </si>
  <si>
    <t>Porc San Bernardo ju 17/08/19</t>
  </si>
  <si>
    <t>fact 3489,3490</t>
  </si>
  <si>
    <t>Agrop El Topete  17/08/19</t>
  </si>
  <si>
    <t>Agrop El Topete ju 18/07/19</t>
  </si>
  <si>
    <t>fact 7243,7244,374</t>
  </si>
  <si>
    <t>fact 7245,7246</t>
  </si>
  <si>
    <t>Agrop La Chemita ju 18/07/19</t>
  </si>
  <si>
    <t>fact 4892,4893</t>
  </si>
  <si>
    <t>Agrop Las Reses vi 19/07/19</t>
  </si>
  <si>
    <t>fact 7249</t>
  </si>
  <si>
    <t>Porcicola Soto vi 19/07/19</t>
  </si>
  <si>
    <t>Agrop La Gaby do 21/07/19</t>
  </si>
  <si>
    <t>Agrop Las Reses do 21/07/19</t>
  </si>
  <si>
    <t>fact 1082</t>
  </si>
  <si>
    <t>Agrop Las Reses lu 22/07/19</t>
  </si>
  <si>
    <t>Agrop La Chemita lu 22/07/19</t>
  </si>
  <si>
    <t>fact 7256,7257,394,3494,3497</t>
  </si>
  <si>
    <t>Agrop Las Reses mi 24/07/19</t>
  </si>
  <si>
    <t>fact 7256,7257,394</t>
  </si>
  <si>
    <t>Porcicola San Bernardo mi 24/07/19</t>
  </si>
  <si>
    <t>fact 3494,3497</t>
  </si>
  <si>
    <t>Juan Pablo Torres ma 23/07/19</t>
  </si>
  <si>
    <t>nlse19-167</t>
  </si>
  <si>
    <t>fact 1642082</t>
  </si>
  <si>
    <t>P 42.70  H12874</t>
  </si>
  <si>
    <t>fact 72553</t>
  </si>
  <si>
    <t>Adams International  mi 17/07/19</t>
  </si>
  <si>
    <t>Tyson  lu 28/08/19  X5012</t>
  </si>
  <si>
    <t>640 cajas</t>
  </si>
  <si>
    <t>H12641</t>
  </si>
  <si>
    <t>H12715</t>
  </si>
  <si>
    <t>H12695</t>
  </si>
  <si>
    <t>puerco vivo</t>
  </si>
  <si>
    <t>fact 2083</t>
  </si>
  <si>
    <t>DELTA</t>
  </si>
  <si>
    <t>hoja + 10  vi 26 jul</t>
  </si>
  <si>
    <t>fact 4913,4914</t>
  </si>
  <si>
    <t>Agrop Las Reses ju 25/07/19</t>
  </si>
  <si>
    <t>Agrop La Chemita ju 25/07/19</t>
  </si>
  <si>
    <t>fact 7259,7260</t>
  </si>
  <si>
    <t>fact 4908,4909</t>
  </si>
  <si>
    <t>Agrop Las Reses vi 26/07/19</t>
  </si>
  <si>
    <t>Agrop La Chemita vi 26/07/19</t>
  </si>
  <si>
    <t xml:space="preserve"> Las Reses, sn Bernardo</t>
  </si>
  <si>
    <t>fact 1642081</t>
  </si>
  <si>
    <t>Smithfield  ma 30/07/19  nl19-55</t>
  </si>
  <si>
    <t>fact 9001090501</t>
  </si>
  <si>
    <t>intercam $41,055.10</t>
  </si>
  <si>
    <t>H13046</t>
  </si>
  <si>
    <t>P 42.70 H13046</t>
  </si>
  <si>
    <t>P 42.60 H13157</t>
  </si>
  <si>
    <t>factura 7222 de matanza sin iva</t>
  </si>
  <si>
    <t>Dist pepe Filete de Puebla vi19 y do 21</t>
  </si>
  <si>
    <t>fact 22459,22461, 22460</t>
  </si>
  <si>
    <t>matanzas en Delta</t>
  </si>
  <si>
    <t>Tyson  mi 07/08/19  W9903</t>
  </si>
  <si>
    <t>Seaboard  ju 08/08/19  nlse19-168</t>
  </si>
  <si>
    <t>Seaboard  vi 09/08/19  nlse19-169</t>
  </si>
  <si>
    <t>Seaboard  sa 10/08/19  nlse19-170</t>
  </si>
  <si>
    <t>Ideal Trading  ju 01/08/19 nlp109</t>
  </si>
  <si>
    <t>intercam $45,500.00</t>
  </si>
  <si>
    <t>Cuero panceta Ind</t>
  </si>
  <si>
    <t>fact 72877</t>
  </si>
  <si>
    <t>fact 7275,7276</t>
  </si>
  <si>
    <t>fact 7271,7272</t>
  </si>
  <si>
    <t>H12874</t>
  </si>
  <si>
    <t>H13157</t>
  </si>
  <si>
    <t>P 42.60  H13340</t>
  </si>
  <si>
    <t>263 cajas</t>
  </si>
  <si>
    <t>fact 1144302</t>
  </si>
  <si>
    <t>Ryc Aiimentos  sa 27/06/19</t>
  </si>
  <si>
    <t>canal faltante</t>
  </si>
  <si>
    <t>fact 612</t>
  </si>
  <si>
    <t>intercam $41,000.00</t>
  </si>
  <si>
    <t>fact 7263,7264,395</t>
  </si>
  <si>
    <t>fact 7280,7281</t>
  </si>
  <si>
    <t>fact 2414,2415</t>
  </si>
  <si>
    <t>Agrop Las Reses do 28/07/19</t>
  </si>
  <si>
    <t>069I26820A</t>
  </si>
  <si>
    <t>P 42.65 H13439</t>
  </si>
  <si>
    <t>fact 202425</t>
  </si>
  <si>
    <t>intercam $40,263.71</t>
  </si>
  <si>
    <t>NO PAGAR HASTA TENER LA NOTA DE CREDITO</t>
  </si>
  <si>
    <t>Porc Soto,Las Reses</t>
  </si>
  <si>
    <t>fact 2094,2095,7283,7284</t>
  </si>
  <si>
    <t>Porcicola Soto mi 31/7/19</t>
  </si>
  <si>
    <t>fact 2094,2095</t>
  </si>
  <si>
    <t>Agrop Las Reses mi 31/7/19</t>
  </si>
  <si>
    <t>fact 7283,7284</t>
  </si>
  <si>
    <t>Jua Pablo Torres ma 30/07/19</t>
  </si>
  <si>
    <t>Cabeza c/papada</t>
  </si>
  <si>
    <t>67 cajas</t>
  </si>
  <si>
    <t>fact a14 8192</t>
  </si>
  <si>
    <t>Granjero Feliz</t>
  </si>
  <si>
    <t>fact 72910</t>
  </si>
  <si>
    <t>fact 1644088</t>
  </si>
  <si>
    <t>fact 1644089</t>
  </si>
  <si>
    <t>Granjero Feliz ma 30/07/19</t>
  </si>
  <si>
    <t>fact A14 8192</t>
  </si>
  <si>
    <t>3/5 3 Mares</t>
  </si>
  <si>
    <t>221 pzas</t>
  </si>
  <si>
    <t>fact PUI10088</t>
  </si>
  <si>
    <t>Marimex lu 29/07/19</t>
  </si>
  <si>
    <t xml:space="preserve">GF </t>
  </si>
  <si>
    <t>Adams Internacional lu 29/07/19</t>
  </si>
  <si>
    <t>P 42.60 H13548</t>
  </si>
  <si>
    <t>Allience Price</t>
  </si>
  <si>
    <t>hoja + 10.5  mi 31 jul</t>
  </si>
  <si>
    <t>H13340</t>
  </si>
  <si>
    <t>Cabeza s/papada</t>
  </si>
  <si>
    <t>Keken</t>
  </si>
  <si>
    <t>88 cajas</t>
  </si>
  <si>
    <t>Alliance Price</t>
  </si>
  <si>
    <t>nl19-62</t>
  </si>
  <si>
    <t>nlp112</t>
  </si>
  <si>
    <t>hoja + 9.5 ju 01 ago</t>
  </si>
  <si>
    <t>hoja + 10  ju 01 ago</t>
  </si>
  <si>
    <t>hoja + 10.5  ju 01 ago</t>
  </si>
  <si>
    <t>hoja + 10.5 vi 02 ago</t>
  </si>
  <si>
    <t>nlp116</t>
  </si>
  <si>
    <t>hoja + 10  vi 02 ago</t>
  </si>
  <si>
    <t>hoja + 10.5 lu 05 ago</t>
  </si>
  <si>
    <t>nlse19-170</t>
  </si>
  <si>
    <t>w9903</t>
  </si>
  <si>
    <t>nlse19-168</t>
  </si>
  <si>
    <t>nlse19-169</t>
  </si>
  <si>
    <t>hoja + 9.5 ju 08 ago</t>
  </si>
  <si>
    <t>hoja + 10.5 vi 09 ago</t>
  </si>
  <si>
    <t>hoja + 10.5  lu 12 ago</t>
  </si>
  <si>
    <t>hoja + 10.5  ma 13 ago</t>
  </si>
  <si>
    <t>fact 7286,7287</t>
  </si>
  <si>
    <t>fact 2418,2419</t>
  </si>
  <si>
    <t>Agrop Las Reses ju 01/08/19</t>
  </si>
  <si>
    <t>Agrop El Dorado ju 01/08/19</t>
  </si>
  <si>
    <t>P 42.10 H13637</t>
  </si>
  <si>
    <t>Ideal Trading vi 02/08/19</t>
  </si>
  <si>
    <t>fact 202426</t>
  </si>
  <si>
    <t>intercam $40,195.66</t>
  </si>
  <si>
    <t>H13548</t>
  </si>
  <si>
    <t>H13637</t>
  </si>
  <si>
    <t>791 cajas</t>
  </si>
  <si>
    <t>nl19-63</t>
  </si>
  <si>
    <t>nlp113</t>
  </si>
  <si>
    <t>nlse19-171</t>
  </si>
  <si>
    <t>nl19-66</t>
  </si>
  <si>
    <t>nlse19-172</t>
  </si>
  <si>
    <t>Cierre al 31 de julio de 2019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</si>
  <si>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</si>
  <si>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</si>
  <si>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</si>
  <si>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</si>
  <si>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</si>
  <si>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</si>
  <si>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</si>
  <si>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</si>
  <si>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</si>
  <si>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</si>
  <si>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nl19-64</t>
  </si>
  <si>
    <t>nlp114</t>
  </si>
  <si>
    <t>nl19-67</t>
  </si>
  <si>
    <t>nlse19-173</t>
  </si>
  <si>
    <t>nlse19-174</t>
  </si>
  <si>
    <t>nlse19-175</t>
  </si>
  <si>
    <t>hoja + 9.5 ju 15 ago</t>
  </si>
  <si>
    <t>hoja + 10  ju 15 ago</t>
  </si>
  <si>
    <t>hoja + 10.5  ju 15 ago</t>
  </si>
  <si>
    <t>hoja + 10.5 vi 16 ago</t>
  </si>
  <si>
    <t>hoja + 10.5  lu 19 ago</t>
  </si>
  <si>
    <t>hoja + 10.5  ma 20 ago</t>
  </si>
  <si>
    <t>nl19-65</t>
  </si>
  <si>
    <t>nlp115</t>
  </si>
  <si>
    <t>nlse19-176</t>
  </si>
  <si>
    <t>nlse19-177</t>
  </si>
  <si>
    <t>hoja + 9.5 ju 22 ago</t>
  </si>
  <si>
    <t>hoja + 10  ju 22 ago</t>
  </si>
  <si>
    <t>hoja + 10.5 vi 23 ago</t>
  </si>
  <si>
    <t>hoja + 10.5  lu 26 ago</t>
  </si>
  <si>
    <t>hoja + 10.5  ma 27 ago</t>
  </si>
  <si>
    <t>Seaboard  ju 15/08/19  nlse19-171</t>
  </si>
  <si>
    <t>Ideal Trading vi 02/08/19  nlp111</t>
  </si>
  <si>
    <t>Smithfield  ma 06/08/19  nl19-62</t>
  </si>
  <si>
    <t>Ideal Trading  ma 06/08/19 nlp112</t>
  </si>
  <si>
    <t>Ideal Trading  vi 09/08/19 nlp116</t>
  </si>
  <si>
    <t>Seaboard  sa 17/08/19 nlse19-172</t>
  </si>
  <si>
    <t>Tyson  mi 21/08/19  32070</t>
  </si>
  <si>
    <t>Tyson  vi 23/08/19 32071</t>
  </si>
  <si>
    <t>Seaboard  ju 22/08/19  nlse19-173</t>
  </si>
  <si>
    <t>Seaboard  vi 23/08/19 nlse19-174</t>
  </si>
  <si>
    <t>Smithfield  ma 13/08/19 nl19-63</t>
  </si>
  <si>
    <t>Ideal Trading  ma 13/08/19  nlp113</t>
  </si>
  <si>
    <t>Smithfield  vi 16/08/19  nl19-66</t>
  </si>
  <si>
    <t>Seaboard  sa 24/08/19  nlse19-175</t>
  </si>
  <si>
    <t>Seaboard  ju 29/08/19  nlse19-176</t>
  </si>
  <si>
    <t>Tyson  vi 30/08/19  32072</t>
  </si>
  <si>
    <t>Tyson  vi 30/08/19  32073</t>
  </si>
  <si>
    <t>Smithfield  ma 20/08/19  nl19-64</t>
  </si>
  <si>
    <t>Ideal Trading  ma 20/08/19  nlp114</t>
  </si>
  <si>
    <t>Smithfield  ma 31/08/19  nl19-67</t>
  </si>
  <si>
    <t>septiembre</t>
  </si>
  <si>
    <t>Seaboard  sa 31/08/19  nlse19-177</t>
  </si>
  <si>
    <t>Tyson  mi 04/09/19  32075</t>
  </si>
  <si>
    <t>Tyson  mi 04/09/19  32076</t>
  </si>
  <si>
    <t>Tyson  mi 04/09/19  32077</t>
  </si>
  <si>
    <t>Seaboard  ju 05/09/19  nlse19-178</t>
  </si>
  <si>
    <t>Seaboard  vi 06/09/19  nlse19-179</t>
  </si>
  <si>
    <t>Seaboard  sa 07/09/19  nlse19-180</t>
  </si>
  <si>
    <t>Ideal Trading  ma 27/08/19  nlp115</t>
  </si>
  <si>
    <t>Smithfield  ma  27/0/19  nl19-65</t>
  </si>
  <si>
    <t>fact 1002</t>
  </si>
  <si>
    <t>F&amp;J trading Meat  ju 01/08/19</t>
  </si>
  <si>
    <t>sesos copa</t>
  </si>
  <si>
    <t>fact 7288,7289</t>
  </si>
  <si>
    <t>fact 2427,2428</t>
  </si>
  <si>
    <t>Agrop Las Reses vi 02/08/19</t>
  </si>
  <si>
    <t>Agrop El Dorado vi 02/08/19</t>
  </si>
  <si>
    <t>P 42.00 H13769</t>
  </si>
  <si>
    <t>fact 73922</t>
  </si>
  <si>
    <t>P 41.90 H13901</t>
  </si>
  <si>
    <t>fact 74210</t>
  </si>
  <si>
    <t>Pendiente de pago</t>
  </si>
  <si>
    <t>fact 1115</t>
  </si>
  <si>
    <t>Roel mi 31/07/19</t>
  </si>
  <si>
    <t>fact 2106,2107</t>
  </si>
  <si>
    <t>hoja + 10.5  ma 6 ago</t>
  </si>
  <si>
    <t>intercam $41,127.17</t>
  </si>
  <si>
    <t>Cuero panceta</t>
  </si>
  <si>
    <t>fact 73051</t>
  </si>
  <si>
    <t>Cuero panceta  ind</t>
  </si>
  <si>
    <t>Adams Internacional ma 30/07/19</t>
  </si>
  <si>
    <t>Adams Internacional lu 05/08/19</t>
  </si>
  <si>
    <t>Agrop Las Reses do 04/08/2019</t>
  </si>
  <si>
    <t>fact 7295,7296</t>
  </si>
  <si>
    <t>Porcicola Soto do 04/08/2019</t>
  </si>
  <si>
    <t>fact 1646383</t>
  </si>
  <si>
    <t>fact 9001105037</t>
  </si>
  <si>
    <t>H13439</t>
  </si>
  <si>
    <t>H13769</t>
  </si>
  <si>
    <t>fact 1009</t>
  </si>
  <si>
    <t>fact 1008</t>
  </si>
  <si>
    <t>F&amp;J trading Meat  Lu 05/08/19</t>
  </si>
  <si>
    <t>MenudoExcel</t>
  </si>
  <si>
    <t>factt 1009</t>
  </si>
  <si>
    <t>fact HC2257,035</t>
  </si>
  <si>
    <t>intercam 40,455.61</t>
  </si>
  <si>
    <t>fact 7300,7301</t>
  </si>
  <si>
    <t>Agrop Las Reses lu 05/08/19</t>
  </si>
  <si>
    <t>trr</t>
  </si>
  <si>
    <t>P 42.00 H14208</t>
  </si>
  <si>
    <t>H13901</t>
  </si>
  <si>
    <t>rem 474</t>
  </si>
  <si>
    <t>H14208</t>
  </si>
  <si>
    <t>182 cajas</t>
  </si>
  <si>
    <t>fact 1646763</t>
  </si>
  <si>
    <t>intercam $43,000.0</t>
  </si>
  <si>
    <t>fact 7307,7308</t>
  </si>
  <si>
    <t>Agrop Las Reses mi 07/08/2019</t>
  </si>
  <si>
    <t>455 cajas</t>
  </si>
  <si>
    <t>069J05825A</t>
  </si>
  <si>
    <t>fact 069J05825A</t>
  </si>
  <si>
    <t>fact 7309,7310,397</t>
  </si>
  <si>
    <t>fact 202429</t>
  </si>
  <si>
    <t>intercam $41,609.09</t>
  </si>
  <si>
    <t>164 cajas</t>
  </si>
  <si>
    <t>fact A14 8408</t>
  </si>
  <si>
    <t>Granjero Feliz mi  07/08/19</t>
  </si>
  <si>
    <t>fact 7314,7315</t>
  </si>
  <si>
    <t>Porcicola Soto</t>
  </si>
  <si>
    <t>fact 2114,2115</t>
  </si>
  <si>
    <t>Agrop Las Reses ju 08/08/2019</t>
  </si>
  <si>
    <t>Porcicola Soto ju 08/08/2019</t>
  </si>
  <si>
    <t>P 42.00 H14422</t>
  </si>
  <si>
    <t>P 41.90 H14423</t>
  </si>
  <si>
    <t>hoja + 10  vi 09 ago</t>
  </si>
  <si>
    <t>Juan Pablo Torres ma 06/08/19</t>
  </si>
  <si>
    <t>fact 7011,7012</t>
  </si>
  <si>
    <t>Agrop La Gaby vi 09/08/19</t>
  </si>
  <si>
    <t>Agrop La Chemita do 11/08/19</t>
  </si>
  <si>
    <t>fact 1647846</t>
  </si>
  <si>
    <t>fact 1647847</t>
  </si>
  <si>
    <t>intercam $44,000.00</t>
  </si>
  <si>
    <t>P 41.90 H14571</t>
  </si>
  <si>
    <t>fact 4959,4960,180</t>
  </si>
  <si>
    <t>Canal de res</t>
  </si>
  <si>
    <t>4 reses</t>
  </si>
  <si>
    <t>fact 609</t>
  </si>
  <si>
    <t>canal de res</t>
  </si>
  <si>
    <t>Guillermo Muñoz ju 29/07/19</t>
  </si>
  <si>
    <t>Ryc Alimentos sa 10/08/19</t>
  </si>
  <si>
    <t>contra</t>
  </si>
  <si>
    <t>H14531</t>
  </si>
  <si>
    <t>H14571</t>
  </si>
  <si>
    <t>rem 495</t>
  </si>
  <si>
    <t>rem 491</t>
  </si>
  <si>
    <t>H14422</t>
  </si>
  <si>
    <t>H14423</t>
  </si>
  <si>
    <t>rem 480</t>
  </si>
  <si>
    <t>rem 477</t>
  </si>
  <si>
    <t>rem 484</t>
  </si>
  <si>
    <t>rem 487</t>
  </si>
  <si>
    <t>intercam $41,578.02</t>
  </si>
  <si>
    <t>fact 9001124170</t>
  </si>
  <si>
    <t>Agrop La Chemita vi 09/08/19</t>
  </si>
  <si>
    <t>fact 4962,4963</t>
  </si>
  <si>
    <t>fact 7013,7014</t>
  </si>
  <si>
    <t>Agrop La Gaby do 11/08/19</t>
  </si>
  <si>
    <t>P 42.10 H14716</t>
  </si>
  <si>
    <t>fact 1147</t>
  </si>
  <si>
    <t>H14716</t>
  </si>
  <si>
    <t>intercam $43,000.00</t>
  </si>
  <si>
    <t>P 42.00 H14911</t>
  </si>
  <si>
    <t>hoja + 10.5  ju 8 ago</t>
  </si>
  <si>
    <t>616 cajas</t>
  </si>
  <si>
    <t>fact 4967,4968</t>
  </si>
  <si>
    <t>Tyson vi  16/08/19  29898</t>
  </si>
  <si>
    <t>Agrop La Gaby lu 12/08/19</t>
  </si>
  <si>
    <t>Agrop La Chemita lu 12/08/19</t>
  </si>
  <si>
    <t>Agrop Las Reses lu 29/07/2019</t>
  </si>
  <si>
    <t>Agrop El Dorado lu 29/07/19</t>
  </si>
  <si>
    <t>fact 9001127915</t>
  </si>
  <si>
    <t>intercam $39,813.80</t>
  </si>
  <si>
    <t>Ffact 069J09820A</t>
  </si>
  <si>
    <t>w4669</t>
  </si>
  <si>
    <t>fact 088J01826A</t>
  </si>
  <si>
    <t>Tyson  mi 07/08/19  W4669</t>
  </si>
  <si>
    <t>H14911</t>
  </si>
  <si>
    <t>rem 499</t>
  </si>
  <si>
    <t>rem 502</t>
  </si>
  <si>
    <t>Ryc Alimentos  sa 27/06/19</t>
  </si>
  <si>
    <t>fact 088J01822A</t>
  </si>
  <si>
    <t>088J01822A</t>
  </si>
  <si>
    <t>088J01826A</t>
  </si>
  <si>
    <t>069J09820A</t>
  </si>
  <si>
    <t>fact 202431</t>
  </si>
  <si>
    <t>intercam $40,723.34</t>
  </si>
  <si>
    <t>fact 1649368</t>
  </si>
  <si>
    <t>P 42.00 H15022</t>
  </si>
  <si>
    <t>fact 7025,7028</t>
  </si>
  <si>
    <t>Agrop La Gaby mi 14/08/19</t>
  </si>
  <si>
    <t>Tyson vi  16/08/19  32029</t>
  </si>
  <si>
    <t>fact 069J12822A</t>
  </si>
  <si>
    <t>069J12822A</t>
  </si>
  <si>
    <t>H15022</t>
  </si>
  <si>
    <t>rem 503</t>
  </si>
  <si>
    <t>rem505</t>
  </si>
  <si>
    <t>14/08/209</t>
  </si>
  <si>
    <t>fact 202427</t>
  </si>
  <si>
    <t>P 41.90 H15138</t>
  </si>
  <si>
    <t>fact 74533</t>
  </si>
  <si>
    <t>fact 2122,2123</t>
  </si>
  <si>
    <t>Agrop Las Reses ju 15/08/19</t>
  </si>
  <si>
    <t>Porcicola Soto ju 15/08/19</t>
  </si>
  <si>
    <t>H15138</t>
  </si>
  <si>
    <t>fact 2125,2126</t>
  </si>
  <si>
    <t>Porcicola Soto vi 16/08/19</t>
  </si>
  <si>
    <t>fact 1650587</t>
  </si>
  <si>
    <t>fact 9001135681</t>
  </si>
  <si>
    <t>intercam $34,108.27</t>
  </si>
  <si>
    <t>fact 7332,7333</t>
  </si>
  <si>
    <t>Agrop Las Reses vi 16/08/19</t>
  </si>
  <si>
    <t>P 40.50 H15374</t>
  </si>
  <si>
    <t>H15405</t>
  </si>
  <si>
    <t>rem 508</t>
  </si>
  <si>
    <t>rem 510</t>
  </si>
  <si>
    <t>rem 513</t>
  </si>
  <si>
    <t>fact 7329,7330,398</t>
  </si>
  <si>
    <t>fact 7332,7333,399</t>
  </si>
  <si>
    <t>H15241</t>
  </si>
  <si>
    <t>P 41.00 H15241</t>
  </si>
  <si>
    <t>fact 2130,2131</t>
  </si>
  <si>
    <t>fact 3523,3524</t>
  </si>
  <si>
    <t>Porcicola San Bernardo do 18/08/19</t>
  </si>
  <si>
    <t>Porcicola Soto do 18/08/19</t>
  </si>
  <si>
    <t>fact 9001139518</t>
  </si>
  <si>
    <t>intercam $32,572.17</t>
  </si>
  <si>
    <t>fact 1162</t>
  </si>
  <si>
    <t>Juan Pablo Torres ma 13/08/19</t>
  </si>
  <si>
    <t>fact 202435</t>
  </si>
  <si>
    <t>intercam $33,453.93</t>
  </si>
  <si>
    <t>P 40.50 H15720</t>
  </si>
  <si>
    <t>Intercam $15,000.00</t>
  </si>
  <si>
    <t>088J16826A</t>
  </si>
  <si>
    <t>fact 088J16826A</t>
  </si>
  <si>
    <t>H15720</t>
  </si>
  <si>
    <t>rem 519</t>
  </si>
  <si>
    <t>P 40.75 H15755</t>
  </si>
  <si>
    <t>Guillermo Eduardo Muñoz Monterd</t>
  </si>
  <si>
    <t>res</t>
  </si>
  <si>
    <t>intercam $18,000.00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</si>
</sst>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  <numFmt numFmtId="167" formatCode="_-&quot;$&quot;* #,##0.000_-;\-&quot;$&quot;* #,##0.000_-;_-&quot;$&quot;* &quot;-&quot;??_-;_-@_-"/>
    <numFmt numFmtId="168" formatCode="_-&quot;$&quot;* #,##0.0000_-;\-&quot;$&quot;* #,##0.00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1C5"/>
        <bgColor indexed="64"/>
      </patternFill>
    </fill>
    <fill>
      <patternFill patternType="solid">
        <fgColor rgb="FFF9910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8CF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A47C99"/>
        <bgColor indexed="64"/>
      </patternFill>
    </fill>
    <fill>
      <patternFill patternType="solid">
        <fgColor rgb="FF4D7A3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640F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9"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44" fontId="0" fillId="0" borderId="0" xfId="1" applyFont="1"/>
    <xf numFmtId="0" fontId="0" fillId="0" borderId="1" xfId="0" applyBorder="1"/>
    <xf numFmtId="4" fontId="0" fillId="0" borderId="1" xfId="0" applyNumberFormat="1" applyBorder="1" applyAlignment="1">
      <alignment wrapText="1"/>
    </xf>
    <xf numFmtId="4" fontId="2" fillId="0" borderId="1" xfId="0" applyNumberFormat="1" applyFont="1" applyBorder="1" applyAlignment="1">
      <alignment wrapText="1"/>
    </xf>
    <xf numFmtId="3" fontId="0" fillId="0" borderId="1" xfId="0" applyNumberFormat="1" applyBorder="1"/>
    <xf numFmtId="1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2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44" fontId="0" fillId="0" borderId="1" xfId="1" applyFont="1" applyBorder="1"/>
    <xf numFmtId="0" fontId="0" fillId="0" borderId="3" xfId="0" applyBorder="1"/>
    <xf numFmtId="0" fontId="4" fillId="0" borderId="3" xfId="0" applyFont="1" applyBorder="1"/>
    <xf numFmtId="4" fontId="4" fillId="0" borderId="3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9" fontId="4" fillId="0" borderId="3" xfId="0" applyNumberFormat="1" applyFont="1" applyBorder="1"/>
    <xf numFmtId="15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64" fontId="4" fillId="0" borderId="3" xfId="0" applyNumberFormat="1" applyFont="1" applyBorder="1"/>
    <xf numFmtId="44" fontId="0" fillId="0" borderId="3" xfId="1" applyFont="1" applyBorder="1"/>
    <xf numFmtId="14" fontId="0" fillId="0" borderId="5" xfId="0" applyNumberFormat="1" applyBorder="1"/>
    <xf numFmtId="0" fontId="3" fillId="2" borderId="6" xfId="0" applyFont="1" applyFill="1" applyBorder="1" applyAlignment="1">
      <alignment textRotation="255"/>
    </xf>
    <xf numFmtId="0" fontId="0" fillId="0" borderId="7" xfId="0" applyBorder="1"/>
    <xf numFmtId="0" fontId="4" fillId="0" borderId="0" xfId="0" applyFont="1"/>
    <xf numFmtId="4" fontId="4" fillId="0" borderId="0" xfId="0" applyNumberFormat="1" applyFont="1"/>
    <xf numFmtId="4" fontId="0" fillId="0" borderId="0" xfId="0" applyNumberFormat="1"/>
    <xf numFmtId="15" fontId="0" fillId="0" borderId="0" xfId="0" applyNumberFormat="1"/>
    <xf numFmtId="166" fontId="0" fillId="0" borderId="0" xfId="0" applyNumberFormat="1"/>
    <xf numFmtId="164" fontId="4" fillId="0" borderId="0" xfId="0" applyNumberFormat="1" applyFont="1"/>
    <xf numFmtId="14" fontId="0" fillId="0" borderId="8" xfId="0" applyNumberFormat="1" applyBorder="1"/>
    <xf numFmtId="0" fontId="0" fillId="0" borderId="0" xfId="1" applyNumberFormat="1" applyFont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5" fontId="4" fillId="2" borderId="0" xfId="0" applyNumberFormat="1" applyFont="1" applyFill="1"/>
    <xf numFmtId="0" fontId="3" fillId="2" borderId="9" xfId="0" applyFont="1" applyFill="1" applyBorder="1" applyAlignment="1">
      <alignment textRotation="255"/>
    </xf>
    <xf numFmtId="0" fontId="0" fillId="0" borderId="10" xfId="0" applyBorder="1"/>
    <xf numFmtId="4" fontId="0" fillId="0" borderId="1" xfId="0" applyNumberFormat="1" applyBorder="1"/>
    <xf numFmtId="14" fontId="0" fillId="0" borderId="11" xfId="0" applyNumberFormat="1" applyBorder="1"/>
    <xf numFmtId="0" fontId="3" fillId="3" borderId="2" xfId="0" applyFont="1" applyFill="1" applyBorder="1" applyAlignment="1">
      <alignment textRotation="255"/>
    </xf>
    <xf numFmtId="0" fontId="3" fillId="3" borderId="6" xfId="0" applyFont="1" applyFill="1" applyBorder="1" applyAlignment="1">
      <alignment textRotation="255"/>
    </xf>
    <xf numFmtId="0" fontId="0" fillId="4" borderId="0" xfId="0" applyFill="1"/>
    <xf numFmtId="0" fontId="3" fillId="3" borderId="9" xfId="0" applyFont="1" applyFill="1" applyBorder="1" applyAlignment="1">
      <alignment textRotation="255"/>
    </xf>
    <xf numFmtId="0" fontId="0" fillId="5" borderId="0" xfId="0" applyFill="1"/>
    <xf numFmtId="0" fontId="9" fillId="0" borderId="0" xfId="0" applyFont="1"/>
    <xf numFmtId="44" fontId="0" fillId="2" borderId="0" xfId="1" applyFont="1" applyFill="1"/>
    <xf numFmtId="44" fontId="0" fillId="6" borderId="0" xfId="1" applyFont="1" applyFill="1"/>
    <xf numFmtId="0" fontId="0" fillId="6" borderId="0" xfId="0" applyFill="1"/>
    <xf numFmtId="14" fontId="0" fillId="6" borderId="0" xfId="0" applyNumberFormat="1" applyFill="1"/>
    <xf numFmtId="44" fontId="0" fillId="3" borderId="0" xfId="1" applyFont="1" applyFill="1"/>
    <xf numFmtId="0" fontId="0" fillId="3" borderId="0" xfId="0" applyFill="1"/>
    <xf numFmtId="167" fontId="0" fillId="3" borderId="0" xfId="1" applyNumberFormat="1" applyFont="1" applyFill="1"/>
    <xf numFmtId="14" fontId="0" fillId="3" borderId="0" xfId="0" applyNumberFormat="1" applyFill="1"/>
    <xf numFmtId="167" fontId="0" fillId="6" borderId="0" xfId="1" applyNumberFormat="1" applyFont="1" applyFill="1"/>
    <xf numFmtId="167" fontId="0" fillId="0" borderId="0" xfId="0" applyNumberFormat="1"/>
    <xf numFmtId="14" fontId="0" fillId="6" borderId="0" xfId="1" applyNumberFormat="1" applyFont="1" applyFill="1"/>
    <xf numFmtId="0" fontId="0" fillId="0" borderId="0" xfId="0" quotePrefix="1"/>
    <xf numFmtId="44" fontId="0" fillId="0" borderId="0" xfId="0" applyNumberFormat="1"/>
    <xf numFmtId="44" fontId="0" fillId="7" borderId="0" xfId="1" applyFont="1" applyFill="1"/>
    <xf numFmtId="0" fontId="0" fillId="7" borderId="0" xfId="0" applyFill="1"/>
    <xf numFmtId="167" fontId="0" fillId="2" borderId="0" xfId="1" applyNumberFormat="1" applyFont="1" applyFill="1"/>
    <xf numFmtId="0" fontId="9" fillId="8" borderId="0" xfId="0" applyFont="1" applyFill="1"/>
    <xf numFmtId="167" fontId="0" fillId="0" borderId="0" xfId="1" applyNumberFormat="1" applyFont="1"/>
    <xf numFmtId="165" fontId="4" fillId="0" borderId="0" xfId="0" applyNumberFormat="1" applyFont="1"/>
    <xf numFmtId="164" fontId="0" fillId="9" borderId="0" xfId="0" applyNumberFormat="1" applyFill="1"/>
    <xf numFmtId="8" fontId="0" fillId="0" borderId="0" xfId="1" applyNumberFormat="1" applyFont="1"/>
    <xf numFmtId="44" fontId="10" fillId="0" borderId="0" xfId="1" applyFont="1"/>
    <xf numFmtId="14" fontId="0" fillId="0" borderId="0" xfId="0" applyNumberFormat="1"/>
    <xf numFmtId="14" fontId="0" fillId="0" borderId="0" xfId="1" applyNumberFormat="1" applyFont="1"/>
    <xf numFmtId="0" fontId="0" fillId="10" borderId="0" xfId="0" applyFill="1"/>
    <xf numFmtId="44" fontId="0" fillId="11" borderId="0" xfId="1" applyFont="1" applyFill="1"/>
    <xf numFmtId="14" fontId="0" fillId="5" borderId="0" xfId="1" applyNumberFormat="1" applyFont="1" applyFill="1"/>
    <xf numFmtId="14" fontId="0" fillId="5" borderId="0" xfId="0" applyNumberFormat="1" applyFill="1"/>
    <xf numFmtId="11" fontId="0" fillId="0" borderId="0" xfId="0" applyNumberFormat="1"/>
    <xf numFmtId="44" fontId="0" fillId="5" borderId="0" xfId="1" applyFont="1" applyFill="1"/>
    <xf numFmtId="0" fontId="8" fillId="0" borderId="0" xfId="0" applyFont="1"/>
    <xf numFmtId="44" fontId="8" fillId="0" borderId="0" xfId="1" applyFont="1"/>
    <xf numFmtId="0" fontId="8" fillId="0" borderId="0" xfId="0" applyFont="1" applyAlignment="1">
      <alignment wrapText="1"/>
    </xf>
    <xf numFmtId="44" fontId="0" fillId="4" borderId="0" xfId="1" applyFont="1" applyFill="1"/>
    <xf numFmtId="44" fontId="0" fillId="12" borderId="0" xfId="1" applyFont="1" applyFill="1"/>
    <xf numFmtId="17" fontId="0" fillId="0" borderId="0" xfId="0" applyNumberFormat="1"/>
    <xf numFmtId="44" fontId="0" fillId="13" borderId="0" xfId="1" applyFont="1" applyFill="1"/>
    <xf numFmtId="0" fontId="0" fillId="14" borderId="0" xfId="0" applyFill="1"/>
    <xf numFmtId="44" fontId="0" fillId="14" borderId="0" xfId="1" applyFont="1" applyFill="1"/>
    <xf numFmtId="44" fontId="4" fillId="5" borderId="0" xfId="1" applyFont="1" applyFill="1"/>
    <xf numFmtId="44" fontId="0" fillId="15" borderId="0" xfId="1" applyFont="1" applyFill="1"/>
    <xf numFmtId="44" fontId="0" fillId="8" borderId="0" xfId="1" applyFont="1" applyFill="1"/>
    <xf numFmtId="44" fontId="0" fillId="10" borderId="0" xfId="1" applyFont="1" applyFill="1"/>
    <xf numFmtId="44" fontId="0" fillId="16" borderId="0" xfId="1" applyFont="1" applyFill="1"/>
    <xf numFmtId="44" fontId="0" fillId="17" borderId="0" xfId="1" applyFont="1" applyFill="1"/>
    <xf numFmtId="44" fontId="0" fillId="18" borderId="0" xfId="1" applyFont="1" applyFill="1"/>
    <xf numFmtId="44" fontId="0" fillId="19" borderId="0" xfId="1" applyFont="1" applyFill="1"/>
    <xf numFmtId="44" fontId="0" fillId="6" borderId="0" xfId="0" applyNumberFormat="1" applyFill="1"/>
    <xf numFmtId="0" fontId="0" fillId="17" borderId="0" xfId="0" applyFill="1"/>
    <xf numFmtId="44" fontId="0" fillId="20" borderId="0" xfId="1" applyFont="1" applyFill="1"/>
    <xf numFmtId="44" fontId="0" fillId="21" borderId="0" xfId="1" applyFont="1" applyFill="1"/>
    <xf numFmtId="44" fontId="0" fillId="22" borderId="0" xfId="1" applyFont="1" applyFill="1"/>
    <xf numFmtId="44" fontId="0" fillId="23" borderId="0" xfId="1" applyFont="1" applyFill="1"/>
    <xf numFmtId="44" fontId="0" fillId="24" borderId="0" xfId="1" applyFont="1" applyFill="1"/>
    <xf numFmtId="44" fontId="0" fillId="25" borderId="0" xfId="1" applyFont="1" applyFill="1"/>
    <xf numFmtId="44" fontId="0" fillId="26" borderId="0" xfId="1" applyFont="1" applyFill="1"/>
    <xf numFmtId="44" fontId="4" fillId="19" borderId="0" xfId="1" applyFont="1" applyFill="1"/>
    <xf numFmtId="44" fontId="0" fillId="27" borderId="0" xfId="1" applyFont="1" applyFill="1"/>
    <xf numFmtId="0" fontId="4" fillId="5" borderId="0" xfId="0" applyFont="1" applyFill="1"/>
    <xf numFmtId="44" fontId="0" fillId="9" borderId="0" xfId="1" applyFont="1" applyFill="1"/>
    <xf numFmtId="44" fontId="0" fillId="28" borderId="0" xfId="1" applyFont="1" applyFill="1"/>
    <xf numFmtId="44" fontId="0" fillId="29" borderId="0" xfId="1" applyFont="1" applyFill="1"/>
    <xf numFmtId="44" fontId="0" fillId="30" borderId="0" xfId="1" applyFont="1" applyFill="1"/>
    <xf numFmtId="44" fontId="0" fillId="31" borderId="0" xfId="1" applyFont="1" applyFill="1"/>
    <xf numFmtId="44" fontId="0" fillId="32" borderId="0" xfId="1" applyFont="1" applyFill="1"/>
    <xf numFmtId="44" fontId="0" fillId="33" borderId="0" xfId="1" applyFont="1" applyFill="1"/>
    <xf numFmtId="164" fontId="0" fillId="8" borderId="0" xfId="0" applyNumberFormat="1" applyFill="1"/>
    <xf numFmtId="44" fontId="0" fillId="34" borderId="0" xfId="1" applyFont="1" applyFill="1"/>
    <xf numFmtId="44" fontId="0" fillId="35" borderId="0" xfId="1" applyFont="1" applyFill="1"/>
    <xf numFmtId="10" fontId="0" fillId="0" borderId="0" xfId="0" applyNumberFormat="1"/>
    <xf numFmtId="164" fontId="0" fillId="9" borderId="3" xfId="0" applyNumberFormat="1" applyFill="1" applyBorder="1"/>
    <xf numFmtId="0" fontId="0" fillId="3" borderId="3" xfId="0" applyFill="1" applyBorder="1"/>
    <xf numFmtId="4" fontId="0" fillId="3" borderId="0" xfId="0" applyNumberFormat="1" applyFill="1"/>
    <xf numFmtId="0" fontId="3" fillId="17" borderId="2" xfId="0" applyFont="1" applyFill="1" applyBorder="1" applyAlignment="1">
      <alignment textRotation="255"/>
    </xf>
    <xf numFmtId="0" fontId="3" fillId="17" borderId="6" xfId="0" applyFont="1" applyFill="1" applyBorder="1" applyAlignment="1">
      <alignment textRotation="255"/>
    </xf>
    <xf numFmtId="0" fontId="3" fillId="17" borderId="9" xfId="0" applyFont="1" applyFill="1" applyBorder="1" applyAlignment="1">
      <alignment textRotation="255"/>
    </xf>
    <xf numFmtId="0" fontId="3" fillId="7" borderId="2" xfId="0" applyFont="1" applyFill="1" applyBorder="1" applyAlignment="1">
      <alignment textRotation="255"/>
    </xf>
    <xf numFmtId="0" fontId="3" fillId="7" borderId="6" xfId="0" applyFont="1" applyFill="1" applyBorder="1" applyAlignment="1">
      <alignment textRotation="255"/>
    </xf>
    <xf numFmtId="0" fontId="3" fillId="7" borderId="9" xfId="0" applyFont="1" applyFill="1" applyBorder="1" applyAlignment="1">
      <alignment textRotation="255"/>
    </xf>
    <xf numFmtId="0" fontId="3" fillId="13" borderId="2" xfId="0" applyFont="1" applyFill="1" applyBorder="1" applyAlignment="1">
      <alignment textRotation="255"/>
    </xf>
    <xf numFmtId="0" fontId="3" fillId="13" borderId="6" xfId="0" applyFont="1" applyFill="1" applyBorder="1" applyAlignment="1">
      <alignment textRotation="255"/>
    </xf>
    <xf numFmtId="0" fontId="3" fillId="13" borderId="9" xfId="0" applyFont="1" applyFill="1" applyBorder="1" applyAlignment="1">
      <alignment textRotation="255"/>
    </xf>
    <xf numFmtId="44" fontId="0" fillId="36" borderId="0" xfId="1" applyFont="1" applyFill="1"/>
    <xf numFmtId="0" fontId="0" fillId="6" borderId="0" xfId="0" quotePrefix="1" applyFill="1"/>
    <xf numFmtId="44" fontId="4" fillId="6" borderId="0" xfId="1" applyFont="1" applyFill="1"/>
    <xf numFmtId="0" fontId="4" fillId="6" borderId="0" xfId="0" applyFont="1" applyFill="1"/>
    <xf numFmtId="14" fontId="4" fillId="6" borderId="0" xfId="0" applyNumberFormat="1" applyFont="1" applyFill="1"/>
    <xf numFmtId="168" fontId="0" fillId="0" borderId="0" xfId="1" applyNumberFormat="1" applyFont="1"/>
    <xf numFmtId="164" fontId="0" fillId="37" borderId="0" xfId="0" applyNumberFormat="1" applyFill="1"/>
    <xf numFmtId="164" fontId="0" fillId="37" borderId="3" xfId="0" applyNumberFormat="1" applyFill="1" applyBorder="1"/>
    <xf numFmtId="164" fontId="0" fillId="38" borderId="0" xfId="0" applyNumberFormat="1" applyFill="1"/>
    <xf numFmtId="164" fontId="4" fillId="38" borderId="0" xfId="0" applyNumberFormat="1" applyFont="1" applyFill="1"/>
    <xf numFmtId="16" fontId="0" fillId="0" borderId="0" xfId="0" quotePrefix="1" applyNumberFormat="1"/>
    <xf numFmtId="0" fontId="3" fillId="5" borderId="2" xfId="0" applyFont="1" applyFill="1" applyBorder="1" applyAlignment="1">
      <alignment textRotation="255"/>
    </xf>
    <xf numFmtId="0" fontId="3" fillId="5" borderId="6" xfId="0" applyFont="1" applyFill="1" applyBorder="1" applyAlignment="1">
      <alignment textRotation="255"/>
    </xf>
    <xf numFmtId="0" fontId="3" fillId="5" borderId="9" xfId="0" applyFont="1" applyFill="1" applyBorder="1" applyAlignment="1">
      <alignment textRotation="255"/>
    </xf>
    <xf numFmtId="0" fontId="3" fillId="39" borderId="2" xfId="0" applyFont="1" applyFill="1" applyBorder="1" applyAlignment="1">
      <alignment textRotation="255"/>
    </xf>
    <xf numFmtId="0" fontId="3" fillId="39" borderId="6" xfId="0" applyFont="1" applyFill="1" applyBorder="1" applyAlignment="1">
      <alignment textRotation="255"/>
    </xf>
    <xf numFmtId="0" fontId="3" fillId="39" borderId="9" xfId="0" applyFont="1" applyFill="1" applyBorder="1" applyAlignment="1">
      <alignment textRotation="255"/>
    </xf>
    <xf numFmtId="44" fontId="0" fillId="4" borderId="0" xfId="0" applyNumberFormat="1" applyFill="1"/>
    <xf numFmtId="0" fontId="3" fillId="4" borderId="2" xfId="0" applyFont="1" applyFill="1" applyBorder="1" applyAlignment="1">
      <alignment textRotation="255"/>
    </xf>
    <xf numFmtId="0" fontId="3" fillId="4" borderId="6" xfId="0" applyFont="1" applyFill="1" applyBorder="1" applyAlignment="1">
      <alignment textRotation="255"/>
    </xf>
    <xf numFmtId="0" fontId="3" fillId="4" borderId="9" xfId="0" applyFont="1" applyFill="1" applyBorder="1" applyAlignment="1">
      <alignment textRotation="255"/>
    </xf>
    <xf numFmtId="164" fontId="4" fillId="3" borderId="0" xfId="0" applyNumberFormat="1" applyFont="1" applyFill="1"/>
    <xf numFmtId="0" fontId="3" fillId="2" borderId="2" xfId="0" applyFont="1" applyFill="1" applyBorder="1" applyAlignment="1">
      <alignment textRotation="255"/>
    </xf>
    <xf numFmtId="44" fontId="0" fillId="40" borderId="0" xfId="1" applyFont="1" applyFill="1"/>
    <xf numFmtId="3" fontId="4" fillId="0" borderId="0" xfId="0" applyNumberFormat="1" applyFont="1"/>
    <xf numFmtId="164" fontId="4" fillId="38" borderId="3" xfId="0" applyNumberFormat="1" applyFont="1" applyFill="1" applyBorder="1"/>
    <xf numFmtId="164" fontId="4" fillId="41" borderId="0" xfId="0" applyNumberFormat="1" applyFont="1" applyFill="1"/>
    <xf numFmtId="0" fontId="0" fillId="39" borderId="0" xfId="0" applyFill="1"/>
    <xf numFmtId="0" fontId="3" fillId="18" borderId="2" xfId="0" applyFont="1" applyFill="1" applyBorder="1" applyAlignment="1">
      <alignment textRotation="255"/>
    </xf>
    <xf numFmtId="0" fontId="3" fillId="18" borderId="6" xfId="0" applyFont="1" applyFill="1" applyBorder="1" applyAlignment="1">
      <alignment textRotation="255"/>
    </xf>
    <xf numFmtId="0" fontId="3" fillId="18" borderId="9" xfId="0" applyFont="1" applyFill="1" applyBorder="1" applyAlignment="1">
      <alignment textRotation="255"/>
    </xf>
    <xf numFmtId="8" fontId="0" fillId="6" borderId="0" xfId="1" applyNumberFormat="1" applyFont="1" applyFill="1"/>
    <xf numFmtId="11" fontId="0" fillId="3" borderId="0" xfId="0" applyNumberFormat="1" applyFill="1"/>
    <xf numFmtId="4" fontId="0" fillId="4" borderId="0" xfId="0" applyNumberFormat="1" applyFill="1"/>
    <xf numFmtId="4" fontId="0" fillId="29" borderId="0" xfId="0" applyNumberFormat="1" applyFill="1"/>
    <xf numFmtId="44" fontId="0" fillId="42" borderId="0" xfId="1" applyFont="1" applyFill="1"/>
    <xf numFmtId="0" fontId="3" fillId="25" borderId="2" xfId="0" applyFont="1" applyFill="1" applyBorder="1" applyAlignment="1">
      <alignment textRotation="255"/>
    </xf>
    <xf numFmtId="0" fontId="3" fillId="25" borderId="6" xfId="0" applyFont="1" applyFill="1" applyBorder="1" applyAlignment="1">
      <alignment textRotation="255"/>
    </xf>
    <xf numFmtId="0" fontId="3" fillId="25" borderId="9" xfId="0" applyFont="1" applyFill="1" applyBorder="1" applyAlignment="1">
      <alignment textRotation="255"/>
    </xf>
    <xf numFmtId="0" fontId="3" fillId="43" borderId="2" xfId="0" applyFont="1" applyFill="1" applyBorder="1" applyAlignment="1">
      <alignment textRotation="255"/>
    </xf>
    <xf numFmtId="0" fontId="3" fillId="43" borderId="6" xfId="0" applyFont="1" applyFill="1" applyBorder="1" applyAlignment="1">
      <alignment textRotation="255"/>
    </xf>
    <xf numFmtId="0" fontId="3" fillId="43" borderId="9" xfId="0" applyFont="1" applyFill="1" applyBorder="1" applyAlignment="1">
      <alignment textRotation="255"/>
    </xf>
    <xf numFmtId="0" fontId="3" fillId="22" borderId="2" xfId="0" applyFont="1" applyFill="1" applyBorder="1" applyAlignment="1">
      <alignment textRotation="255"/>
    </xf>
    <xf numFmtId="0" fontId="3" fillId="22" borderId="6" xfId="0" applyFont="1" applyFill="1" applyBorder="1" applyAlignment="1">
      <alignment textRotation="255"/>
    </xf>
    <xf numFmtId="0" fontId="3" fillId="22" borderId="9" xfId="0" applyFont="1" applyFill="1" applyBorder="1" applyAlignment="1">
      <alignment textRotation="255"/>
    </xf>
    <xf numFmtId="167" fontId="0" fillId="4" borderId="0" xfId="1" applyNumberFormat="1" applyFont="1" applyFill="1"/>
    <xf numFmtId="14" fontId="0" fillId="4" borderId="0" xfId="0" applyNumberFormat="1" applyFill="1"/>
    <xf numFmtId="0" fontId="0" fillId="42" borderId="7" xfId="0" applyFill="1" applyBorder="1"/>
    <xf numFmtId="0" fontId="0" fillId="42" borderId="0" xfId="0" applyFill="1"/>
    <xf numFmtId="0" fontId="4" fillId="42" borderId="0" xfId="0" applyFont="1" applyFill="1"/>
    <xf numFmtId="4" fontId="4" fillId="42" borderId="0" xfId="0" applyNumberFormat="1" applyFont="1" applyFill="1"/>
    <xf numFmtId="4" fontId="0" fillId="42" borderId="0" xfId="0" applyNumberFormat="1" applyFill="1"/>
    <xf numFmtId="15" fontId="0" fillId="42" borderId="0" xfId="0" applyNumberFormat="1" applyFill="1"/>
    <xf numFmtId="164" fontId="0" fillId="42" borderId="0" xfId="0" applyNumberFormat="1" applyFill="1"/>
    <xf numFmtId="166" fontId="0" fillId="42" borderId="0" xfId="0" applyNumberFormat="1" applyFill="1"/>
    <xf numFmtId="165" fontId="4" fillId="42" borderId="0" xfId="0" applyNumberFormat="1" applyFont="1" applyFill="1"/>
    <xf numFmtId="164" fontId="4" fillId="42" borderId="0" xfId="0" applyNumberFormat="1" applyFont="1" applyFill="1"/>
    <xf numFmtId="44" fontId="0" fillId="39" borderId="0" xfId="1" applyFont="1" applyFill="1"/>
    <xf numFmtId="164" fontId="0" fillId="0" borderId="0" xfId="0" applyNumberFormat="1" applyFill="1"/>
    <xf numFmtId="0" fontId="0" fillId="0" borderId="0" xfId="0" applyFill="1"/>
    <xf numFmtId="0" fontId="9" fillId="0" borderId="0" xfId="0" applyFont="1" applyFill="1"/>
    <xf numFmtId="44" fontId="0" fillId="0" borderId="0" xfId="1" applyFont="1" applyFill="1"/>
    <xf numFmtId="165" fontId="4" fillId="0" borderId="0" xfId="0" applyNumberFormat="1" applyFont="1" applyFill="1"/>
    <xf numFmtId="164" fontId="0" fillId="44" borderId="0" xfId="0" applyNumberFormat="1" applyFill="1"/>
    <xf numFmtId="4" fontId="0" fillId="0" borderId="0" xfId="0" applyNumberFormat="1" applyFill="1"/>
    <xf numFmtId="164" fontId="4" fillId="0" borderId="0" xfId="0" applyNumberFormat="1" applyFont="1" applyFill="1"/>
    <xf numFmtId="9" fontId="4" fillId="0" borderId="3" xfId="0" applyNumberFormat="1" applyFont="1" applyFill="1" applyBorder="1"/>
    <xf numFmtId="0" fontId="4" fillId="0" borderId="0" xfId="0" applyFont="1" applyFill="1"/>
    <xf numFmtId="3" fontId="0" fillId="0" borderId="0" xfId="0" applyNumberFormat="1"/>
    <xf numFmtId="15" fontId="0" fillId="0" borderId="0" xfId="0" applyNumberFormat="1" applyFill="1"/>
    <xf numFmtId="166" fontId="0" fillId="0" borderId="0" xfId="0" applyNumberFormat="1" applyFill="1"/>
    <xf numFmtId="11" fontId="0" fillId="5" borderId="0" xfId="0" applyNumberFormat="1" applyFill="1"/>
    <xf numFmtId="4" fontId="4" fillId="0" borderId="0" xfId="0" applyNumberFormat="1" applyFont="1" applyFill="1"/>
    <xf numFmtId="44" fontId="0" fillId="0" borderId="0" xfId="1" applyFont="1" applyFill="1" applyBorder="1"/>
    <xf numFmtId="0" fontId="0" fillId="6" borderId="0" xfId="1" applyNumberFormat="1" applyFont="1" applyFill="1"/>
    <xf numFmtId="0" fontId="3" fillId="28" borderId="2" xfId="0" applyFont="1" applyFill="1" applyBorder="1" applyAlignment="1">
      <alignment textRotation="255"/>
    </xf>
    <xf numFmtId="0" fontId="3" fillId="28" borderId="6" xfId="0" applyFont="1" applyFill="1" applyBorder="1" applyAlignment="1">
      <alignment textRotation="255"/>
    </xf>
    <xf numFmtId="0" fontId="3" fillId="28" borderId="9" xfId="0" applyFont="1" applyFill="1" applyBorder="1" applyAlignment="1">
      <alignment textRotation="255"/>
    </xf>
    <xf numFmtId="14" fontId="0" fillId="0" borderId="0" xfId="0" applyNumberFormat="1" applyFill="1"/>
    <xf numFmtId="0" fontId="0" fillId="45" borderId="7" xfId="0" applyFill="1" applyBorder="1"/>
    <xf numFmtId="0" fontId="4" fillId="45" borderId="0" xfId="0" applyFont="1" applyFill="1"/>
    <xf numFmtId="0" fontId="0" fillId="45" borderId="0" xfId="0" applyFill="1"/>
    <xf numFmtId="4" fontId="4" fillId="45" borderId="0" xfId="0" applyNumberFormat="1" applyFont="1" applyFill="1"/>
    <xf numFmtId="4" fontId="0" fillId="45" borderId="0" xfId="0" applyNumberFormat="1" applyFill="1"/>
    <xf numFmtId="15" fontId="0" fillId="45" borderId="0" xfId="0" applyNumberFormat="1" applyFill="1"/>
    <xf numFmtId="164" fontId="0" fillId="45" borderId="0" xfId="0" applyNumberFormat="1" applyFill="1"/>
    <xf numFmtId="166" fontId="0" fillId="45" borderId="0" xfId="0" applyNumberFormat="1" applyFill="1"/>
    <xf numFmtId="165" fontId="4" fillId="45" borderId="0" xfId="0" applyNumberFormat="1" applyFont="1" applyFill="1"/>
    <xf numFmtId="164" fontId="4" fillId="45" borderId="0" xfId="0" applyNumberFormat="1" applyFont="1" applyFill="1"/>
    <xf numFmtId="44" fontId="0" fillId="45" borderId="0" xfId="1" applyFont="1" applyFill="1"/>
    <xf numFmtId="44" fontId="0" fillId="4" borderId="0" xfId="1" applyNumberFormat="1" applyFont="1" applyFill="1"/>
    <xf numFmtId="44" fontId="0" fillId="46" borderId="0" xfId="1" applyFont="1" applyFill="1"/>
    <xf numFmtId="44" fontId="0" fillId="0" borderId="0" xfId="1" applyNumberFormat="1" applyFont="1"/>
    <xf numFmtId="4" fontId="4" fillId="6" borderId="0" xfId="0" applyNumberFormat="1" applyFont="1" applyFill="1"/>
    <xf numFmtId="0" fontId="4" fillId="0" borderId="0" xfId="0" applyFont="1" applyBorder="1"/>
    <xf numFmtId="4" fontId="4" fillId="0" borderId="0" xfId="0" applyNumberFormat="1" applyFont="1" applyBorder="1"/>
    <xf numFmtId="165" fontId="4" fillId="47" borderId="0" xfId="0" applyNumberFormat="1" applyFont="1" applyFill="1"/>
    <xf numFmtId="164" fontId="0" fillId="47" borderId="0" xfId="0" applyNumberFormat="1" applyFill="1"/>
    <xf numFmtId="4" fontId="0" fillId="0" borderId="1" xfId="0" applyNumberFormat="1" applyFill="1" applyBorder="1"/>
    <xf numFmtId="168" fontId="0" fillId="6" borderId="0" xfId="1" applyNumberFormat="1" applyFont="1" applyFill="1"/>
    <xf numFmtId="44" fontId="0" fillId="37" borderId="0" xfId="1" applyFont="1" applyFill="1"/>
    <xf numFmtId="44" fontId="0" fillId="48" borderId="0" xfId="1" applyFont="1" applyFill="1"/>
    <xf numFmtId="164" fontId="0" fillId="10" borderId="0" xfId="0" applyNumberFormat="1" applyFill="1"/>
    <xf numFmtId="44" fontId="0" fillId="38" borderId="0" xfId="1" applyFont="1" applyFill="1"/>
    <xf numFmtId="44" fontId="0" fillId="43" borderId="0" xfId="1" applyFont="1" applyFill="1"/>
    <xf numFmtId="167" fontId="0" fillId="39" borderId="0" xfId="1" applyNumberFormat="1" applyFont="1" applyFill="1"/>
    <xf numFmtId="14" fontId="0" fillId="39" borderId="0" xfId="0" applyNumberFormat="1" applyFill="1"/>
    <xf numFmtId="0" fontId="0" fillId="4" borderId="7" xfId="0" applyFill="1" applyBorder="1"/>
    <xf numFmtId="0" fontId="4" fillId="4" borderId="0" xfId="0" applyFont="1" applyFill="1"/>
    <xf numFmtId="4" fontId="4" fillId="4" borderId="0" xfId="0" applyNumberFormat="1" applyFont="1" applyFill="1"/>
    <xf numFmtId="15" fontId="0" fillId="4" borderId="0" xfId="0" applyNumberFormat="1" applyFill="1"/>
    <xf numFmtId="164" fontId="0" fillId="4" borderId="0" xfId="0" applyNumberFormat="1" applyFill="1"/>
    <xf numFmtId="166" fontId="0" fillId="4" borderId="0" xfId="0" applyNumberFormat="1" applyFill="1"/>
    <xf numFmtId="165" fontId="4" fillId="4" borderId="0" xfId="0" applyNumberFormat="1" applyFont="1" applyFill="1"/>
    <xf numFmtId="164" fontId="4" fillId="4" borderId="0" xfId="0" applyNumberFormat="1" applyFont="1" applyFill="1"/>
    <xf numFmtId="44" fontId="0" fillId="41" borderId="0" xfId="1" applyFont="1" applyFill="1"/>
    <xf numFmtId="0" fontId="0" fillId="0" borderId="0" xfId="0" applyBorder="1"/>
    <xf numFmtId="15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4" fontId="0" fillId="0" borderId="0" xfId="0" applyNumberFormat="1" applyBorder="1"/>
    <xf numFmtId="9" fontId="4" fillId="0" borderId="0" xfId="0" applyNumberFormat="1" applyFont="1" applyBorder="1"/>
    <xf numFmtId="0" fontId="3" fillId="31" borderId="2" xfId="0" applyFont="1" applyFill="1" applyBorder="1" applyAlignment="1">
      <alignment textRotation="255"/>
    </xf>
    <xf numFmtId="0" fontId="3" fillId="31" borderId="6" xfId="0" applyFont="1" applyFill="1" applyBorder="1" applyAlignment="1">
      <alignment textRotation="255"/>
    </xf>
    <xf numFmtId="0" fontId="3" fillId="31" borderId="9" xfId="0" applyFont="1" applyFill="1" applyBorder="1" applyAlignment="1">
      <alignment textRotation="255"/>
    </xf>
    <xf numFmtId="14" fontId="0" fillId="7" borderId="0" xfId="0" applyNumberFormat="1" applyFill="1"/>
    <xf numFmtId="164" fontId="4" fillId="0" borderId="0" xfId="0" applyNumberFormat="1" applyFont="1" applyBorder="1"/>
    <xf numFmtId="164" fontId="0" fillId="0" borderId="0" xfId="0" applyNumberFormat="1" applyFill="1" applyBorder="1"/>
    <xf numFmtId="9" fontId="4" fillId="0" borderId="0" xfId="0" applyNumberFormat="1" applyFont="1" applyFill="1" applyBorder="1"/>
    <xf numFmtId="0" fontId="3" fillId="11" borderId="2" xfId="0" applyFont="1" applyFill="1" applyBorder="1" applyAlignment="1">
      <alignment textRotation="255"/>
    </xf>
    <xf numFmtId="0" fontId="3" fillId="11" borderId="6" xfId="0" applyFont="1" applyFill="1" applyBorder="1" applyAlignment="1">
      <alignment textRotation="255"/>
    </xf>
    <xf numFmtId="0" fontId="3" fillId="11" borderId="9" xfId="0" applyFont="1" applyFill="1" applyBorder="1" applyAlignment="1">
      <alignment textRotation="255"/>
    </xf>
    <xf numFmtId="4" fontId="0" fillId="0" borderId="0" xfId="0" applyNumberFormat="1" applyFill="1" applyBorder="1"/>
    <xf numFmtId="44" fontId="0" fillId="3" borderId="0" xfId="0" applyNumberFormat="1" applyFill="1"/>
    <xf numFmtId="0" fontId="0" fillId="0" borderId="0" xfId="0" applyFill="1" applyBorder="1"/>
    <xf numFmtId="4" fontId="0" fillId="0" borderId="3" xfId="0" applyNumberFormat="1" applyFill="1" applyBorder="1"/>
    <xf numFmtId="164" fontId="0" fillId="49" borderId="0" xfId="0" applyNumberFormat="1" applyFill="1"/>
    <xf numFmtId="0" fontId="0" fillId="36" borderId="0" xfId="0" applyFill="1"/>
    <xf numFmtId="0" fontId="0" fillId="3" borderId="0" xfId="0" applyFill="1" applyBorder="1"/>
    <xf numFmtId="4" fontId="4" fillId="0" borderId="3" xfId="0" applyNumberFormat="1" applyFont="1" applyFill="1" applyBorder="1"/>
    <xf numFmtId="16" fontId="0" fillId="6" borderId="0" xfId="0" applyNumberFormat="1" applyFill="1"/>
    <xf numFmtId="0" fontId="3" fillId="50" borderId="2" xfId="0" applyFont="1" applyFill="1" applyBorder="1" applyAlignment="1">
      <alignment textRotation="255"/>
    </xf>
    <xf numFmtId="0" fontId="3" fillId="50" borderId="6" xfId="0" applyFont="1" applyFill="1" applyBorder="1" applyAlignment="1">
      <alignment textRotation="255"/>
    </xf>
    <xf numFmtId="0" fontId="3" fillId="50" borderId="9" xfId="0" applyFont="1" applyFill="1" applyBorder="1" applyAlignment="1">
      <alignment textRotation="255"/>
    </xf>
    <xf numFmtId="0" fontId="3" fillId="12" borderId="2" xfId="0" applyFont="1" applyFill="1" applyBorder="1" applyAlignment="1">
      <alignment textRotation="255"/>
    </xf>
    <xf numFmtId="0" fontId="3" fillId="12" borderId="6" xfId="0" applyFont="1" applyFill="1" applyBorder="1" applyAlignment="1">
      <alignment textRotation="255"/>
    </xf>
    <xf numFmtId="0" fontId="3" fillId="12" borderId="9" xfId="0" applyFont="1" applyFill="1" applyBorder="1" applyAlignment="1">
      <alignment textRotation="255"/>
    </xf>
    <xf numFmtId="0" fontId="3" fillId="38" borderId="2" xfId="0" applyFont="1" applyFill="1" applyBorder="1" applyAlignment="1">
      <alignment textRotation="255"/>
    </xf>
    <xf numFmtId="0" fontId="3" fillId="38" borderId="6" xfId="0" applyFont="1" applyFill="1" applyBorder="1" applyAlignment="1">
      <alignment textRotation="255"/>
    </xf>
    <xf numFmtId="0" fontId="3" fillId="38" borderId="9" xfId="0" applyFont="1" applyFill="1" applyBorder="1" applyAlignment="1">
      <alignment textRotation="255"/>
    </xf>
    <xf numFmtId="14" fontId="0" fillId="2" borderId="0" xfId="0" applyNumberFormat="1" applyFill="1"/>
    <xf numFmtId="8" fontId="0" fillId="6" borderId="0" xfId="0" applyNumberFormat="1" applyFill="1"/>
    <xf numFmtId="4" fontId="0" fillId="6" borderId="0" xfId="0" applyNumberFormat="1" applyFill="1"/>
    <xf numFmtId="44" fontId="0" fillId="0" borderId="0" xfId="1" applyFont="1" applyBorder="1"/>
    <xf numFmtId="0" fontId="0" fillId="3" borderId="0" xfId="0" applyFont="1" applyFill="1"/>
    <xf numFmtId="0" fontId="0" fillId="4" borderId="0" xfId="1" applyNumberFormat="1" applyFont="1" applyFill="1"/>
    <xf numFmtId="10" fontId="0" fillId="0" borderId="3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00FFFF"/>
      <color rgb="FFFD64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247651</xdr:colOff>
      <xdr:row>42</xdr:row>
      <xdr:rowOff>104775</xdr:rowOff>
    </xdr:from>
    <xdr:to>
      <xdr:col>14</xdr:col>
      <xdr:colOff>695326</xdr:colOff>
      <xdr:row>102</xdr:row>
      <xdr:rowOff>114300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7077659D-15CF-45EF-9184-6D161469B185}"/>
            </a:ext>
          </a:extLst>
        </xdr:cNvPr>
        <xdr:cNvCxnSpPr/>
      </xdr:nvCxnSpPr>
      <xdr:spPr>
        <a:xfrm rot="5400000">
          <a:off x="6848476" y="11982450"/>
          <a:ext cx="11249025" cy="3495675"/>
        </a:xfrm>
        <a:prstGeom prst="bentConnector3">
          <a:avLst>
            <a:gd name="adj1" fmla="val 999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349</xdr:row>
      <xdr:rowOff>104777</xdr:rowOff>
    </xdr:from>
    <xdr:to>
      <xdr:col>10</xdr:col>
      <xdr:colOff>285751</xdr:colOff>
      <xdr:row>369</xdr:row>
      <xdr:rowOff>95248</xdr:rowOff>
    </xdr:to>
    <xdr:cxnSp macro="">
      <xdr:nvCxnSpPr>
        <xdr:cNvPr id="10" name="Conector: angular 9">
          <a:extLst>
            <a:ext uri="{FF2B5EF4-FFF2-40B4-BE49-F238E27FC236}">
              <a16:creationId xmlns:a16="http://schemas.microsoft.com/office/drawing/2014/main" id="{8DFF1651-AA41-4581-870A-49BED92462F0}"/>
            </a:ext>
          </a:extLst>
        </xdr:cNvPr>
        <xdr:cNvCxnSpPr/>
      </xdr:nvCxnSpPr>
      <xdr:spPr>
        <a:xfrm rot="16200000" flipH="1">
          <a:off x="9015415" y="68422837"/>
          <a:ext cx="3800471" cy="1333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142876</xdr:colOff>
      <xdr:row>449</xdr:row>
      <xdr:rowOff>66675</xdr:rowOff>
    </xdr:from>
    <xdr:to>
      <xdr:col>11</xdr:col>
      <xdr:colOff>704851</xdr:colOff>
      <xdr:row>472</xdr:row>
      <xdr:rowOff>133350</xdr:rowOff>
    </xdr:to>
    <xdr:cxnSp macro="">
      <xdr:nvCxnSpPr>
        <xdr:cNvPr id="5" name="Conector: angular 4">
          <a:extLst>
            <a:ext uri="{FF2B5EF4-FFF2-40B4-BE49-F238E27FC236}">
              <a16:creationId xmlns:a16="http://schemas.microsoft.com/office/drawing/2014/main" id="{2EE21453-6195-4083-839C-CD43FF635F3F}"/>
            </a:ext>
          </a:extLst>
        </xdr:cNvPr>
        <xdr:cNvCxnSpPr/>
      </xdr:nvCxnSpPr>
      <xdr:spPr>
        <a:xfrm rot="5400000">
          <a:off x="9448801" y="87163275"/>
          <a:ext cx="4448175" cy="1323975"/>
        </a:xfrm>
        <a:prstGeom prst="bentConnector3">
          <a:avLst>
            <a:gd name="adj1" fmla="val 998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529</xdr:row>
      <xdr:rowOff>85724</xdr:rowOff>
    </xdr:from>
    <xdr:to>
      <xdr:col>11</xdr:col>
      <xdr:colOff>247657</xdr:colOff>
      <xdr:row>583</xdr:row>
      <xdr:rowOff>95250</xdr:rowOff>
    </xdr:to>
    <xdr:cxnSp macro="">
      <xdr:nvCxnSpPr>
        <xdr:cNvPr id="4" name="Conector: angular 3">
          <a:extLst>
            <a:ext uri="{FF2B5EF4-FFF2-40B4-BE49-F238E27FC236}">
              <a16:creationId xmlns:a16="http://schemas.microsoft.com/office/drawing/2014/main" id="{5197EB49-73AF-45CF-AB50-A9455CD97133}"/>
            </a:ext>
          </a:extLst>
        </xdr:cNvPr>
        <xdr:cNvCxnSpPr/>
      </xdr:nvCxnSpPr>
      <xdr:spPr>
        <a:xfrm rot="5400000">
          <a:off x="7115178" y="104679746"/>
          <a:ext cx="8582026" cy="942982"/>
        </a:xfrm>
        <a:prstGeom prst="bentConnector3">
          <a:avLst>
            <a:gd name="adj1" fmla="val 1000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123826</xdr:colOff>
      <xdr:row>620</xdr:row>
      <xdr:rowOff>76199</xdr:rowOff>
    </xdr:from>
    <xdr:to>
      <xdr:col>11</xdr:col>
      <xdr:colOff>266708</xdr:colOff>
      <xdr:row>641</xdr:row>
      <xdr:rowOff>123824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3C0DACB8-9A67-424B-825B-A9A5D85DD06F}"/>
            </a:ext>
          </a:extLst>
        </xdr:cNvPr>
        <xdr:cNvCxnSpPr/>
      </xdr:nvCxnSpPr>
      <xdr:spPr>
        <a:xfrm rot="5400000">
          <a:off x="9534529" y="119757821"/>
          <a:ext cx="4048125" cy="904882"/>
        </a:xfrm>
        <a:prstGeom prst="bentConnector3">
          <a:avLst>
            <a:gd name="adj1" fmla="val 998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650</xdr:row>
      <xdr:rowOff>47627</xdr:rowOff>
    </xdr:from>
    <xdr:to>
      <xdr:col>11</xdr:col>
      <xdr:colOff>190507</xdr:colOff>
      <xdr:row>674</xdr:row>
      <xdr:rowOff>95252</xdr:rowOff>
    </xdr:to>
    <xdr:cxnSp macro="">
      <xdr:nvCxnSpPr>
        <xdr:cNvPr id="8" name="Conector: angular 7">
          <a:extLst>
            <a:ext uri="{FF2B5EF4-FFF2-40B4-BE49-F238E27FC236}">
              <a16:creationId xmlns:a16="http://schemas.microsoft.com/office/drawing/2014/main" id="{DDA611D6-6E12-446E-8558-90FD9967547E}"/>
            </a:ext>
          </a:extLst>
        </xdr:cNvPr>
        <xdr:cNvCxnSpPr/>
      </xdr:nvCxnSpPr>
      <xdr:spPr>
        <a:xfrm rot="5400000">
          <a:off x="9458328" y="125253749"/>
          <a:ext cx="4048125" cy="904882"/>
        </a:xfrm>
        <a:prstGeom prst="bentConnector3">
          <a:avLst>
            <a:gd name="adj1" fmla="val 998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354</xdr:row>
      <xdr:rowOff>57149</xdr:rowOff>
    </xdr:from>
    <xdr:to>
      <xdr:col>9</xdr:col>
      <xdr:colOff>228600</xdr:colOff>
      <xdr:row>364</xdr:row>
      <xdr:rowOff>133348</xdr:rowOff>
    </xdr:to>
    <xdr:cxnSp macro="">
      <xdr:nvCxnSpPr>
        <xdr:cNvPr id="2" name="Conector angular 3">
          <a:extLst>
            <a:ext uri="{FF2B5EF4-FFF2-40B4-BE49-F238E27FC236}">
              <a16:creationId xmlns:a16="http://schemas.microsoft.com/office/drawing/2014/main" id="{4DA55E75-5517-49BF-AB84-68BB4670018B}"/>
            </a:ext>
          </a:extLst>
        </xdr:cNvPr>
        <xdr:cNvCxnSpPr/>
      </xdr:nvCxnSpPr>
      <xdr:spPr>
        <a:xfrm rot="10800000" flipV="1">
          <a:off x="4543425" y="67875149"/>
          <a:ext cx="3638550" cy="19811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362</xdr:row>
      <xdr:rowOff>28575</xdr:rowOff>
    </xdr:from>
    <xdr:to>
      <xdr:col>8</xdr:col>
      <xdr:colOff>714375</xdr:colOff>
      <xdr:row>364</xdr:row>
      <xdr:rowOff>171450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47B5B76-87DB-4E24-8ED8-C1668A4F1A76}"/>
            </a:ext>
          </a:extLst>
        </xdr:cNvPr>
        <xdr:cNvCxnSpPr/>
      </xdr:nvCxnSpPr>
      <xdr:spPr>
        <a:xfrm>
          <a:off x="7715250" y="69370575"/>
          <a:ext cx="9525" cy="523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"/>
  <sheetViews>
    <sheetView topLeftCell="A58" zoomScale="80" zoomScaleNormal="80" workbookViewId="0">
      <selection activeCell="T100" sqref="T100:T101"/>
    </sheetView>
  </sheetViews>
  <sheetFormatPr baseColWidth="10" defaultRowHeight="15" x14ac:dyDescent="0.25"/>
  <cols>
    <col min="1" max="1" width="3.85546875" customWidth="1"/>
    <col min="2" max="2" width="18.42578125" customWidth="1"/>
    <col min="3" max="3" width="13" bestFit="1" customWidth="1"/>
    <col min="4" max="4" width="18.85546875" bestFit="1" customWidth="1"/>
    <col min="8" max="8" width="10.7109375" customWidth="1"/>
    <col min="12" max="12" width="13" bestFit="1" customWidth="1"/>
    <col min="13" max="13" width="5.28515625" customWidth="1"/>
    <col min="18" max="18" width="13.28515625" customWidth="1"/>
    <col min="22" max="22" width="5.7109375" customWidth="1"/>
    <col min="24" max="24" width="0" hidden="1" customWidth="1"/>
    <col min="26" max="26" width="15.140625" customWidth="1"/>
  </cols>
  <sheetData>
    <row r="1" spans="1:29" x14ac:dyDescent="0.25">
      <c r="A1" s="1" t="s">
        <v>0</v>
      </c>
      <c r="S1" s="2"/>
      <c r="W1" s="2"/>
      <c r="Z1" s="3"/>
    </row>
    <row r="2" spans="1:29" ht="30.75" thickBot="1" x14ac:dyDescent="0.3">
      <c r="A2" s="4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6" t="s">
        <v>7</v>
      </c>
      <c r="I2" s="7" t="s">
        <v>8</v>
      </c>
      <c r="J2" s="4" t="s">
        <v>9</v>
      </c>
      <c r="K2" s="8" t="s">
        <v>10</v>
      </c>
      <c r="L2" s="8" t="s">
        <v>11</v>
      </c>
      <c r="M2" s="4" t="s">
        <v>12</v>
      </c>
      <c r="N2" s="4" t="s">
        <v>13</v>
      </c>
      <c r="O2" s="9" t="s">
        <v>14</v>
      </c>
      <c r="P2" s="10" t="s">
        <v>15</v>
      </c>
      <c r="Q2" s="9" t="s">
        <v>16</v>
      </c>
      <c r="R2" s="11" t="s">
        <v>17</v>
      </c>
      <c r="S2" s="11" t="s">
        <v>18</v>
      </c>
      <c r="T2" s="12" t="s">
        <v>19</v>
      </c>
      <c r="U2" s="9" t="s">
        <v>20</v>
      </c>
      <c r="V2" s="9" t="s">
        <v>21</v>
      </c>
      <c r="W2" s="12" t="s">
        <v>22</v>
      </c>
      <c r="X2" s="9" t="s">
        <v>23</v>
      </c>
      <c r="Y2" s="9" t="s">
        <v>24</v>
      </c>
      <c r="Z2" s="13" t="s">
        <v>25</v>
      </c>
      <c r="AA2" s="9"/>
    </row>
    <row r="3" spans="1:29" x14ac:dyDescent="0.25">
      <c r="A3" s="26"/>
      <c r="B3" s="27" t="s">
        <v>30</v>
      </c>
      <c r="C3" t="s">
        <v>31</v>
      </c>
      <c r="D3" s="28" t="s">
        <v>31</v>
      </c>
      <c r="E3" t="s">
        <v>32</v>
      </c>
      <c r="F3" s="29">
        <f>41304*0.4536</f>
        <v>18735.4944</v>
      </c>
      <c r="G3" s="30">
        <v>18623.439999999999</v>
      </c>
      <c r="H3" s="30">
        <f t="shared" ref="H3" si="0">G3-F3</f>
        <v>-112.0544000000009</v>
      </c>
      <c r="I3" s="28" t="s">
        <v>195</v>
      </c>
      <c r="J3" s="52" t="s">
        <v>196</v>
      </c>
      <c r="K3" s="31">
        <v>43465</v>
      </c>
      <c r="L3" s="31">
        <v>43467</v>
      </c>
      <c r="M3" s="28" t="s">
        <v>33</v>
      </c>
      <c r="N3" s="28" t="s">
        <v>34</v>
      </c>
      <c r="O3" s="2"/>
      <c r="P3" s="32">
        <f>0.4547+0.095</f>
        <v>0.54969999999999997</v>
      </c>
      <c r="Q3" s="116">
        <v>26000</v>
      </c>
      <c r="R3" s="2">
        <v>90578</v>
      </c>
      <c r="S3" s="68">
        <v>19.970050000000001</v>
      </c>
      <c r="T3" s="141">
        <f t="shared" ref="T3" si="1">X3*F3*0.005</f>
        <v>2864.7341638616613</v>
      </c>
      <c r="V3" s="2">
        <v>0.12</v>
      </c>
      <c r="W3" s="2">
        <v>0.3</v>
      </c>
      <c r="X3" s="2">
        <f>IF(O3&gt;0,O3,((P3*2.2046*S3)+(Q3+R3)/G3)+V3)</f>
        <v>30.58082271756502</v>
      </c>
      <c r="Y3" s="2">
        <f>IF(O3&gt;0,O3,((P3*2.2046*S3)+(Q3+R3+T3)/G3)+V3+W3)</f>
        <v>31.034646831899519</v>
      </c>
      <c r="Z3" s="3">
        <f>Y3*F3</f>
        <v>581449.45192503114</v>
      </c>
      <c r="AA3" s="34">
        <v>43458</v>
      </c>
      <c r="AB3" s="3"/>
      <c r="AC3" s="35"/>
    </row>
    <row r="4" spans="1:29" x14ac:dyDescent="0.25">
      <c r="A4" s="26"/>
      <c r="B4" s="27" t="s">
        <v>30</v>
      </c>
      <c r="C4" s="28" t="s">
        <v>35</v>
      </c>
      <c r="D4" s="28" t="s">
        <v>36</v>
      </c>
      <c r="E4" t="s">
        <v>32</v>
      </c>
      <c r="F4" s="29">
        <f>39462*0.4536</f>
        <v>17899.963199999998</v>
      </c>
      <c r="G4" s="30">
        <v>17759.46</v>
      </c>
      <c r="H4" s="30">
        <f>G4-F4</f>
        <v>-140.5031999999992</v>
      </c>
      <c r="I4" t="s">
        <v>197</v>
      </c>
      <c r="J4" s="52" t="s">
        <v>196</v>
      </c>
      <c r="K4" s="31">
        <v>43465</v>
      </c>
      <c r="L4" s="31">
        <v>43467</v>
      </c>
      <c r="M4" s="28" t="s">
        <v>33</v>
      </c>
      <c r="N4" s="28" t="s">
        <v>38</v>
      </c>
      <c r="O4" s="2"/>
      <c r="P4" s="32">
        <f>0.4629+0.1</f>
        <v>0.56289999999999996</v>
      </c>
      <c r="Q4" s="116">
        <v>26000</v>
      </c>
      <c r="R4" s="2">
        <v>88927</v>
      </c>
      <c r="S4" s="68">
        <v>19.71</v>
      </c>
      <c r="T4" s="141">
        <f>X4*F4*0.005</f>
        <v>2779.0424367107107</v>
      </c>
      <c r="V4" s="2">
        <v>0.12</v>
      </c>
      <c r="W4" s="2">
        <v>0.3</v>
      </c>
      <c r="X4" s="2">
        <f>IF(O4&gt;0,O4,((P4*2.2046*S4)+(Q4+R4)/G4)+V4)</f>
        <v>31.050817319118412</v>
      </c>
      <c r="Y4" s="2">
        <f>IF(O4&gt;0,O4,((P4*2.2046*S4)+(Q4+R4+T4)/G4)+V4+W4)</f>
        <v>31.507299691708049</v>
      </c>
      <c r="Z4" s="3">
        <f>Y4*F4</f>
        <v>563979.50501294539</v>
      </c>
      <c r="AA4" s="34">
        <v>43468</v>
      </c>
      <c r="AB4" s="3"/>
      <c r="AC4" s="35"/>
    </row>
    <row r="5" spans="1:29" x14ac:dyDescent="0.25">
      <c r="A5" s="26"/>
      <c r="B5" s="27" t="s">
        <v>30</v>
      </c>
      <c r="C5" s="28" t="s">
        <v>31</v>
      </c>
      <c r="D5" s="28" t="s">
        <v>36</v>
      </c>
      <c r="E5" t="s">
        <v>32</v>
      </c>
      <c r="F5" s="29">
        <f>40801*0.4536</f>
        <v>18507.333600000002</v>
      </c>
      <c r="G5" s="30">
        <v>18395.439999999999</v>
      </c>
      <c r="H5" s="30">
        <f>G5-F5</f>
        <v>-111.89360000000306</v>
      </c>
      <c r="I5" t="s">
        <v>198</v>
      </c>
      <c r="J5" s="52" t="s">
        <v>199</v>
      </c>
      <c r="K5" s="31">
        <v>43465</v>
      </c>
      <c r="L5" s="31">
        <v>43467</v>
      </c>
      <c r="M5" s="28" t="s">
        <v>33</v>
      </c>
      <c r="N5" s="28" t="s">
        <v>39</v>
      </c>
      <c r="O5" s="2"/>
      <c r="P5" s="32">
        <f>0.4547+0.105</f>
        <v>0.55969999999999998</v>
      </c>
      <c r="Q5" s="116">
        <v>26001</v>
      </c>
      <c r="R5" s="2">
        <v>92564</v>
      </c>
      <c r="S5" s="68">
        <v>19.655000000000001</v>
      </c>
      <c r="T5" s="141">
        <f>X5*F5*0.005</f>
        <v>2851.7894064647689</v>
      </c>
      <c r="V5" s="2">
        <v>0.12</v>
      </c>
      <c r="W5" s="2">
        <v>0.3</v>
      </c>
      <c r="X5" s="2">
        <f>IF(O5&gt;0,O5,((P5*2.2046*S5)+(Q5+R5)/G5)+V5)</f>
        <v>30.817939181306684</v>
      </c>
      <c r="Y5" s="2">
        <f>IF(O5&gt;0,O5,((P5*2.2046*S5)+(Q5+R5+T5)/G5)+V5+W5)</f>
        <v>31.272966155734302</v>
      </c>
      <c r="Z5" s="3">
        <f>Y5*F5</f>
        <v>578779.21730568435</v>
      </c>
      <c r="AA5" s="34">
        <v>43104</v>
      </c>
      <c r="AB5" s="3"/>
      <c r="AC5" s="35"/>
    </row>
    <row r="6" spans="1:29" x14ac:dyDescent="0.25">
      <c r="A6" s="26"/>
      <c r="B6" s="27" t="s">
        <v>30</v>
      </c>
      <c r="C6" s="28" t="s">
        <v>40</v>
      </c>
      <c r="D6" s="28" t="s">
        <v>40</v>
      </c>
      <c r="E6" t="s">
        <v>37</v>
      </c>
      <c r="F6" s="29">
        <f>42439*0.4536</f>
        <v>19250.330399999999</v>
      </c>
      <c r="G6" s="30">
        <v>19266.52</v>
      </c>
      <c r="H6" s="30">
        <f>G6-F6</f>
        <v>16.189600000001519</v>
      </c>
      <c r="I6" s="28" t="s">
        <v>200</v>
      </c>
      <c r="J6" s="52" t="s">
        <v>199</v>
      </c>
      <c r="K6" s="31">
        <v>43465</v>
      </c>
      <c r="L6" s="31">
        <v>43467</v>
      </c>
      <c r="M6" s="28" t="s">
        <v>33</v>
      </c>
      <c r="N6" s="28" t="s">
        <v>201</v>
      </c>
      <c r="O6" s="2"/>
      <c r="P6" s="32">
        <f>0.4629+0.105</f>
        <v>0.56789999999999996</v>
      </c>
      <c r="Q6" s="116">
        <v>26000</v>
      </c>
      <c r="R6" s="2">
        <v>95762</v>
      </c>
      <c r="S6" s="68">
        <v>19.983000000000001</v>
      </c>
      <c r="T6" s="141">
        <f>X6*F6*0.005</f>
        <v>3027.9266296900896</v>
      </c>
      <c r="V6" s="2">
        <v>0.12</v>
      </c>
      <c r="W6" s="2">
        <v>0.3</v>
      </c>
      <c r="X6" s="2">
        <f>IF(O6&gt;0,O6,((P6*2.2046*S6)+(Q6+R6)/G6)+V6)</f>
        <v>31.45843802961522</v>
      </c>
      <c r="Y6" s="2">
        <f>IF(O6&gt;0,O6,((P6*2.2046*S6)+(Q6+R6+T6)/G6)+V6+W6)</f>
        <v>31.915598047599275</v>
      </c>
      <c r="Z6" s="3">
        <f>Y6*F6</f>
        <v>614385.80732988089</v>
      </c>
      <c r="AA6" s="34">
        <v>43470</v>
      </c>
      <c r="AB6" s="3"/>
      <c r="AC6" s="35"/>
    </row>
    <row r="7" spans="1:29" x14ac:dyDescent="0.25">
      <c r="A7" s="26"/>
      <c r="B7" s="27" t="s">
        <v>1805</v>
      </c>
      <c r="C7" s="28" t="s">
        <v>40</v>
      </c>
      <c r="D7" s="28" t="s">
        <v>1806</v>
      </c>
      <c r="E7" t="s">
        <v>1807</v>
      </c>
      <c r="F7" s="29">
        <v>913.5</v>
      </c>
      <c r="G7" s="30">
        <v>913.5</v>
      </c>
      <c r="H7" s="30">
        <f>G7-F7</f>
        <v>0</v>
      </c>
      <c r="I7" s="28" t="s">
        <v>1808</v>
      </c>
      <c r="K7" s="31"/>
      <c r="L7" s="31">
        <v>43467</v>
      </c>
      <c r="M7" s="28" t="s">
        <v>33</v>
      </c>
      <c r="N7" s="28"/>
      <c r="O7" s="2">
        <v>18.8</v>
      </c>
      <c r="P7" s="32"/>
      <c r="Q7" s="2"/>
      <c r="R7" s="2"/>
      <c r="S7" s="68"/>
      <c r="T7" s="33"/>
      <c r="V7" s="2"/>
      <c r="W7" s="2"/>
      <c r="X7" s="2">
        <f>IF(O7&gt;0,O7,((P7*2.2046*S7)+(Q7+R7)/G7)+V7)</f>
        <v>18.8</v>
      </c>
      <c r="Y7" s="2">
        <f>IF(O7&gt;0,O7,((P7*2.2046*S7)+(Q7+R7+T7)/G7)+V7+W7)</f>
        <v>18.8</v>
      </c>
      <c r="Z7" s="3">
        <f>Y7*F7</f>
        <v>17173.8</v>
      </c>
      <c r="AA7" s="34">
        <v>43480</v>
      </c>
      <c r="AB7" s="3"/>
      <c r="AC7" s="35"/>
    </row>
    <row r="8" spans="1:29" x14ac:dyDescent="0.25">
      <c r="A8" s="26"/>
      <c r="B8" s="27" t="s">
        <v>30</v>
      </c>
      <c r="C8" s="28" t="s">
        <v>1790</v>
      </c>
      <c r="D8" s="28" t="s">
        <v>1790</v>
      </c>
      <c r="E8" t="s">
        <v>37</v>
      </c>
      <c r="F8" s="29">
        <f>41601*0.4536</f>
        <v>18870.213599999999</v>
      </c>
      <c r="G8" s="30">
        <v>19095.82</v>
      </c>
      <c r="H8" s="30">
        <f t="shared" ref="H8:H11" si="2">G8-F8</f>
        <v>225.60640000000058</v>
      </c>
      <c r="I8" t="s">
        <v>202</v>
      </c>
      <c r="J8" s="52" t="s">
        <v>196</v>
      </c>
      <c r="K8" s="31">
        <v>43467</v>
      </c>
      <c r="L8" s="31">
        <v>43468</v>
      </c>
      <c r="M8" s="28" t="s">
        <v>41</v>
      </c>
      <c r="N8" s="28" t="s">
        <v>203</v>
      </c>
      <c r="O8" s="2"/>
      <c r="P8" s="32">
        <f>0.463+0.095</f>
        <v>0.55800000000000005</v>
      </c>
      <c r="Q8" s="116">
        <v>26000</v>
      </c>
      <c r="R8" s="2">
        <v>89653</v>
      </c>
      <c r="S8" s="68">
        <v>19.36</v>
      </c>
      <c r="T8" s="33">
        <f t="shared" ref="T8" si="3">X8*F8*0.005</f>
        <v>2829.8230466762052</v>
      </c>
      <c r="V8" s="2">
        <v>0.12</v>
      </c>
      <c r="W8" s="2">
        <v>0.3</v>
      </c>
      <c r="X8" s="2">
        <f t="shared" ref="X8" si="4">IF(O8&gt;0,O8,((P8*2.2046*S8)+(Q8+R8)/G8)+V8)</f>
        <v>29.99248558242293</v>
      </c>
      <c r="Y8" s="2">
        <f t="shared" ref="Y8" si="5">IF(O8&gt;0,O8,((P8*2.2046*S8)+(Q8+R8+T8)/G8)+V8+W8)</f>
        <v>30.440676288382466</v>
      </c>
      <c r="Z8" s="3">
        <f t="shared" ref="Z8" si="6">Y8*F8</f>
        <v>574422.06369023235</v>
      </c>
      <c r="AA8" s="34">
        <v>43473</v>
      </c>
      <c r="AB8" s="3"/>
      <c r="AC8" s="35"/>
    </row>
    <row r="9" spans="1:29" x14ac:dyDescent="0.25">
      <c r="A9" s="26"/>
      <c r="B9" s="27" t="s">
        <v>26</v>
      </c>
      <c r="C9" t="s">
        <v>27</v>
      </c>
      <c r="D9" s="28" t="s">
        <v>1636</v>
      </c>
      <c r="E9">
        <v>229</v>
      </c>
      <c r="F9" s="29">
        <v>26345</v>
      </c>
      <c r="G9" s="30">
        <v>18500</v>
      </c>
      <c r="H9" s="30">
        <f t="shared" si="2"/>
        <v>-7845</v>
      </c>
      <c r="I9" t="s">
        <v>1637</v>
      </c>
      <c r="J9" s="55">
        <v>200</v>
      </c>
      <c r="K9" s="31"/>
      <c r="L9" s="31">
        <v>43468</v>
      </c>
      <c r="M9" s="28" t="s">
        <v>41</v>
      </c>
      <c r="O9" s="2">
        <v>28</v>
      </c>
      <c r="P9" s="32"/>
      <c r="Q9" s="69">
        <v>21300</v>
      </c>
      <c r="R9" s="2">
        <f>72*E9</f>
        <v>16488</v>
      </c>
      <c r="S9" s="33">
        <f>-38*E9</f>
        <v>-8702</v>
      </c>
      <c r="T9" s="33">
        <f>X9*F9*0.0045</f>
        <v>4920.832312297297</v>
      </c>
      <c r="U9" s="2">
        <f>E9*5</f>
        <v>1145</v>
      </c>
      <c r="W9" s="2">
        <v>0.3</v>
      </c>
      <c r="X9" s="2">
        <f t="shared" ref="X9" si="7">((O9*F9)+Q9+R9+S9+U9)/G9</f>
        <v>41.507621621621624</v>
      </c>
      <c r="Y9" s="2">
        <f>((O9*F9)+Q9+R9+S9+T9+U9)/G9+W9</f>
        <v>42.073612557421477</v>
      </c>
      <c r="Z9" s="3">
        <f>Y9*G9</f>
        <v>778361.83231229731</v>
      </c>
      <c r="AA9" s="34">
        <v>43481</v>
      </c>
      <c r="AB9" s="3"/>
      <c r="AC9" s="35"/>
    </row>
    <row r="10" spans="1:29" x14ac:dyDescent="0.25">
      <c r="A10" s="26"/>
      <c r="B10" s="27" t="s">
        <v>26</v>
      </c>
      <c r="C10" t="s">
        <v>27</v>
      </c>
      <c r="D10" s="28" t="s">
        <v>1700</v>
      </c>
      <c r="E10">
        <v>100</v>
      </c>
      <c r="F10" s="29">
        <v>11545</v>
      </c>
      <c r="G10" s="30">
        <v>11520</v>
      </c>
      <c r="H10" s="30">
        <f t="shared" si="2"/>
        <v>-25</v>
      </c>
      <c r="I10" t="s">
        <v>1638</v>
      </c>
      <c r="J10" s="55">
        <v>127</v>
      </c>
      <c r="K10" s="119">
        <v>0.7923</v>
      </c>
      <c r="L10" s="31">
        <v>43468</v>
      </c>
      <c r="M10" s="28" t="s">
        <v>41</v>
      </c>
      <c r="O10" s="2">
        <v>28</v>
      </c>
      <c r="P10" s="32"/>
      <c r="Q10" s="116">
        <v>16900</v>
      </c>
      <c r="R10" s="2">
        <f>72*E10</f>
        <v>7200</v>
      </c>
      <c r="S10" s="33">
        <f>-38*E10</f>
        <v>-3800</v>
      </c>
      <c r="T10" s="33">
        <f>X10*F10*0.0045</f>
        <v>1551.6299609374996</v>
      </c>
      <c r="U10" s="2">
        <f>E10*5</f>
        <v>500</v>
      </c>
      <c r="W10" s="2">
        <v>0.3</v>
      </c>
      <c r="X10" s="2">
        <f>((O10*F10)+Q10+R10+S10+U10)/G10</f>
        <v>29.866319444444443</v>
      </c>
      <c r="Y10" s="2">
        <f>((O10*F10)+Q10+R10+S10+T10+U10)/G10+W10</f>
        <v>30.301009545220268</v>
      </c>
      <c r="Z10" s="3">
        <f>Y10*G10</f>
        <v>349067.62996093748</v>
      </c>
      <c r="AA10" s="34">
        <v>43481</v>
      </c>
      <c r="AB10" s="3">
        <v>37.549999999999997</v>
      </c>
      <c r="AC10" s="35" t="s">
        <v>1639</v>
      </c>
    </row>
    <row r="11" spans="1:29" x14ac:dyDescent="0.25">
      <c r="A11" s="26"/>
      <c r="B11" s="27" t="s">
        <v>30</v>
      </c>
      <c r="C11" s="28" t="s">
        <v>1790</v>
      </c>
      <c r="D11" s="28" t="s">
        <v>1790</v>
      </c>
      <c r="E11" t="s">
        <v>32</v>
      </c>
      <c r="F11" s="29">
        <f>42272*0.4536</f>
        <v>19174.5792</v>
      </c>
      <c r="G11" s="30">
        <v>19067.86</v>
      </c>
      <c r="H11" s="30">
        <f t="shared" si="2"/>
        <v>-106.71919999999955</v>
      </c>
      <c r="I11" t="s">
        <v>204</v>
      </c>
      <c r="J11" s="52" t="s">
        <v>196</v>
      </c>
      <c r="K11" s="31">
        <v>43468</v>
      </c>
      <c r="L11" s="31">
        <v>43469</v>
      </c>
      <c r="M11" s="28" t="s">
        <v>45</v>
      </c>
      <c r="N11" s="28" t="s">
        <v>203</v>
      </c>
      <c r="O11" s="2"/>
      <c r="P11" s="32">
        <f>0.463+0.095</f>
        <v>0.55800000000000005</v>
      </c>
      <c r="Q11" s="116">
        <v>26000</v>
      </c>
      <c r="R11" s="2">
        <v>90918</v>
      </c>
      <c r="S11" s="68">
        <v>19.390999999999998</v>
      </c>
      <c r="T11" s="33">
        <f t="shared" ref="T11" si="8">X11*F11*0.005</f>
        <v>2886.3344114895108</v>
      </c>
      <c r="V11" s="2">
        <v>0.12</v>
      </c>
      <c r="W11" s="2">
        <v>0.3</v>
      </c>
      <c r="X11" s="2">
        <f t="shared" ref="X11" si="9">IF(O11&gt;0,O11,((P11*2.2046*S11)+(Q11+R11)/G11)+V11)</f>
        <v>30.105843589928799</v>
      </c>
      <c r="Y11" s="2">
        <f t="shared" ref="Y11" si="10">IF(O11&gt;0,O11,((P11*2.2046*S11)+(Q11+R11+T11)/G11)+V11+W11)</f>
        <v>30.55721529139344</v>
      </c>
      <c r="Z11" s="3">
        <f t="shared" ref="Z11" si="11">Y11*F11</f>
        <v>585921.74473627459</v>
      </c>
      <c r="AA11" s="34">
        <v>43472</v>
      </c>
      <c r="AB11" s="3"/>
      <c r="AC11" s="35"/>
    </row>
    <row r="12" spans="1:29" x14ac:dyDescent="0.25">
      <c r="A12" s="26"/>
      <c r="B12" s="27" t="s">
        <v>30</v>
      </c>
      <c r="C12" s="28" t="s">
        <v>40</v>
      </c>
      <c r="D12" s="28" t="s">
        <v>40</v>
      </c>
      <c r="E12" t="s">
        <v>37</v>
      </c>
      <c r="F12" s="29">
        <f>42798*0.4536</f>
        <v>19413.1728</v>
      </c>
      <c r="G12" s="30">
        <v>19379.080000000002</v>
      </c>
      <c r="H12" s="30">
        <f>G12-F12</f>
        <v>-34.092799999998533</v>
      </c>
      <c r="I12" s="28" t="s">
        <v>205</v>
      </c>
      <c r="J12" s="52" t="s">
        <v>1625</v>
      </c>
      <c r="K12" s="31">
        <v>43468</v>
      </c>
      <c r="L12" s="31">
        <v>43469</v>
      </c>
      <c r="M12" s="28" t="s">
        <v>45</v>
      </c>
      <c r="N12" s="28" t="s">
        <v>42</v>
      </c>
      <c r="O12" s="2"/>
      <c r="P12" s="32">
        <f>0.463+0.105</f>
        <v>0.56800000000000006</v>
      </c>
      <c r="Q12" s="116">
        <v>26000</v>
      </c>
      <c r="R12" s="2">
        <v>98759</v>
      </c>
      <c r="S12" s="68">
        <v>19.913</v>
      </c>
      <c r="T12" s="33">
        <f>X12*F12*0.005</f>
        <v>3056.9080676433659</v>
      </c>
      <c r="V12" s="2">
        <v>0.12</v>
      </c>
      <c r="W12" s="2">
        <v>0.3</v>
      </c>
      <c r="X12" s="2">
        <f>IF(O12&gt;0,O12,((P12*2.2046*S12)+(Q12+R12)/G12)+V12)</f>
        <v>31.49313199997237</v>
      </c>
      <c r="Y12" s="2">
        <f>IF(O12&gt;0,O12,((P12*2.2046*S12)+(Q12+R12+T12)/G12)+V12+W12)</f>
        <v>31.950874682681942</v>
      </c>
      <c r="Z12" s="3">
        <f>Y12*F12</f>
        <v>620267.85132604977</v>
      </c>
      <c r="AA12" s="34">
        <v>43461</v>
      </c>
      <c r="AB12" s="3"/>
      <c r="AC12" s="35"/>
    </row>
    <row r="13" spans="1:29" x14ac:dyDescent="0.25">
      <c r="A13" s="26"/>
      <c r="B13" s="27" t="s">
        <v>26</v>
      </c>
      <c r="C13" t="s">
        <v>43</v>
      </c>
      <c r="D13" s="28" t="s">
        <v>44</v>
      </c>
      <c r="E13">
        <v>235</v>
      </c>
      <c r="F13" s="29">
        <v>20708.400000000001</v>
      </c>
      <c r="G13" s="30">
        <v>20708</v>
      </c>
      <c r="H13" s="30">
        <f t="shared" ref="H13:H16" si="12">G13-F13</f>
        <v>-0.40000000000145519</v>
      </c>
      <c r="I13" t="s">
        <v>1706</v>
      </c>
      <c r="K13" s="31"/>
      <c r="L13" s="31">
        <v>43469</v>
      </c>
      <c r="M13" s="28" t="s">
        <v>45</v>
      </c>
      <c r="O13" s="2">
        <v>35.4</v>
      </c>
      <c r="P13" s="32"/>
      <c r="Q13" s="69">
        <v>21300</v>
      </c>
      <c r="R13" s="2"/>
      <c r="S13" s="33"/>
      <c r="T13" s="33">
        <f>X13*F13*0.0045</f>
        <v>3400.0512948236428</v>
      </c>
      <c r="U13" s="2">
        <f>E13*5</f>
        <v>1175</v>
      </c>
      <c r="W13" s="2">
        <v>0.3</v>
      </c>
      <c r="X13" s="2">
        <f>((O13*F13)+Q13+R13+S13+U13)/G13</f>
        <v>36.486013135020279</v>
      </c>
      <c r="Y13" s="2">
        <f>((O13*F13)+Q13+R13+S13+T13+U13)/G13+W13</f>
        <v>36.950203365598973</v>
      </c>
      <c r="Z13" s="3">
        <f>Y13*G13</f>
        <v>765164.81129482354</v>
      </c>
      <c r="AA13" s="34">
        <v>43476</v>
      </c>
      <c r="AB13" s="3"/>
      <c r="AC13" s="35"/>
    </row>
    <row r="14" spans="1:29" x14ac:dyDescent="0.25">
      <c r="A14" s="26"/>
      <c r="B14" s="27" t="s">
        <v>26</v>
      </c>
      <c r="C14" t="s">
        <v>27</v>
      </c>
      <c r="D14" s="28" t="s">
        <v>1634</v>
      </c>
      <c r="E14">
        <f>120+10</f>
        <v>130</v>
      </c>
      <c r="F14" s="29">
        <f>13765+1145</f>
        <v>14910</v>
      </c>
      <c r="G14" s="30">
        <v>11950</v>
      </c>
      <c r="H14" s="30">
        <f t="shared" si="12"/>
        <v>-2960</v>
      </c>
      <c r="I14" s="28" t="s">
        <v>1635</v>
      </c>
      <c r="K14" s="31"/>
      <c r="L14" s="31">
        <v>43469</v>
      </c>
      <c r="M14" s="28" t="s">
        <v>45</v>
      </c>
      <c r="O14" s="2">
        <v>27.5</v>
      </c>
      <c r="P14" s="32"/>
      <c r="Q14" s="116">
        <v>16900</v>
      </c>
      <c r="R14" s="2">
        <f>72*E14</f>
        <v>9360</v>
      </c>
      <c r="S14" s="33">
        <f>-38*E14</f>
        <v>-4940</v>
      </c>
      <c r="T14" s="33">
        <f>X14*F14*0.0045</f>
        <v>2425.4982866108785</v>
      </c>
      <c r="U14" s="2">
        <f>E14*5</f>
        <v>650</v>
      </c>
      <c r="W14" s="2">
        <v>0.3</v>
      </c>
      <c r="X14" s="2">
        <f>((O14*F14)+Q14+R14+S14+U14)/G14</f>
        <v>36.150209205020921</v>
      </c>
      <c r="Y14" s="2">
        <f>((O14*F14)+Q14+R14+S14+T14+U14)/G14+W14</f>
        <v>36.653179772938145</v>
      </c>
      <c r="Z14" s="3">
        <f>Y14*G14</f>
        <v>438005.49828661082</v>
      </c>
      <c r="AA14" s="34">
        <v>43482</v>
      </c>
      <c r="AB14" s="3"/>
      <c r="AC14" s="35" t="s">
        <v>1651</v>
      </c>
    </row>
    <row r="15" spans="1:29" x14ac:dyDescent="0.25">
      <c r="A15" s="26"/>
      <c r="B15" s="27" t="s">
        <v>30</v>
      </c>
      <c r="C15" t="s">
        <v>40</v>
      </c>
      <c r="D15" s="28" t="s">
        <v>40</v>
      </c>
      <c r="E15" t="s">
        <v>37</v>
      </c>
      <c r="F15" s="29">
        <f>41671*0.4536</f>
        <v>18901.9656</v>
      </c>
      <c r="G15" s="30">
        <v>18909.27</v>
      </c>
      <c r="H15" s="30">
        <f t="shared" si="12"/>
        <v>7.3044000000008964</v>
      </c>
      <c r="I15" s="28" t="s">
        <v>206</v>
      </c>
      <c r="J15" s="52" t="s">
        <v>196</v>
      </c>
      <c r="K15" s="31">
        <v>43469</v>
      </c>
      <c r="L15" s="31">
        <v>43470</v>
      </c>
      <c r="M15" s="28" t="s">
        <v>46</v>
      </c>
      <c r="N15" s="28" t="s">
        <v>47</v>
      </c>
      <c r="O15" s="2"/>
      <c r="P15" s="32">
        <f>0.4568+0.105</f>
        <v>0.56179999999999997</v>
      </c>
      <c r="Q15" s="116">
        <v>26000</v>
      </c>
      <c r="R15" s="2">
        <v>92277</v>
      </c>
      <c r="S15" s="68">
        <v>19.71</v>
      </c>
      <c r="T15" s="33">
        <f>X15*F15*0.005</f>
        <v>2909.6440366549778</v>
      </c>
      <c r="V15" s="2">
        <v>0.12</v>
      </c>
      <c r="W15" s="2">
        <v>0.3</v>
      </c>
      <c r="X15" s="2">
        <f>IF(O15&gt;0,O15,((P15*2.2046*S15)+(Q15+R15)/G15)+V15)</f>
        <v>30.786682170821194</v>
      </c>
      <c r="Y15" s="2">
        <f>IF(O15&gt;0,O15,((P15*2.2046*S15)+(Q15+R15+T15)/G15)+V15+W15)</f>
        <v>31.240556119241994</v>
      </c>
      <c r="Z15" s="3">
        <f>Y15*F15</f>
        <v>590507.91709078162</v>
      </c>
      <c r="AA15" s="34">
        <v>43465</v>
      </c>
      <c r="AB15" s="3"/>
      <c r="AC15" s="35"/>
    </row>
    <row r="16" spans="1:29" x14ac:dyDescent="0.25">
      <c r="A16" s="26"/>
      <c r="B16" s="27" t="s">
        <v>1732</v>
      </c>
      <c r="C16" t="s">
        <v>1810</v>
      </c>
      <c r="D16" s="28" t="s">
        <v>1806</v>
      </c>
      <c r="E16" t="s">
        <v>1811</v>
      </c>
      <c r="F16" s="29">
        <v>1634.4</v>
      </c>
      <c r="G16" s="30">
        <v>1634.4</v>
      </c>
      <c r="H16" s="30">
        <f t="shared" si="12"/>
        <v>0</v>
      </c>
      <c r="I16" s="28" t="s">
        <v>1812</v>
      </c>
      <c r="K16" s="31"/>
      <c r="L16" s="31">
        <v>43470</v>
      </c>
      <c r="M16" s="28" t="s">
        <v>46</v>
      </c>
      <c r="N16" s="28"/>
      <c r="O16" s="2">
        <v>64</v>
      </c>
      <c r="P16" s="32"/>
      <c r="Q16" s="2"/>
      <c r="R16" s="2"/>
      <c r="S16" s="68"/>
      <c r="T16" s="33"/>
      <c r="V16" s="2"/>
      <c r="W16" s="2"/>
      <c r="X16" s="2">
        <f>IF(O16&gt;0,O16,((P16*2.2046*S16)+(Q16+R16)/G16)+V16)</f>
        <v>64</v>
      </c>
      <c r="Y16" s="2">
        <f>IF(O16&gt;0,O16,((P16*2.2046*S16)+(Q16+R16+T16)/G16)+V16+W16)</f>
        <v>64</v>
      </c>
      <c r="Z16" s="3">
        <f>Y16*F16</f>
        <v>104601.60000000001</v>
      </c>
      <c r="AA16" s="34">
        <v>43480</v>
      </c>
      <c r="AB16" s="3"/>
      <c r="AC16" s="35"/>
    </row>
    <row r="17" spans="1:32" ht="15.75" thickBot="1" x14ac:dyDescent="0.3">
      <c r="A17" s="40"/>
      <c r="B17" s="41"/>
      <c r="C17" s="4"/>
      <c r="D17" s="4"/>
      <c r="E17" s="4"/>
      <c r="F17" s="42"/>
      <c r="G17" s="42"/>
      <c r="H17" s="42"/>
      <c r="I17" s="7"/>
      <c r="J17" s="4"/>
      <c r="K17" s="8"/>
      <c r="L17" s="8"/>
      <c r="M17" s="4"/>
      <c r="N17" s="4"/>
      <c r="O17" s="9"/>
      <c r="P17" s="10"/>
      <c r="Q17" s="9"/>
      <c r="R17" s="9"/>
      <c r="S17" s="9"/>
      <c r="T17" s="9"/>
      <c r="U17" s="9"/>
      <c r="V17" s="9"/>
      <c r="W17" s="9"/>
      <c r="X17" s="9"/>
      <c r="Y17" s="9"/>
      <c r="Z17" s="13"/>
      <c r="AA17" s="43"/>
      <c r="AB17" s="3"/>
      <c r="AC17" s="35"/>
    </row>
    <row r="18" spans="1:32" ht="15.75" thickTop="1" x14ac:dyDescent="0.25">
      <c r="A18" s="44"/>
      <c r="B18" s="14" t="s">
        <v>26</v>
      </c>
      <c r="C18" s="14" t="s">
        <v>27</v>
      </c>
      <c r="D18" s="15" t="s">
        <v>1682</v>
      </c>
      <c r="E18" s="14">
        <v>230</v>
      </c>
      <c r="F18" s="16">
        <v>24440</v>
      </c>
      <c r="G18" s="17">
        <v>16990</v>
      </c>
      <c r="H18" s="18">
        <f t="shared" ref="H18:H21" si="13">G18-F18</f>
        <v>-7450</v>
      </c>
      <c r="I18" s="19" t="s">
        <v>1683</v>
      </c>
      <c r="J18" s="121">
        <v>200</v>
      </c>
      <c r="K18" s="20"/>
      <c r="L18" s="20">
        <v>43471</v>
      </c>
      <c r="M18" s="15" t="s">
        <v>28</v>
      </c>
      <c r="N18" s="14"/>
      <c r="O18" s="21">
        <v>28</v>
      </c>
      <c r="P18" s="22"/>
      <c r="Q18" s="120">
        <v>21300</v>
      </c>
      <c r="R18" s="2">
        <f>72*E18</f>
        <v>16560</v>
      </c>
      <c r="S18" s="21">
        <f>-38*E18</f>
        <v>-8740</v>
      </c>
      <c r="T18" s="23">
        <f>X18*F18*0.0045</f>
        <v>4625.6979517363152</v>
      </c>
      <c r="U18" s="21">
        <f>E18*5</f>
        <v>1150</v>
      </c>
      <c r="V18" s="14"/>
      <c r="W18" s="21">
        <v>0.3</v>
      </c>
      <c r="X18" s="21">
        <f>((O18*F18)+Q18+R18+S18+U18)/G18</f>
        <v>42.059446733372575</v>
      </c>
      <c r="Y18" s="24">
        <f>((O18*F18)+Q18+R18+S18+T18+U18)/G18+W18</f>
        <v>42.631706765846744</v>
      </c>
      <c r="Z18" s="24">
        <f>Y18*G18</f>
        <v>724312.69795173616</v>
      </c>
      <c r="AA18" s="25">
        <v>43486</v>
      </c>
      <c r="AB18" s="3"/>
      <c r="AC18" s="3"/>
    </row>
    <row r="19" spans="1:32" x14ac:dyDescent="0.25">
      <c r="A19" s="45"/>
      <c r="B19" s="27" t="s">
        <v>26</v>
      </c>
      <c r="C19" t="s">
        <v>27</v>
      </c>
      <c r="D19" s="28" t="s">
        <v>1684</v>
      </c>
      <c r="E19">
        <v>100</v>
      </c>
      <c r="F19" s="29">
        <v>10780</v>
      </c>
      <c r="G19" s="30">
        <v>11170</v>
      </c>
      <c r="H19" s="30">
        <f t="shared" si="13"/>
        <v>390</v>
      </c>
      <c r="I19" s="28" t="s">
        <v>1685</v>
      </c>
      <c r="J19" s="55">
        <v>130</v>
      </c>
      <c r="K19" s="31"/>
      <c r="L19" s="31">
        <v>43471</v>
      </c>
      <c r="M19" s="28" t="s">
        <v>28</v>
      </c>
      <c r="O19" s="2">
        <v>28</v>
      </c>
      <c r="P19" s="32"/>
      <c r="Q19" s="116">
        <v>16900</v>
      </c>
      <c r="R19" s="2">
        <f>72*E19</f>
        <v>7200</v>
      </c>
      <c r="S19" s="33">
        <f>-38*E19</f>
        <v>-3800</v>
      </c>
      <c r="T19" s="33">
        <f>X19*F19*0.0045</f>
        <v>1401.1876812891671</v>
      </c>
      <c r="U19" s="2">
        <f>E19*5</f>
        <v>500</v>
      </c>
      <c r="W19" s="2">
        <v>0.3</v>
      </c>
      <c r="X19" s="2">
        <f>((O19*F19)+Q19+R19+S19+U19)/G19</f>
        <v>28.884512085944493</v>
      </c>
      <c r="Y19" s="2">
        <f>((O19*F19)+Q19+R19+S19+T19+U19)/G19+W19</f>
        <v>29.309954134403686</v>
      </c>
      <c r="Z19" s="3">
        <f>Y19*G19</f>
        <v>327392.18768128916</v>
      </c>
      <c r="AA19" s="34">
        <v>43486</v>
      </c>
      <c r="AB19" s="3">
        <v>37.5</v>
      </c>
      <c r="AC19" s="35" t="s">
        <v>1687</v>
      </c>
    </row>
    <row r="20" spans="1:32" x14ac:dyDescent="0.25">
      <c r="A20" s="45"/>
      <c r="B20" s="27" t="s">
        <v>26</v>
      </c>
      <c r="C20" t="s">
        <v>27</v>
      </c>
      <c r="D20" s="28" t="s">
        <v>1682</v>
      </c>
      <c r="E20">
        <v>220</v>
      </c>
      <c r="F20" s="29">
        <v>25025</v>
      </c>
      <c r="G20" s="30">
        <f>13770+6340</f>
        <v>20110</v>
      </c>
      <c r="H20" s="30">
        <f t="shared" si="13"/>
        <v>-4915</v>
      </c>
      <c r="I20" s="28" t="s">
        <v>1686</v>
      </c>
      <c r="K20" s="31"/>
      <c r="L20" s="31">
        <v>43472</v>
      </c>
      <c r="M20" s="28" t="s">
        <v>29</v>
      </c>
      <c r="O20" s="2">
        <v>28</v>
      </c>
      <c r="P20" s="32"/>
      <c r="Q20" s="69">
        <v>21300</v>
      </c>
      <c r="R20" s="2">
        <f>72*E20</f>
        <v>15840</v>
      </c>
      <c r="S20" s="33">
        <f>-38*E20</f>
        <v>-8360</v>
      </c>
      <c r="T20" s="33">
        <f>X20*F20*0.0045</f>
        <v>4091.1208478368967</v>
      </c>
      <c r="U20" s="2">
        <f>E20*5</f>
        <v>1100</v>
      </c>
      <c r="W20" s="2">
        <v>0.3</v>
      </c>
      <c r="X20" s="2">
        <f>((O20*F20)+Q20+R20+S20+U20)/G20</f>
        <v>36.329189457981101</v>
      </c>
      <c r="Y20" s="2">
        <f>((O20*F20)+Q20+R20+S20+T20+U20)/G20+W20</f>
        <v>36.832626596113222</v>
      </c>
      <c r="Z20" s="3">
        <f>Y20*G20</f>
        <v>740704.12084783695</v>
      </c>
      <c r="AA20" s="34">
        <v>43486</v>
      </c>
      <c r="AB20" s="3"/>
      <c r="AC20" s="35" t="s">
        <v>1688</v>
      </c>
    </row>
    <row r="21" spans="1:32" x14ac:dyDescent="0.25">
      <c r="A21" s="45"/>
      <c r="B21" s="27" t="s">
        <v>30</v>
      </c>
      <c r="C21" s="28" t="s">
        <v>1790</v>
      </c>
      <c r="D21" s="28" t="s">
        <v>1790</v>
      </c>
      <c r="E21" t="s">
        <v>32</v>
      </c>
      <c r="F21" s="29">
        <f>41588*0.4536</f>
        <v>18864.316800000001</v>
      </c>
      <c r="G21" s="30">
        <v>18589.400000000001</v>
      </c>
      <c r="H21" s="30">
        <f t="shared" si="13"/>
        <v>-274.91679999999906</v>
      </c>
      <c r="I21" s="28" t="s">
        <v>1645</v>
      </c>
      <c r="J21" s="52" t="s">
        <v>196</v>
      </c>
      <c r="K21" s="31">
        <v>43472</v>
      </c>
      <c r="L21" s="31">
        <v>43473</v>
      </c>
      <c r="M21" s="28" t="s">
        <v>48</v>
      </c>
      <c r="N21" s="28" t="s">
        <v>1640</v>
      </c>
      <c r="O21" s="2"/>
      <c r="P21" s="32">
        <f>0.4522+0.095</f>
        <v>0.54720000000000002</v>
      </c>
      <c r="Q21" s="116">
        <v>26000</v>
      </c>
      <c r="R21" s="2">
        <v>89976</v>
      </c>
      <c r="S21" s="68">
        <v>19.184999999999999</v>
      </c>
      <c r="T21" s="33">
        <f t="shared" ref="T21" si="14">X21*F21*0.005</f>
        <v>2782.749472411555</v>
      </c>
      <c r="V21" s="2">
        <v>0.12</v>
      </c>
      <c r="W21" s="2">
        <v>0.3</v>
      </c>
      <c r="X21" s="2">
        <f>IF(O21&gt;0,O21,((P21*2.2046*S21)+(Q21+R21)/G21)+V21)</f>
        <v>29.502785623400417</v>
      </c>
      <c r="Y21" s="2">
        <f>IF(O21&gt;0,O21,((P21*2.2046*S21)+(Q21+R21+T21)/G21)+V21+W21)</f>
        <v>29.952481120426228</v>
      </c>
      <c r="Z21" s="3">
        <f>Y21*F21</f>
        <v>565033.09280173935</v>
      </c>
      <c r="AA21" s="34">
        <v>43476</v>
      </c>
      <c r="AB21" s="3"/>
      <c r="AC21" s="35"/>
    </row>
    <row r="22" spans="1:32" x14ac:dyDescent="0.25">
      <c r="A22" s="45"/>
      <c r="B22" s="27" t="s">
        <v>30</v>
      </c>
      <c r="C22" s="28" t="s">
        <v>35</v>
      </c>
      <c r="D22" s="28" t="s">
        <v>36</v>
      </c>
      <c r="E22" t="s">
        <v>37</v>
      </c>
      <c r="F22" s="29">
        <f>41716*0.4536</f>
        <v>18922.3776</v>
      </c>
      <c r="G22" s="30">
        <v>18262.87</v>
      </c>
      <c r="H22" s="122">
        <f>G22-F22</f>
        <v>-659.50760000000082</v>
      </c>
      <c r="I22" t="s">
        <v>1646</v>
      </c>
      <c r="J22" s="52" t="s">
        <v>196</v>
      </c>
      <c r="K22" s="31">
        <v>43472</v>
      </c>
      <c r="L22" s="31">
        <v>43473</v>
      </c>
      <c r="M22" s="28" t="s">
        <v>48</v>
      </c>
      <c r="N22" s="28" t="s">
        <v>1641</v>
      </c>
      <c r="O22" s="2"/>
      <c r="P22" s="32">
        <f>0.4522+0.1</f>
        <v>0.55220000000000002</v>
      </c>
      <c r="Q22" s="116">
        <v>26000</v>
      </c>
      <c r="R22" s="2">
        <v>94513</v>
      </c>
      <c r="S22" s="68">
        <v>19.265000000000001</v>
      </c>
      <c r="T22" s="33">
        <f>X22*F22*0.005</f>
        <v>2854.5945526551413</v>
      </c>
      <c r="V22" s="2">
        <v>0.12</v>
      </c>
      <c r="W22" s="2">
        <v>0.3</v>
      </c>
      <c r="X22" s="2">
        <f>IF(O22&gt;0,O22,((P22*2.2046*S22)+(Q22+R22)/G22)+V22)</f>
        <v>30.171626557702151</v>
      </c>
      <c r="Y22" s="2">
        <f>IF(O22&gt;0,O22,((P22*2.2046*S22)+(Q22+R22+T22)/G22)+V22+W22)</f>
        <v>30.627932469787993</v>
      </c>
      <c r="Z22" s="3">
        <f>Y22*F22</f>
        <v>579553.30330062902</v>
      </c>
      <c r="AA22" s="34">
        <v>43475</v>
      </c>
      <c r="AB22" s="3"/>
      <c r="AC22" s="35" t="s">
        <v>1701</v>
      </c>
    </row>
    <row r="23" spans="1:32" x14ac:dyDescent="0.25">
      <c r="A23" s="45"/>
      <c r="B23" s="27" t="s">
        <v>26</v>
      </c>
      <c r="C23" t="s">
        <v>27</v>
      </c>
      <c r="D23" s="28" t="s">
        <v>1682</v>
      </c>
      <c r="E23">
        <v>220</v>
      </c>
      <c r="F23" s="29">
        <v>24015</v>
      </c>
      <c r="G23" s="30">
        <f>13090+6070</f>
        <v>19160</v>
      </c>
      <c r="H23" s="30">
        <f>G23-F23</f>
        <v>-4855</v>
      </c>
      <c r="I23" s="28" t="s">
        <v>1698</v>
      </c>
      <c r="K23" s="31"/>
      <c r="L23" s="31">
        <v>43473</v>
      </c>
      <c r="M23" s="28" t="s">
        <v>48</v>
      </c>
      <c r="O23" s="2">
        <v>28</v>
      </c>
      <c r="P23" s="32"/>
      <c r="Q23" s="69">
        <v>21300</v>
      </c>
      <c r="R23" s="2">
        <f>72*E23</f>
        <v>15840</v>
      </c>
      <c r="S23" s="33">
        <f>-38*E23</f>
        <v>-8360</v>
      </c>
      <c r="T23" s="33">
        <f>X23*F23*0.005</f>
        <v>4401.2877087682664</v>
      </c>
      <c r="U23" s="2">
        <f>E23*5</f>
        <v>1100</v>
      </c>
      <c r="W23" s="2">
        <v>0.3</v>
      </c>
      <c r="X23" s="2">
        <f>((O23*F23)+Q23+R23+S23+U23)/G23</f>
        <v>36.6544885177453</v>
      </c>
      <c r="Y23" s="2">
        <f>((O23*F23)+Q23+R23+S23+T23+U23)/G23+W23</f>
        <v>37.184200819873084</v>
      </c>
      <c r="Z23" s="3">
        <f>Y23*G23</f>
        <v>712449.28770876827</v>
      </c>
      <c r="AA23" s="34">
        <v>43487</v>
      </c>
      <c r="AB23" s="3"/>
      <c r="AC23" s="35" t="s">
        <v>1699</v>
      </c>
      <c r="AF23" s="30"/>
    </row>
    <row r="24" spans="1:32" x14ac:dyDescent="0.25">
      <c r="A24" s="45"/>
      <c r="B24" s="27" t="s">
        <v>30</v>
      </c>
      <c r="C24" s="28" t="s">
        <v>31</v>
      </c>
      <c r="D24" s="28" t="s">
        <v>31</v>
      </c>
      <c r="E24" t="s">
        <v>32</v>
      </c>
      <c r="F24" s="29">
        <f>41951*0.4536</f>
        <v>19028.973600000001</v>
      </c>
      <c r="G24" s="30">
        <v>18956.23</v>
      </c>
      <c r="H24" s="30">
        <f t="shared" ref="H24:H25" si="15">G24-F24</f>
        <v>-72.743600000001607</v>
      </c>
      <c r="I24" s="28" t="s">
        <v>830</v>
      </c>
      <c r="J24" s="52" t="s">
        <v>1690</v>
      </c>
      <c r="K24" s="31">
        <v>43473</v>
      </c>
      <c r="L24" s="31">
        <v>43474</v>
      </c>
      <c r="M24" s="28" t="s">
        <v>33</v>
      </c>
      <c r="N24" s="28" t="s">
        <v>1640</v>
      </c>
      <c r="O24" s="2"/>
      <c r="P24" s="32">
        <f>0.4522+0.095</f>
        <v>0.54720000000000002</v>
      </c>
      <c r="Q24" s="116">
        <v>26000</v>
      </c>
      <c r="R24" s="2">
        <v>87874</v>
      </c>
      <c r="S24" s="68">
        <v>19.690000000000001</v>
      </c>
      <c r="T24" s="33">
        <f t="shared" ref="T24:T25" si="16">X24*F24*0.005</f>
        <v>2842.964698815435</v>
      </c>
      <c r="V24" s="2">
        <v>0.12</v>
      </c>
      <c r="W24" s="2">
        <v>0.3</v>
      </c>
      <c r="X24" s="2">
        <f>IF(O24&gt;0,O24,((P24*2.2046*S24)+(Q24+R24)/G24)+V24)</f>
        <v>29.880378822065683</v>
      </c>
      <c r="Y24" s="2">
        <f>IF(O24&gt;0,O24,((P24*2.2046*S24)+(Q24+R24+T24)/G24)+V24+W24)</f>
        <v>30.330354038594258</v>
      </c>
      <c r="Z24" s="3">
        <f>Y24*F24</f>
        <v>577155.50627906353</v>
      </c>
      <c r="AA24" s="34">
        <v>43467</v>
      </c>
      <c r="AB24" s="3"/>
      <c r="AC24" s="35"/>
    </row>
    <row r="25" spans="1:32" x14ac:dyDescent="0.25">
      <c r="A25" s="45"/>
      <c r="B25" s="27" t="s">
        <v>30</v>
      </c>
      <c r="C25" s="28" t="s">
        <v>31</v>
      </c>
      <c r="D25" s="28" t="s">
        <v>31</v>
      </c>
      <c r="E25" t="s">
        <v>32</v>
      </c>
      <c r="F25" s="29">
        <f>40464*0.4536</f>
        <v>18354.470399999998</v>
      </c>
      <c r="G25" s="30">
        <v>18252.53</v>
      </c>
      <c r="H25" s="30">
        <f t="shared" si="15"/>
        <v>-101.9403999999995</v>
      </c>
      <c r="I25" s="28" t="s">
        <v>831</v>
      </c>
      <c r="J25" s="52" t="s">
        <v>196</v>
      </c>
      <c r="K25" s="31">
        <v>43473</v>
      </c>
      <c r="L25" s="31">
        <v>43474</v>
      </c>
      <c r="M25" s="28" t="s">
        <v>33</v>
      </c>
      <c r="N25" s="28" t="s">
        <v>1640</v>
      </c>
      <c r="O25" s="2"/>
      <c r="P25" s="32">
        <f>0.4522+0.095</f>
        <v>0.54720000000000002</v>
      </c>
      <c r="Q25" s="116">
        <v>26000</v>
      </c>
      <c r="R25" s="2">
        <v>87418</v>
      </c>
      <c r="S25" s="68">
        <v>19.690000000000001</v>
      </c>
      <c r="T25" s="33">
        <f t="shared" si="16"/>
        <v>2761.1543142179062</v>
      </c>
      <c r="V25" s="2">
        <v>0.12</v>
      </c>
      <c r="W25" s="2">
        <v>0.3</v>
      </c>
      <c r="X25" s="2">
        <f t="shared" ref="X25" si="17">IF(O25&gt;0,O25,((P25*2.2046*S25)+(Q25+R25)/G25)+V25)</f>
        <v>30.086995201102688</v>
      </c>
      <c r="Y25" s="2">
        <f t="shared" ref="Y25" si="18">IF(O25&gt;0,O25,((P25*2.2046*S25)+(Q25+R25+T25)/G25)+V25+W25)</f>
        <v>30.538270356613619</v>
      </c>
      <c r="Z25" s="3">
        <f t="shared" ref="Z25" si="19">Y25*F25</f>
        <v>560513.77932766208</v>
      </c>
      <c r="AA25" s="34">
        <v>43467</v>
      </c>
      <c r="AB25" s="3"/>
      <c r="AC25" s="35"/>
    </row>
    <row r="26" spans="1:32" x14ac:dyDescent="0.25">
      <c r="A26" s="45"/>
      <c r="B26" s="27" t="s">
        <v>26</v>
      </c>
      <c r="C26" t="s">
        <v>27</v>
      </c>
      <c r="D26" s="28" t="s">
        <v>1682</v>
      </c>
      <c r="E26">
        <f>110+109</f>
        <v>219</v>
      </c>
      <c r="F26" s="29">
        <f>11450+11926</f>
        <v>23376</v>
      </c>
      <c r="G26" s="30">
        <f>12640+5750</f>
        <v>18390</v>
      </c>
      <c r="H26" s="30">
        <f t="shared" ref="H26:H30" si="20">G26-F26</f>
        <v>-4986</v>
      </c>
      <c r="I26" s="28" t="s">
        <v>1708</v>
      </c>
      <c r="K26" s="31"/>
      <c r="L26" s="31">
        <v>43474</v>
      </c>
      <c r="M26" s="28" t="s">
        <v>33</v>
      </c>
      <c r="O26" s="2">
        <v>27.5</v>
      </c>
      <c r="P26" s="32"/>
      <c r="Q26" s="69">
        <v>21300</v>
      </c>
      <c r="R26" s="2">
        <f>72*E26</f>
        <v>15768</v>
      </c>
      <c r="S26" s="33">
        <f>-38*E26</f>
        <v>-8322</v>
      </c>
      <c r="T26" s="33">
        <f t="shared" ref="T26" si="21">X26*F26*0.005</f>
        <v>4275.3102381729204</v>
      </c>
      <c r="U26" s="2">
        <f>E26*5</f>
        <v>1095</v>
      </c>
      <c r="W26" s="2">
        <v>0.3</v>
      </c>
      <c r="X26" s="2">
        <f t="shared" ref="X26" si="22">((O26*F26)+Q26+R26+S26+U26)/G26</f>
        <v>36.578629690048942</v>
      </c>
      <c r="Y26" s="2">
        <f>((O26*F26)+Q26+R26+S26+T26+U26)/G26+W26</f>
        <v>37.111109855256814</v>
      </c>
      <c r="Z26" s="3">
        <f>Y26*G26</f>
        <v>682473.31023817277</v>
      </c>
      <c r="AA26" s="34">
        <v>43487</v>
      </c>
      <c r="AB26" s="3"/>
      <c r="AC26" s="35" t="s">
        <v>1709</v>
      </c>
    </row>
    <row r="27" spans="1:32" x14ac:dyDescent="0.25">
      <c r="A27" s="45"/>
      <c r="B27" s="27" t="s">
        <v>1789</v>
      </c>
      <c r="C27" s="28" t="s">
        <v>1790</v>
      </c>
      <c r="D27" s="28" t="s">
        <v>1734</v>
      </c>
      <c r="E27" t="s">
        <v>1791</v>
      </c>
      <c r="F27" s="29">
        <v>2010.61</v>
      </c>
      <c r="G27" s="30">
        <v>2009.75</v>
      </c>
      <c r="H27" s="30">
        <f t="shared" si="20"/>
        <v>-0.85999999999989996</v>
      </c>
      <c r="I27" s="28" t="s">
        <v>1792</v>
      </c>
      <c r="K27" s="31"/>
      <c r="L27" s="31">
        <v>43474</v>
      </c>
      <c r="M27" s="28" t="s">
        <v>33</v>
      </c>
      <c r="O27" s="2">
        <v>54</v>
      </c>
      <c r="P27" s="32"/>
      <c r="Q27" s="2"/>
      <c r="R27" s="2"/>
      <c r="S27" s="33"/>
      <c r="T27" s="33"/>
      <c r="U27" s="2"/>
      <c r="W27" s="2"/>
      <c r="X27" s="2">
        <f>IF(O27&gt;0,O27,((P27*2.2046*S27)+(Q27+R27)/G27)+V27)</f>
        <v>54</v>
      </c>
      <c r="Y27" s="2">
        <f>IF(O27&gt;0,O27,((P27*2.2046*S27)+(Q27+R27+T27)/G27)+V27+W27)</f>
        <v>54</v>
      </c>
      <c r="Z27" s="3">
        <f>Y27*F27</f>
        <v>108572.93999999999</v>
      </c>
      <c r="AA27" s="34">
        <v>43481</v>
      </c>
      <c r="AB27" s="3"/>
      <c r="AC27" s="35"/>
    </row>
    <row r="28" spans="1:32" x14ac:dyDescent="0.25">
      <c r="A28" s="45"/>
      <c r="B28" s="27" t="s">
        <v>1799</v>
      </c>
      <c r="C28" s="28" t="s">
        <v>1800</v>
      </c>
      <c r="D28" s="28" t="s">
        <v>1731</v>
      </c>
      <c r="E28" t="s">
        <v>1801</v>
      </c>
      <c r="F28" s="29">
        <v>4999.3</v>
      </c>
      <c r="G28" s="30">
        <v>4999.3100000000004</v>
      </c>
      <c r="H28" s="30">
        <f t="shared" si="20"/>
        <v>1.0000000000218279E-2</v>
      </c>
      <c r="I28" s="28" t="s">
        <v>1802</v>
      </c>
      <c r="K28" s="31"/>
      <c r="L28" s="31">
        <v>43474</v>
      </c>
      <c r="M28" s="28" t="s">
        <v>33</v>
      </c>
      <c r="O28" s="2">
        <v>96.5</v>
      </c>
      <c r="P28" s="32"/>
      <c r="Q28" s="2"/>
      <c r="R28" s="2"/>
      <c r="S28" s="33"/>
      <c r="T28" s="33"/>
      <c r="U28" s="2"/>
      <c r="W28" s="2"/>
      <c r="X28" s="2">
        <f>IF(O28&gt;0,O28,((P28*2.2046*S28)+(Q28+R28)/G28)+V28)</f>
        <v>96.5</v>
      </c>
      <c r="Y28" s="2">
        <f>IF(O28&gt;0,O28,((P28*2.2046*S28)+(Q28+R28+T28)/G28)+V28+W28)</f>
        <v>96.5</v>
      </c>
      <c r="Z28" s="3">
        <f>Y28*F28</f>
        <v>482432.45</v>
      </c>
      <c r="AA28" s="34">
        <v>43495</v>
      </c>
      <c r="AB28" s="3"/>
      <c r="AC28" s="35"/>
    </row>
    <row r="29" spans="1:32" x14ac:dyDescent="0.25">
      <c r="A29" s="45"/>
      <c r="B29" s="27" t="s">
        <v>1805</v>
      </c>
      <c r="C29" s="28" t="s">
        <v>1814</v>
      </c>
      <c r="D29" s="28" t="s">
        <v>1806</v>
      </c>
      <c r="E29" t="s">
        <v>1815</v>
      </c>
      <c r="F29" s="29">
        <f>1002+951.1+981.6</f>
        <v>2934.7</v>
      </c>
      <c r="G29" s="30">
        <v>2934.7</v>
      </c>
      <c r="H29" s="30">
        <f t="shared" si="20"/>
        <v>0</v>
      </c>
      <c r="I29" s="28" t="s">
        <v>1816</v>
      </c>
      <c r="K29" s="31"/>
      <c r="L29" s="31">
        <v>43474</v>
      </c>
      <c r="M29" s="28" t="s">
        <v>33</v>
      </c>
      <c r="O29" s="2">
        <v>18.5</v>
      </c>
      <c r="P29" s="32"/>
      <c r="Q29" s="2"/>
      <c r="R29" s="2"/>
      <c r="S29" s="33"/>
      <c r="T29" s="33"/>
      <c r="U29" s="2"/>
      <c r="W29" s="2"/>
      <c r="X29" s="2">
        <f>IF(O29&gt;0,O29,((P29*2.2046*S29)+(Q29+R29)/G29)+V29)</f>
        <v>18.5</v>
      </c>
      <c r="Y29" s="2">
        <f>IF(O29&gt;0,O29,((P29*2.2046*S29)+(Q29+R29+T29)/G29)+V29+W29)</f>
        <v>18.5</v>
      </c>
      <c r="Z29" s="3">
        <f>Y29*F29</f>
        <v>54291.95</v>
      </c>
      <c r="AA29" s="34">
        <v>43481</v>
      </c>
      <c r="AB29" s="3"/>
      <c r="AC29" s="35"/>
    </row>
    <row r="30" spans="1:32" x14ac:dyDescent="0.25">
      <c r="A30" s="45"/>
      <c r="B30" s="27" t="s">
        <v>30</v>
      </c>
      <c r="C30" s="28" t="s">
        <v>40</v>
      </c>
      <c r="D30" s="28" t="s">
        <v>40</v>
      </c>
      <c r="E30" t="s">
        <v>37</v>
      </c>
      <c r="F30" s="29">
        <f>42139*0.4536</f>
        <v>19114.250400000001</v>
      </c>
      <c r="G30" s="30">
        <v>19045.02</v>
      </c>
      <c r="H30" s="30">
        <f t="shared" si="20"/>
        <v>-69.230400000000373</v>
      </c>
      <c r="I30" t="s">
        <v>1648</v>
      </c>
      <c r="J30" s="52" t="s">
        <v>196</v>
      </c>
      <c r="K30" s="31">
        <v>43474</v>
      </c>
      <c r="L30" s="31">
        <v>43475</v>
      </c>
      <c r="M30" s="28" t="s">
        <v>41</v>
      </c>
      <c r="N30" s="28" t="s">
        <v>1642</v>
      </c>
      <c r="O30" s="2"/>
      <c r="P30" s="32">
        <f>0.4546+0.105</f>
        <v>0.55959999999999999</v>
      </c>
      <c r="Q30" s="116">
        <v>26000</v>
      </c>
      <c r="R30" s="2">
        <v>91869</v>
      </c>
      <c r="S30" s="68">
        <v>19.71</v>
      </c>
      <c r="T30" s="33">
        <f>X30*F30*0.005</f>
        <v>2926.8771309830772</v>
      </c>
      <c r="V30" s="2">
        <v>0.12</v>
      </c>
      <c r="W30" s="2">
        <v>0.3</v>
      </c>
      <c r="X30" s="2">
        <f>IF(O30&gt;0,O30,((P30*2.2046*S30)+(Q30+R30)/G30)+V30)</f>
        <v>30.625078878145043</v>
      </c>
      <c r="Y30" s="2">
        <f>IF(O30&gt;0,O30,((P30*2.2046*S30)+(Q30+R30+T30)/G30)+V30+W30)</f>
        <v>31.078760897433188</v>
      </c>
      <c r="Z30" s="3">
        <f>Y30*F30</f>
        <v>594047.21791526675</v>
      </c>
      <c r="AA30" s="34">
        <v>43468</v>
      </c>
      <c r="AB30" s="3"/>
      <c r="AC30" s="35"/>
    </row>
    <row r="31" spans="1:32" x14ac:dyDescent="0.25">
      <c r="A31" s="45"/>
      <c r="B31" s="27" t="s">
        <v>26</v>
      </c>
      <c r="C31" t="s">
        <v>27</v>
      </c>
      <c r="D31" s="28" t="s">
        <v>1718</v>
      </c>
      <c r="E31">
        <v>200</v>
      </c>
      <c r="F31" s="29">
        <v>23450</v>
      </c>
      <c r="G31" s="30">
        <v>18520</v>
      </c>
      <c r="H31" s="30">
        <f t="shared" ref="H31:H33" si="23">G31-F31</f>
        <v>-4930</v>
      </c>
      <c r="I31" s="28" t="s">
        <v>1719</v>
      </c>
      <c r="J31" s="46">
        <v>199</v>
      </c>
      <c r="K31" s="31"/>
      <c r="L31" s="31">
        <v>43475</v>
      </c>
      <c r="M31" s="28" t="s">
        <v>41</v>
      </c>
      <c r="O31" s="2">
        <v>27.5</v>
      </c>
      <c r="P31" s="32"/>
      <c r="Q31" s="69">
        <v>21300</v>
      </c>
      <c r="R31" s="2">
        <f>72*E31</f>
        <v>14400</v>
      </c>
      <c r="S31" s="33">
        <f>-38*E31</f>
        <v>-7600</v>
      </c>
      <c r="T31" s="33">
        <f>X31*F31*0.0045</f>
        <v>3840.2382221922244</v>
      </c>
      <c r="U31" s="2">
        <f>E31*5</f>
        <v>1000</v>
      </c>
      <c r="W31" s="2">
        <v>0.3</v>
      </c>
      <c r="X31" s="2">
        <f t="shared" ref="X31" si="24">((O31*F31)+Q31+R31+S31+U31)/G31</f>
        <v>36.39173866090713</v>
      </c>
      <c r="Y31" s="2">
        <f>((O31*F31)+Q31+R31+S31+T31+U31)/G31+W31</f>
        <v>36.899094936403465</v>
      </c>
      <c r="Z31" s="3">
        <f>Y31*G31</f>
        <v>683371.23822219216</v>
      </c>
      <c r="AA31" s="34">
        <v>43488</v>
      </c>
      <c r="AB31" s="3"/>
      <c r="AC31" s="35"/>
    </row>
    <row r="32" spans="1:32" x14ac:dyDescent="0.25">
      <c r="A32" s="45"/>
      <c r="B32" s="27" t="s">
        <v>26</v>
      </c>
      <c r="C32" t="s">
        <v>27</v>
      </c>
      <c r="D32" s="28" t="s">
        <v>1720</v>
      </c>
      <c r="E32">
        <v>130</v>
      </c>
      <c r="F32" s="29">
        <v>12885</v>
      </c>
      <c r="G32" s="30">
        <v>9980</v>
      </c>
      <c r="H32" s="30">
        <f t="shared" si="23"/>
        <v>-2905</v>
      </c>
      <c r="I32" s="28" t="s">
        <v>1721</v>
      </c>
      <c r="J32" s="46">
        <v>130</v>
      </c>
      <c r="K32" s="31"/>
      <c r="L32" s="31">
        <v>43475</v>
      </c>
      <c r="M32" s="28" t="s">
        <v>41</v>
      </c>
      <c r="O32" s="2">
        <v>27.5</v>
      </c>
      <c r="P32" s="32"/>
      <c r="Q32" s="116">
        <v>16900</v>
      </c>
      <c r="R32" s="2">
        <f>72*E32</f>
        <v>9360</v>
      </c>
      <c r="S32" s="33">
        <f>-38*E32</f>
        <v>-4940</v>
      </c>
      <c r="T32" s="33">
        <f>X32*F32*0.0045</f>
        <v>2186.2975569889777</v>
      </c>
      <c r="U32" s="2">
        <f>E32*5</f>
        <v>650</v>
      </c>
      <c r="W32" s="2">
        <v>0.3</v>
      </c>
      <c r="X32" s="2">
        <f>((O32*F32)+Q32+R32+S32+U32)/G32</f>
        <v>37.706162324649299</v>
      </c>
      <c r="Y32" s="2">
        <f>((O32*F32)+Q32+R32+S32+T32+U32)/G32+W32</f>
        <v>38.225230216131152</v>
      </c>
      <c r="Z32" s="3">
        <f>Y32*G32</f>
        <v>381487.79755698889</v>
      </c>
      <c r="AA32" s="34">
        <v>43488</v>
      </c>
      <c r="AB32" s="3"/>
      <c r="AC32" s="35" t="s">
        <v>1765</v>
      </c>
    </row>
    <row r="33" spans="1:32" x14ac:dyDescent="0.25">
      <c r="A33" s="45"/>
      <c r="B33" s="27" t="s">
        <v>1732</v>
      </c>
      <c r="C33" t="s">
        <v>1733</v>
      </c>
      <c r="D33" s="28" t="s">
        <v>1735</v>
      </c>
      <c r="E33" t="s">
        <v>1795</v>
      </c>
      <c r="F33" s="29">
        <v>5035.7</v>
      </c>
      <c r="G33" s="30">
        <v>5035.7</v>
      </c>
      <c r="H33" s="30">
        <f t="shared" si="23"/>
        <v>0</v>
      </c>
      <c r="I33" s="28" t="s">
        <v>1796</v>
      </c>
      <c r="K33" s="31"/>
      <c r="L33" s="31">
        <v>43475</v>
      </c>
      <c r="M33" s="28" t="s">
        <v>41</v>
      </c>
      <c r="O33" s="2">
        <v>65</v>
      </c>
      <c r="P33" s="32"/>
      <c r="Q33" s="2"/>
      <c r="R33" s="2"/>
      <c r="S33" s="33"/>
      <c r="T33" s="33"/>
      <c r="U33" s="2"/>
      <c r="W33" s="2"/>
      <c r="X33" s="2">
        <f>IF(O33&gt;0,O33,((P33*2.2046*S33)+(Q33+R33)/G33)+V33)</f>
        <v>65</v>
      </c>
      <c r="Y33" s="2">
        <f>IF(O33&gt;0,O33,((P33*2.2046*S33)+(Q33+R33+T33)/G33)+V33+W33)</f>
        <v>65</v>
      </c>
      <c r="Z33" s="3">
        <f>Y33*F33</f>
        <v>327320.5</v>
      </c>
      <c r="AA33" s="34">
        <v>43482</v>
      </c>
      <c r="AB33" s="3"/>
      <c r="AC33" s="35"/>
    </row>
    <row r="34" spans="1:32" x14ac:dyDescent="0.25">
      <c r="A34" s="45"/>
      <c r="B34" s="27" t="s">
        <v>30</v>
      </c>
      <c r="C34" s="28" t="s">
        <v>1790</v>
      </c>
      <c r="D34" s="28" t="s">
        <v>1790</v>
      </c>
      <c r="E34" t="s">
        <v>32</v>
      </c>
      <c r="F34" s="29">
        <f>42403*0.4536</f>
        <v>19234.000800000002</v>
      </c>
      <c r="G34" s="30">
        <v>19138.29</v>
      </c>
      <c r="H34" s="30">
        <f>G34-F34</f>
        <v>-95.710800000000745</v>
      </c>
      <c r="I34" t="s">
        <v>1649</v>
      </c>
      <c r="J34" s="52" t="s">
        <v>196</v>
      </c>
      <c r="K34" s="31">
        <v>43475</v>
      </c>
      <c r="L34" s="31">
        <v>43476</v>
      </c>
      <c r="M34" s="28" t="s">
        <v>45</v>
      </c>
      <c r="N34" s="28" t="s">
        <v>1643</v>
      </c>
      <c r="O34" s="2"/>
      <c r="P34" s="32">
        <f>0.4546+0.095</f>
        <v>0.54959999999999998</v>
      </c>
      <c r="Q34" s="116">
        <v>26000</v>
      </c>
      <c r="R34" s="2">
        <v>92011</v>
      </c>
      <c r="S34" s="68">
        <v>19.190000000000001</v>
      </c>
      <c r="T34" s="33">
        <f>X34*F34*0.005</f>
        <v>2840.6458311391384</v>
      </c>
      <c r="V34" s="2">
        <v>0.12</v>
      </c>
      <c r="W34" s="2">
        <v>0.3</v>
      </c>
      <c r="X34" s="2">
        <f>IF(O34&gt;0,O34,((P34*2.2046*S34)+(Q34+R34)/G34)+V34)</f>
        <v>29.537753072560321</v>
      </c>
      <c r="Y34" s="2">
        <f>IF(O34&gt;0,O34,((P34*2.2046*S34)+(Q34+R34+T34)/G34)+V34+W34)</f>
        <v>29.986180431072452</v>
      </c>
      <c r="Z34" s="3">
        <f>Y34*F34</f>
        <v>576754.21840019198</v>
      </c>
      <c r="AA34" s="34">
        <v>43479</v>
      </c>
      <c r="AB34" s="3"/>
      <c r="AC34" s="35"/>
    </row>
    <row r="35" spans="1:32" x14ac:dyDescent="0.25">
      <c r="A35" s="45"/>
      <c r="B35" s="27" t="s">
        <v>30</v>
      </c>
      <c r="C35" t="s">
        <v>43</v>
      </c>
      <c r="D35" s="28" t="s">
        <v>40</v>
      </c>
      <c r="E35" t="s">
        <v>37</v>
      </c>
      <c r="F35" s="29">
        <f>42022*0.4536</f>
        <v>19061.179199999999</v>
      </c>
      <c r="G35" s="30">
        <v>19098.12</v>
      </c>
      <c r="H35" s="30">
        <f t="shared" ref="H35" si="25">G35-F35</f>
        <v>36.940800000000309</v>
      </c>
      <c r="I35" s="28" t="s">
        <v>1674</v>
      </c>
      <c r="J35" s="52" t="s">
        <v>196</v>
      </c>
      <c r="K35" s="31">
        <v>43475</v>
      </c>
      <c r="L35" s="31">
        <v>43476</v>
      </c>
      <c r="M35" s="28" t="s">
        <v>45</v>
      </c>
      <c r="N35" s="28" t="s">
        <v>1675</v>
      </c>
      <c r="O35" s="2"/>
      <c r="P35" s="32">
        <f>0.4596+0.105</f>
        <v>0.56459999999999999</v>
      </c>
      <c r="Q35" s="116">
        <v>26000</v>
      </c>
      <c r="R35" s="2">
        <v>92573</v>
      </c>
      <c r="S35" s="68">
        <v>19.36</v>
      </c>
      <c r="T35" s="33">
        <f>X35*F35*0.005</f>
        <v>2899.8101483986593</v>
      </c>
      <c r="V35" s="2">
        <v>0.12</v>
      </c>
      <c r="W35" s="2">
        <v>0.3</v>
      </c>
      <c r="X35" s="2">
        <f>IF(O35&gt;0,O35,((P35*2.2046*S35)+(Q35+R35)/G35)+V35)</f>
        <v>30.426345799200703</v>
      </c>
      <c r="Y35" s="2">
        <f>IF(O35&gt;0,O35,((P35*2.2046*S35)+(Q35+R35+T35)/G35)+V35+W35)</f>
        <v>30.878183265317716</v>
      </c>
      <c r="Z35" s="3">
        <f>Y35*F35</f>
        <v>588574.58459066204</v>
      </c>
      <c r="AA35" s="34">
        <v>43472</v>
      </c>
      <c r="AB35" s="3"/>
      <c r="AC35" s="35"/>
    </row>
    <row r="36" spans="1:32" x14ac:dyDescent="0.25">
      <c r="A36" s="45"/>
      <c r="B36" s="27" t="s">
        <v>26</v>
      </c>
      <c r="C36" t="s">
        <v>27</v>
      </c>
      <c r="D36" s="28" t="s">
        <v>44</v>
      </c>
      <c r="E36">
        <v>235</v>
      </c>
      <c r="F36" s="29">
        <v>19660</v>
      </c>
      <c r="G36" s="30">
        <v>19620</v>
      </c>
      <c r="H36" s="30">
        <f t="shared" ref="H36:H38" si="26">G36-F36</f>
        <v>-40</v>
      </c>
      <c r="I36" t="s">
        <v>1869</v>
      </c>
      <c r="K36" s="31"/>
      <c r="L36" s="31">
        <v>43476</v>
      </c>
      <c r="M36" s="28" t="s">
        <v>45</v>
      </c>
      <c r="O36" s="2">
        <v>34.9</v>
      </c>
      <c r="P36" s="32"/>
      <c r="Q36" s="69">
        <v>21300</v>
      </c>
      <c r="R36" s="2">
        <f>72*E36</f>
        <v>16920</v>
      </c>
      <c r="S36" s="33">
        <f>-38*E36</f>
        <v>-8930</v>
      </c>
      <c r="T36" s="33">
        <f>X36*F36*0.0045</f>
        <v>3231.2698027522933</v>
      </c>
      <c r="U36" s="2">
        <f>E36*5</f>
        <v>1175</v>
      </c>
      <c r="W36" s="2">
        <v>0.3</v>
      </c>
      <c r="X36" s="2">
        <f>((O36*F36)+Q36+R36+S36+U36)/G36</f>
        <v>36.523904179408767</v>
      </c>
      <c r="Y36" s="2">
        <f>((O36*F36)+Q36+R36+S36+T36+U36)/G36+W36</f>
        <v>36.988596829905823</v>
      </c>
      <c r="Z36" s="3">
        <f>Y36*G36</f>
        <v>725716.2698027523</v>
      </c>
      <c r="AA36" s="34">
        <v>43483</v>
      </c>
      <c r="AB36" s="3"/>
      <c r="AC36" s="35"/>
    </row>
    <row r="37" spans="1:32" x14ac:dyDescent="0.25">
      <c r="A37" s="45"/>
      <c r="B37" s="27" t="s">
        <v>26</v>
      </c>
      <c r="C37" t="s">
        <v>27</v>
      </c>
      <c r="D37" s="28" t="s">
        <v>1684</v>
      </c>
      <c r="E37">
        <v>130</v>
      </c>
      <c r="F37" s="29">
        <v>13680</v>
      </c>
      <c r="G37" s="30">
        <v>11180</v>
      </c>
      <c r="H37" s="30">
        <f t="shared" si="26"/>
        <v>-2500</v>
      </c>
      <c r="I37" s="28" t="s">
        <v>1722</v>
      </c>
      <c r="K37" s="31"/>
      <c r="L37" s="31">
        <v>43476</v>
      </c>
      <c r="M37" s="28" t="s">
        <v>45</v>
      </c>
      <c r="O37" s="2">
        <v>27.5</v>
      </c>
      <c r="P37" s="32"/>
      <c r="Q37" s="116">
        <v>16900</v>
      </c>
      <c r="R37" s="2">
        <f>72*E37</f>
        <v>9360</v>
      </c>
      <c r="S37" s="33">
        <f>-38*E37</f>
        <v>-4940</v>
      </c>
      <c r="T37" s="33">
        <f>X37*F37*0.0045</f>
        <v>2192.4280143112701</v>
      </c>
      <c r="U37" s="2">
        <f>E37*5</f>
        <v>650</v>
      </c>
      <c r="W37" s="2">
        <v>0.3</v>
      </c>
      <c r="X37" s="2">
        <f>((O37*F37)+Q37+R37+S37+U37)/G37</f>
        <v>35.61449016100179</v>
      </c>
      <c r="Y37" s="2">
        <f>((O37*F37)+Q37+R37+S37+T37+U37)/G37+W37</f>
        <v>36.110592845645009</v>
      </c>
      <c r="Z37" s="3">
        <f>Y37*G37</f>
        <v>403716.42801431118</v>
      </c>
      <c r="AA37" s="34">
        <v>43489</v>
      </c>
      <c r="AB37" s="3"/>
      <c r="AC37" s="35" t="s">
        <v>1788</v>
      </c>
    </row>
    <row r="38" spans="1:32" x14ac:dyDescent="0.25">
      <c r="A38" s="45"/>
      <c r="B38" s="27" t="s">
        <v>30</v>
      </c>
      <c r="C38" t="s">
        <v>40</v>
      </c>
      <c r="D38" s="28" t="s">
        <v>40</v>
      </c>
      <c r="E38" t="s">
        <v>37</v>
      </c>
      <c r="F38" s="29">
        <f>41847*0.4536</f>
        <v>18981.799200000001</v>
      </c>
      <c r="G38" s="30">
        <v>18951.77</v>
      </c>
      <c r="H38" s="30">
        <f t="shared" si="26"/>
        <v>-30.029200000000856</v>
      </c>
      <c r="I38" s="28" t="s">
        <v>1650</v>
      </c>
      <c r="J38" s="52" t="s">
        <v>196</v>
      </c>
      <c r="K38" s="31">
        <v>43476</v>
      </c>
      <c r="L38" s="31">
        <v>43477</v>
      </c>
      <c r="M38" s="28" t="s">
        <v>46</v>
      </c>
      <c r="N38" s="28" t="s">
        <v>1644</v>
      </c>
      <c r="O38" s="2"/>
      <c r="P38" s="32">
        <f>0.4615+0.105</f>
        <v>0.5665</v>
      </c>
      <c r="Q38" s="116">
        <v>26000</v>
      </c>
      <c r="R38" s="2">
        <v>92118</v>
      </c>
      <c r="S38" s="68">
        <v>19.390999999999998</v>
      </c>
      <c r="T38" s="33">
        <f>X38*F38*0.005</f>
        <v>2901.3767397915253</v>
      </c>
      <c r="V38" s="2">
        <v>0.12</v>
      </c>
      <c r="W38" s="2">
        <v>0.3</v>
      </c>
      <c r="X38" s="2">
        <f>IF(O38&gt;0,O38,((P38*2.2046*S38)+(Q38+R38)/G38)+V38)</f>
        <v>30.57009200467704</v>
      </c>
      <c r="Y38" s="2">
        <f>IF(O38&gt;0,O38,((P38*2.2046*S38)+(Q38+R38+T38)/G38)+V38+W38)</f>
        <v>31.02318465722567</v>
      </c>
      <c r="Z38" s="3">
        <f>Y38*F38</f>
        <v>588875.86170797853</v>
      </c>
      <c r="AA38" s="34">
        <v>43472</v>
      </c>
      <c r="AB38" s="3"/>
      <c r="AC38" s="35"/>
    </row>
    <row r="39" spans="1:32" ht="15.75" thickBot="1" x14ac:dyDescent="0.3">
      <c r="A39" s="47"/>
      <c r="B39" s="41"/>
      <c r="C39" s="4"/>
      <c r="D39" s="4"/>
      <c r="E39" s="4"/>
      <c r="F39" s="42"/>
      <c r="G39" s="42"/>
      <c r="H39" s="42"/>
      <c r="I39" s="7"/>
      <c r="J39" s="4"/>
      <c r="K39" s="8"/>
      <c r="L39" s="8"/>
      <c r="M39" s="4"/>
      <c r="N39" s="4"/>
      <c r="O39" s="9"/>
      <c r="P39" s="10"/>
      <c r="Q39" s="9"/>
      <c r="R39" s="9"/>
      <c r="S39" s="9"/>
      <c r="T39" s="9"/>
      <c r="U39" s="9"/>
      <c r="V39" s="9"/>
      <c r="W39" s="9"/>
      <c r="X39" s="9"/>
      <c r="Y39" s="9"/>
      <c r="Z39" s="13"/>
      <c r="AA39" s="43"/>
      <c r="AB39" s="3"/>
      <c r="AC39" s="35"/>
    </row>
    <row r="40" spans="1:32" ht="15.75" thickTop="1" x14ac:dyDescent="0.25">
      <c r="A40" s="123"/>
      <c r="B40" s="14" t="s">
        <v>26</v>
      </c>
      <c r="C40" s="14" t="s">
        <v>27</v>
      </c>
      <c r="D40" s="15" t="s">
        <v>1636</v>
      </c>
      <c r="E40" s="14">
        <v>200</v>
      </c>
      <c r="F40" s="16">
        <v>20640</v>
      </c>
      <c r="G40" s="17">
        <v>16980</v>
      </c>
      <c r="H40" s="18">
        <f t="shared" ref="H40:H44" si="27">G40-F40</f>
        <v>-3660</v>
      </c>
      <c r="I40" s="19" t="s">
        <v>1831</v>
      </c>
      <c r="J40" s="14"/>
      <c r="K40" s="20"/>
      <c r="L40" s="20">
        <v>43478</v>
      </c>
      <c r="M40" s="15" t="s">
        <v>28</v>
      </c>
      <c r="N40" s="14"/>
      <c r="O40" s="21">
        <v>27.5</v>
      </c>
      <c r="P40" s="22"/>
      <c r="Q40" s="120">
        <v>21300</v>
      </c>
      <c r="R40" s="2">
        <f>72*E40</f>
        <v>14400</v>
      </c>
      <c r="S40" s="21">
        <f>-38*E40</f>
        <v>-7600</v>
      </c>
      <c r="T40" s="23">
        <f>X40*F40*0.0045</f>
        <v>3263.927915194346</v>
      </c>
      <c r="U40" s="21">
        <f>E40*5</f>
        <v>1000</v>
      </c>
      <c r="V40" s="14"/>
      <c r="W40" s="21">
        <v>0.3</v>
      </c>
      <c r="X40" s="21">
        <f>((O40*F40)+Q40+R40+S40+U40)/G40</f>
        <v>35.141342756183747</v>
      </c>
      <c r="Y40" s="24">
        <f>((O40*F40)+Q40+R40+S40+T40+U40)/G40+W40</f>
        <v>35.633564659316505</v>
      </c>
      <c r="Z40" s="24">
        <f>Y40*G40</f>
        <v>605057.9279151943</v>
      </c>
      <c r="AA40" s="25">
        <v>43493</v>
      </c>
      <c r="AB40" s="3"/>
      <c r="AC40" s="3"/>
    </row>
    <row r="41" spans="1:32" x14ac:dyDescent="0.25">
      <c r="A41" s="124"/>
      <c r="B41" s="27" t="s">
        <v>26</v>
      </c>
      <c r="C41" t="s">
        <v>27</v>
      </c>
      <c r="D41" s="28" t="s">
        <v>1829</v>
      </c>
      <c r="E41">
        <v>129</v>
      </c>
      <c r="F41" s="29">
        <v>14200</v>
      </c>
      <c r="G41" s="30">
        <v>11650</v>
      </c>
      <c r="H41" s="30">
        <f t="shared" si="27"/>
        <v>-2550</v>
      </c>
      <c r="I41" s="28" t="s">
        <v>1830</v>
      </c>
      <c r="K41" s="31"/>
      <c r="L41" s="31">
        <v>43478</v>
      </c>
      <c r="M41" s="28" t="s">
        <v>28</v>
      </c>
      <c r="O41" s="2">
        <v>27.5</v>
      </c>
      <c r="P41" s="32"/>
      <c r="Q41" s="116">
        <v>16900</v>
      </c>
      <c r="R41" s="2">
        <f>72*E41</f>
        <v>9288</v>
      </c>
      <c r="S41" s="33">
        <f>-38*E41</f>
        <v>-4902</v>
      </c>
      <c r="T41" s="33">
        <f>X41*F41*0.0045</f>
        <v>2262.1751845493559</v>
      </c>
      <c r="U41" s="2">
        <f>E41*5</f>
        <v>645</v>
      </c>
      <c r="W41" s="2">
        <v>0.3</v>
      </c>
      <c r="X41" s="2">
        <f>((O41*F41)+Q41+R41+S41+U41)/G41</f>
        <v>35.401802575107297</v>
      </c>
      <c r="Y41" s="2">
        <f>((O41*F41)+Q41+R41+S41+T41+U41)/G41+W41</f>
        <v>35.89598070253642</v>
      </c>
      <c r="Z41" s="3">
        <f>Y41*G41</f>
        <v>418188.1751845493</v>
      </c>
      <c r="AA41" s="34">
        <v>43493</v>
      </c>
      <c r="AB41" s="3"/>
      <c r="AC41" s="35" t="s">
        <v>1836</v>
      </c>
    </row>
    <row r="42" spans="1:32" x14ac:dyDescent="0.25">
      <c r="A42" s="124"/>
      <c r="B42" s="27" t="s">
        <v>26</v>
      </c>
      <c r="C42" t="s">
        <v>27</v>
      </c>
      <c r="D42" s="28" t="s">
        <v>1845</v>
      </c>
      <c r="E42">
        <f>200+50</f>
        <v>250</v>
      </c>
      <c r="F42" s="29">
        <f>21675+5735</f>
        <v>27410</v>
      </c>
      <c r="G42" s="30">
        <f>5910+15530</f>
        <v>21440</v>
      </c>
      <c r="H42" s="30">
        <f t="shared" si="27"/>
        <v>-5970</v>
      </c>
      <c r="I42" s="28" t="s">
        <v>1846</v>
      </c>
      <c r="K42" s="31"/>
      <c r="L42" s="31">
        <v>43479</v>
      </c>
      <c r="M42" s="28" t="s">
        <v>29</v>
      </c>
      <c r="O42" s="2">
        <v>27.5</v>
      </c>
      <c r="P42" s="32"/>
      <c r="Q42" s="69">
        <v>21300</v>
      </c>
      <c r="R42" s="2">
        <f>72*E42</f>
        <v>18000</v>
      </c>
      <c r="S42" s="33">
        <f>-38*E42</f>
        <v>-9500</v>
      </c>
      <c r="T42" s="33">
        <f>X42*F42*0.0045</f>
        <v>4515.1231168376862</v>
      </c>
      <c r="U42" s="2">
        <f>E42*5</f>
        <v>1250</v>
      </c>
      <c r="W42" s="2">
        <v>0.3</v>
      </c>
      <c r="X42" s="2">
        <f>((O42*F42)+Q42+R42+S42+U42)/G42</f>
        <v>36.605643656716417</v>
      </c>
      <c r="Y42" s="2">
        <f>((O42*F42)+Q42+R42+S42+T42+U42)/G42+W42</f>
        <v>37.116237085673397</v>
      </c>
      <c r="Z42" s="3">
        <f>Y42*G42</f>
        <v>795772.12311683758</v>
      </c>
      <c r="AA42" s="34">
        <v>43493</v>
      </c>
      <c r="AB42" s="3"/>
      <c r="AC42" s="35" t="s">
        <v>1844</v>
      </c>
    </row>
    <row r="43" spans="1:32" x14ac:dyDescent="0.25">
      <c r="A43" s="124"/>
      <c r="B43" s="27" t="s">
        <v>1909</v>
      </c>
      <c r="C43" t="s">
        <v>1814</v>
      </c>
      <c r="D43" s="28" t="s">
        <v>1806</v>
      </c>
      <c r="E43" t="s">
        <v>1910</v>
      </c>
      <c r="F43" s="29">
        <f>968.9+1008.8+898.6+1020.1+977</f>
        <v>4873.3999999999996</v>
      </c>
      <c r="G43" s="30">
        <v>4873.3999999999996</v>
      </c>
      <c r="H43" s="30">
        <f t="shared" si="27"/>
        <v>0</v>
      </c>
      <c r="I43" s="28" t="s">
        <v>1911</v>
      </c>
      <c r="K43" s="31"/>
      <c r="L43" s="31">
        <v>43479</v>
      </c>
      <c r="M43" s="28" t="s">
        <v>29</v>
      </c>
      <c r="O43" s="2">
        <v>18.2</v>
      </c>
      <c r="P43" s="32"/>
      <c r="Q43" s="2"/>
      <c r="R43" s="2"/>
      <c r="S43" s="33"/>
      <c r="T43" s="33"/>
      <c r="U43" s="2"/>
      <c r="W43" s="2"/>
      <c r="X43" s="2">
        <f>IF(O43&gt;0,O43,((P43*2.2046*S43)+(Q43+R43)/G43)+V43)</f>
        <v>18.2</v>
      </c>
      <c r="Y43" s="2">
        <f>IF(O43&gt;0,O43,((P43*2.2046*S43)+(Q43+R43+T43)/G43)+V43+W43)</f>
        <v>18.2</v>
      </c>
      <c r="Z43" s="3">
        <f>Y43*F43</f>
        <v>88695.87999999999</v>
      </c>
      <c r="AA43" s="34">
        <v>43486</v>
      </c>
      <c r="AB43" s="3"/>
      <c r="AC43" s="35"/>
    </row>
    <row r="44" spans="1:32" x14ac:dyDescent="0.25">
      <c r="A44" s="124"/>
      <c r="B44" s="27" t="s">
        <v>30</v>
      </c>
      <c r="C44" s="28" t="s">
        <v>1790</v>
      </c>
      <c r="D44" s="28" t="s">
        <v>1790</v>
      </c>
      <c r="E44" t="s">
        <v>32</v>
      </c>
      <c r="F44" s="29">
        <f>41194*0.4536</f>
        <v>18685.598399999999</v>
      </c>
      <c r="G44" s="30">
        <v>18585.099999999999</v>
      </c>
      <c r="H44" s="30">
        <f t="shared" si="27"/>
        <v>-100.4984000000004</v>
      </c>
      <c r="I44" s="28" t="s">
        <v>1736</v>
      </c>
      <c r="J44" s="52" t="s">
        <v>196</v>
      </c>
      <c r="K44" s="31">
        <v>43479</v>
      </c>
      <c r="L44" s="31">
        <v>43480</v>
      </c>
      <c r="M44" s="28" t="s">
        <v>48</v>
      </c>
      <c r="N44" s="28" t="s">
        <v>1723</v>
      </c>
      <c r="O44" s="2"/>
      <c r="P44" s="32">
        <f>0.494+0.095</f>
        <v>0.58899999999999997</v>
      </c>
      <c r="Q44" s="116">
        <v>26000</v>
      </c>
      <c r="R44" s="2">
        <v>94120</v>
      </c>
      <c r="S44" s="68">
        <v>19.026</v>
      </c>
      <c r="T44" s="33">
        <f t="shared" ref="T44" si="28">X44*F44*0.005</f>
        <v>2923.2387226080459</v>
      </c>
      <c r="V44" s="2">
        <v>0.12</v>
      </c>
      <c r="W44" s="2">
        <v>0.3</v>
      </c>
      <c r="X44" s="2">
        <f>IF(O44&gt;0,O44,((P44*2.2046*S44)+(Q44+R44)/G44)+V44)</f>
        <v>31.288681903899274</v>
      </c>
      <c r="Y44" s="2">
        <f>IF(O44&gt;0,O44,((P44*2.2046*S44)+(Q44+R44+T44)/G44)+V44+W44)</f>
        <v>31.74597127670911</v>
      </c>
      <c r="Z44" s="3">
        <f>Y44*F44</f>
        <v>593192.47009452165</v>
      </c>
      <c r="AA44" s="34">
        <v>43482</v>
      </c>
      <c r="AB44" s="3"/>
      <c r="AC44" s="35"/>
    </row>
    <row r="45" spans="1:32" x14ac:dyDescent="0.25">
      <c r="A45" s="124"/>
      <c r="B45" s="27" t="s">
        <v>30</v>
      </c>
      <c r="C45" s="28" t="s">
        <v>35</v>
      </c>
      <c r="D45" s="28" t="s">
        <v>36</v>
      </c>
      <c r="E45" t="s">
        <v>37</v>
      </c>
      <c r="F45" s="29">
        <f>41591*0.4536</f>
        <v>18865.677599999999</v>
      </c>
      <c r="G45" s="30">
        <v>18623.87</v>
      </c>
      <c r="H45" s="30">
        <f>G45-F45</f>
        <v>-241.80760000000009</v>
      </c>
      <c r="I45" t="s">
        <v>1737</v>
      </c>
      <c r="J45" s="52" t="s">
        <v>196</v>
      </c>
      <c r="K45" s="31">
        <v>43479</v>
      </c>
      <c r="L45" s="31">
        <v>43480</v>
      </c>
      <c r="M45" s="28" t="s">
        <v>48</v>
      </c>
      <c r="N45" s="28" t="s">
        <v>1724</v>
      </c>
      <c r="O45" s="2"/>
      <c r="P45" s="32">
        <f>0.494+0.1</f>
        <v>0.59399999999999997</v>
      </c>
      <c r="Q45" s="116">
        <v>26000</v>
      </c>
      <c r="R45" s="2">
        <v>99187</v>
      </c>
      <c r="S45" s="68">
        <v>19.064</v>
      </c>
      <c r="T45" s="33">
        <f>X45*F45*0.005</f>
        <v>3000.2825830231027</v>
      </c>
      <c r="V45" s="2">
        <v>0.12</v>
      </c>
      <c r="W45" s="2">
        <v>0.3</v>
      </c>
      <c r="X45" s="2">
        <f>IF(O45&gt;0,O45,((P45*2.2046*S45)+(Q45+R45)/G45)+V45)</f>
        <v>31.806783160792513</v>
      </c>
      <c r="Y45" s="2">
        <f>IF(O45&gt;0,O45,((P45*2.2046*S45)+(Q45+R45+T45)/G45)+V45+W45)</f>
        <v>32.267881932585006</v>
      </c>
      <c r="Z45" s="3">
        <f>Y45*F45</f>
        <v>608755.45737501362</v>
      </c>
      <c r="AA45" s="34">
        <v>43480</v>
      </c>
      <c r="AB45" s="3"/>
      <c r="AC45" s="35"/>
    </row>
    <row r="46" spans="1:32" x14ac:dyDescent="0.25">
      <c r="A46" s="124"/>
      <c r="B46" s="27" t="s">
        <v>26</v>
      </c>
      <c r="C46" t="s">
        <v>27</v>
      </c>
      <c r="D46" s="28" t="s">
        <v>1636</v>
      </c>
      <c r="E46">
        <f>200+50</f>
        <v>250</v>
      </c>
      <c r="F46" s="29">
        <f>21015+5505</f>
        <v>26520</v>
      </c>
      <c r="G46" s="30">
        <f>14940+5870</f>
        <v>20810</v>
      </c>
      <c r="H46" s="30">
        <f>G46-F46</f>
        <v>-5710</v>
      </c>
      <c r="I46" s="28" t="s">
        <v>1850</v>
      </c>
      <c r="K46" s="31"/>
      <c r="L46" s="31">
        <v>43480</v>
      </c>
      <c r="M46" s="28" t="s">
        <v>48</v>
      </c>
      <c r="O46" s="2">
        <v>27.5</v>
      </c>
      <c r="P46" s="32"/>
      <c r="Q46" s="116">
        <v>21300</v>
      </c>
      <c r="R46" s="2">
        <f>72*E46</f>
        <v>18000</v>
      </c>
      <c r="S46" s="33">
        <f>-38*E46</f>
        <v>-9500</v>
      </c>
      <c r="T46" s="33">
        <f>X46*F46*0.005</f>
        <v>4844.9019702066316</v>
      </c>
      <c r="U46" s="2">
        <f>E46*5</f>
        <v>1250</v>
      </c>
      <c r="W46" s="2">
        <v>0.3</v>
      </c>
      <c r="X46" s="2">
        <f>((O46*F46)+Q46+R46+S46+U46)/G46</f>
        <v>36.53772224891879</v>
      </c>
      <c r="Y46" s="2">
        <f>((O46*F46)+Q46+R46+S46+T46+U46)/G46+W46</f>
        <v>37.070538297463074</v>
      </c>
      <c r="Z46" s="3">
        <f>Y46*G46</f>
        <v>771437.90197020653</v>
      </c>
      <c r="AA46" s="34">
        <v>43494</v>
      </c>
      <c r="AB46" s="3"/>
      <c r="AC46" s="35" t="s">
        <v>1854</v>
      </c>
      <c r="AF46" s="30"/>
    </row>
    <row r="47" spans="1:32" x14ac:dyDescent="0.25">
      <c r="A47" s="124"/>
      <c r="B47" s="27" t="s">
        <v>30</v>
      </c>
      <c r="C47" s="28" t="s">
        <v>31</v>
      </c>
      <c r="D47" s="28" t="s">
        <v>31</v>
      </c>
      <c r="E47" t="s">
        <v>32</v>
      </c>
      <c r="F47" s="29">
        <f>41174*0.4536</f>
        <v>18676.526399999999</v>
      </c>
      <c r="G47" s="30">
        <v>18676.09</v>
      </c>
      <c r="H47" s="30">
        <f t="shared" ref="H47:H50" si="29">G47-F47</f>
        <v>-0.43639999999868451</v>
      </c>
      <c r="I47" s="28" t="s">
        <v>1647</v>
      </c>
      <c r="J47" s="52" t="s">
        <v>196</v>
      </c>
      <c r="K47" s="31">
        <v>43480</v>
      </c>
      <c r="L47" s="31">
        <v>43481</v>
      </c>
      <c r="M47" s="28" t="s">
        <v>33</v>
      </c>
      <c r="N47" s="28" t="s">
        <v>1723</v>
      </c>
      <c r="O47" s="2"/>
      <c r="P47" s="32">
        <f t="shared" ref="P47:P48" si="30">0.494+0.095</f>
        <v>0.58899999999999997</v>
      </c>
      <c r="Q47" s="116">
        <v>26000</v>
      </c>
      <c r="R47" s="2">
        <v>91565</v>
      </c>
      <c r="S47" s="68">
        <v>19.370999999999999</v>
      </c>
      <c r="T47" s="33">
        <f t="shared" ref="T47:T50" si="31">X47*F47*0.005</f>
        <v>2947.9377365822957</v>
      </c>
      <c r="V47" s="2">
        <v>0.12</v>
      </c>
      <c r="W47" s="2">
        <v>0.3</v>
      </c>
      <c r="X47" s="2">
        <f>IF(O47&gt;0,O47,((P47*2.2046*S47)+(Q47+R47)/G47)+V47)</f>
        <v>31.568372763173944</v>
      </c>
      <c r="Y47" s="2">
        <f>IF(O47&gt;0,O47,((P47*2.2046*S47)+(Q47+R47+T47)/G47)+V47+W47)</f>
        <v>32.026218315245188</v>
      </c>
      <c r="Z47" s="3">
        <f>Y47*F47</f>
        <v>598138.51185684022</v>
      </c>
      <c r="AA47" s="34">
        <v>43474</v>
      </c>
      <c r="AB47" s="3"/>
      <c r="AC47" s="35"/>
    </row>
    <row r="48" spans="1:32" x14ac:dyDescent="0.25">
      <c r="A48" s="124"/>
      <c r="B48" s="27" t="s">
        <v>30</v>
      </c>
      <c r="C48" s="28" t="s">
        <v>31</v>
      </c>
      <c r="D48" s="28" t="s">
        <v>31</v>
      </c>
      <c r="E48" t="s">
        <v>32</v>
      </c>
      <c r="F48" s="29">
        <f>41798*0.4536</f>
        <v>18959.572800000002</v>
      </c>
      <c r="G48" s="30">
        <v>18905.439999999999</v>
      </c>
      <c r="H48" s="30">
        <f t="shared" si="29"/>
        <v>-54.132800000003044</v>
      </c>
      <c r="I48" s="28" t="s">
        <v>1652</v>
      </c>
      <c r="J48" s="52" t="s">
        <v>1690</v>
      </c>
      <c r="K48" s="31">
        <v>43480</v>
      </c>
      <c r="L48" s="31">
        <v>43481</v>
      </c>
      <c r="M48" s="28" t="s">
        <v>33</v>
      </c>
      <c r="N48" s="28" t="s">
        <v>1723</v>
      </c>
      <c r="O48" s="2"/>
      <c r="P48" s="32">
        <f t="shared" si="30"/>
        <v>0.58899999999999997</v>
      </c>
      <c r="Q48" s="116">
        <v>26000</v>
      </c>
      <c r="R48" s="2">
        <v>95113</v>
      </c>
      <c r="S48" s="68">
        <v>19.370999999999999</v>
      </c>
      <c r="T48" s="33">
        <f t="shared" si="31"/>
        <v>3003.1657032563835</v>
      </c>
      <c r="V48" s="2">
        <v>0.12</v>
      </c>
      <c r="W48" s="2">
        <v>0.3</v>
      </c>
      <c r="X48" s="2">
        <f t="shared" ref="X48" si="32">IF(O48&gt;0,O48,((P48*2.2046*S48)+(Q48+R48)/G48)+V48)</f>
        <v>31.679676909770702</v>
      </c>
      <c r="Y48" s="2">
        <f t="shared" ref="Y48" si="33">IF(O48&gt;0,O48,((P48*2.2046*S48)+(Q48+R48+T48)/G48)+V48+W48)</f>
        <v>32.138528843566284</v>
      </c>
      <c r="Z48" s="3">
        <f t="shared" ref="Z48" si="34">Y48*F48</f>
        <v>609332.77729449479</v>
      </c>
      <c r="AA48" s="34">
        <v>43474</v>
      </c>
      <c r="AB48" s="3"/>
      <c r="AC48" s="35"/>
    </row>
    <row r="49" spans="1:29" x14ac:dyDescent="0.25">
      <c r="A49" s="124"/>
      <c r="B49" s="27" t="s">
        <v>30</v>
      </c>
      <c r="C49" s="28" t="s">
        <v>1790</v>
      </c>
      <c r="D49" s="28" t="s">
        <v>1790</v>
      </c>
      <c r="E49" t="s">
        <v>32</v>
      </c>
      <c r="F49" s="29">
        <f>42183*0.4536</f>
        <v>19134.2088</v>
      </c>
      <c r="G49" s="30">
        <v>19129.16</v>
      </c>
      <c r="H49" s="30">
        <f>G49-F49</f>
        <v>-5.0488000000004831</v>
      </c>
      <c r="I49" s="28" t="s">
        <v>1738</v>
      </c>
      <c r="J49" s="52" t="s">
        <v>196</v>
      </c>
      <c r="K49" s="31">
        <v>43480</v>
      </c>
      <c r="L49" s="31">
        <v>43481</v>
      </c>
      <c r="M49" s="28" t="s">
        <v>33</v>
      </c>
      <c r="N49" s="28" t="s">
        <v>1725</v>
      </c>
      <c r="O49" s="2"/>
      <c r="P49" s="32">
        <f>0.4949+0.095</f>
        <v>0.58989999999999998</v>
      </c>
      <c r="Q49" s="116">
        <v>26000</v>
      </c>
      <c r="R49" s="2">
        <v>96023</v>
      </c>
      <c r="S49" s="68">
        <v>18.978000000000002</v>
      </c>
      <c r="T49" s="33">
        <f>X49*F49*0.005</f>
        <v>2982.9912426442288</v>
      </c>
      <c r="V49" s="2">
        <v>0.12</v>
      </c>
      <c r="W49" s="2">
        <v>0.3</v>
      </c>
      <c r="X49" s="2">
        <f>IF(O49&gt;0,O49,((P49*2.2046*S49)+(Q49+R49)/G49)+V49)</f>
        <v>31.179666468824447</v>
      </c>
      <c r="Y49" s="2">
        <f>IF(O49&gt;0,O49,((P49*2.2046*S49)+(Q49+R49+T49)/G49)+V49+W49)</f>
        <v>31.635605947747944</v>
      </c>
      <c r="Z49" s="3">
        <f>Y49*F49</f>
        <v>605322.28971873107</v>
      </c>
      <c r="AA49" s="34">
        <v>43487</v>
      </c>
      <c r="AB49" s="3"/>
      <c r="AC49" s="35"/>
    </row>
    <row r="50" spans="1:29" x14ac:dyDescent="0.25">
      <c r="A50" s="124"/>
      <c r="B50" s="27" t="s">
        <v>26</v>
      </c>
      <c r="C50" t="s">
        <v>27</v>
      </c>
      <c r="D50" s="28" t="s">
        <v>1857</v>
      </c>
      <c r="E50">
        <f>200+50</f>
        <v>250</v>
      </c>
      <c r="F50" s="29">
        <f>23605+5275</f>
        <v>28880</v>
      </c>
      <c r="G50" s="30">
        <f>16960+5970</f>
        <v>22930</v>
      </c>
      <c r="H50" s="30">
        <f t="shared" si="29"/>
        <v>-5950</v>
      </c>
      <c r="I50" s="28" t="s">
        <v>1858</v>
      </c>
      <c r="K50" s="31"/>
      <c r="L50" s="31">
        <v>43481</v>
      </c>
      <c r="M50" s="28" t="s">
        <v>33</v>
      </c>
      <c r="O50" s="2">
        <v>27</v>
      </c>
      <c r="P50" s="32"/>
      <c r="Q50" s="116">
        <v>21300</v>
      </c>
      <c r="R50" s="2">
        <f>72*E50</f>
        <v>18000</v>
      </c>
      <c r="S50" s="33">
        <f>-38*E50</f>
        <v>-9500</v>
      </c>
      <c r="T50" s="141">
        <f t="shared" si="31"/>
        <v>5106.0167466201492</v>
      </c>
      <c r="U50" s="2">
        <f>E50*5</f>
        <v>1250</v>
      </c>
      <c r="W50" s="2">
        <v>0.3</v>
      </c>
      <c r="X50" s="2">
        <f t="shared" ref="X50" si="35">((O50*F50)+Q50+R50+S50+U50)/G50</f>
        <v>35.360226777147844</v>
      </c>
      <c r="Y50" s="2">
        <f>((O50*F50)+Q50+R50+S50+T50+U50)/G50+W50</f>
        <v>35.882905222268647</v>
      </c>
      <c r="Z50" s="3">
        <f>Y50*G50</f>
        <v>822795.01674662007</v>
      </c>
      <c r="AA50" s="34">
        <v>43494</v>
      </c>
      <c r="AB50" s="3"/>
      <c r="AC50" s="35" t="s">
        <v>1874</v>
      </c>
    </row>
    <row r="51" spans="1:29" x14ac:dyDescent="0.25">
      <c r="A51" s="124"/>
      <c r="B51" s="27" t="s">
        <v>30</v>
      </c>
      <c r="C51" s="28" t="s">
        <v>40</v>
      </c>
      <c r="D51" s="28" t="s">
        <v>40</v>
      </c>
      <c r="E51" t="s">
        <v>37</v>
      </c>
      <c r="F51" s="29">
        <f>41799*0.4536</f>
        <v>18960.026399999999</v>
      </c>
      <c r="G51" s="30">
        <v>18915.04</v>
      </c>
      <c r="H51" s="30">
        <f>G51-F51</f>
        <v>-44.986399999997957</v>
      </c>
      <c r="I51" t="s">
        <v>1739</v>
      </c>
      <c r="J51" s="52" t="s">
        <v>196</v>
      </c>
      <c r="K51" s="31">
        <v>43481</v>
      </c>
      <c r="L51" s="31">
        <v>43482</v>
      </c>
      <c r="M51" s="28" t="s">
        <v>41</v>
      </c>
      <c r="N51" s="28" t="s">
        <v>1726</v>
      </c>
      <c r="O51" s="2"/>
      <c r="P51" s="32">
        <f>0.4949+0.105</f>
        <v>0.59989999999999999</v>
      </c>
      <c r="Q51" s="116">
        <v>26000</v>
      </c>
      <c r="R51" s="2">
        <v>95327</v>
      </c>
      <c r="S51" s="68">
        <v>19.260999999999999</v>
      </c>
      <c r="T51" s="141">
        <f>X51*F51*0.005</f>
        <v>3034.3387135183043</v>
      </c>
      <c r="V51" s="2">
        <v>0.12</v>
      </c>
      <c r="W51" s="2">
        <v>0.3</v>
      </c>
      <c r="X51" s="2">
        <f>IF(O51&gt;0,O51,((P51*2.2046*S51)+(Q51+R51)/G51)+V51)</f>
        <v>32.007747768940916</v>
      </c>
      <c r="Y51" s="2">
        <f>IF(O51&gt;0,O51,((P51*2.2046*S51)+(Q51+R51+T51)/G51)+V51+W51)</f>
        <v>32.468167134351631</v>
      </c>
      <c r="Z51" s="3">
        <f>Y51*F51</f>
        <v>615597.30602691928</v>
      </c>
      <c r="AA51" s="34">
        <v>43475</v>
      </c>
      <c r="AB51" s="3"/>
      <c r="AC51" s="35"/>
    </row>
    <row r="52" spans="1:29" x14ac:dyDescent="0.25">
      <c r="A52" s="124"/>
      <c r="B52" s="27" t="s">
        <v>30</v>
      </c>
      <c r="C52" s="28" t="s">
        <v>35</v>
      </c>
      <c r="D52" s="28" t="s">
        <v>36</v>
      </c>
      <c r="E52" t="s">
        <v>37</v>
      </c>
      <c r="F52" s="29">
        <f>41549*0.4536</f>
        <v>18846.626400000001</v>
      </c>
      <c r="G52" s="30">
        <v>18574.07</v>
      </c>
      <c r="H52" s="30">
        <f>G52-F52</f>
        <v>-272.5564000000013</v>
      </c>
      <c r="I52" t="s">
        <v>1740</v>
      </c>
      <c r="J52" s="52" t="s">
        <v>196</v>
      </c>
      <c r="K52" s="31">
        <v>43481</v>
      </c>
      <c r="L52" s="31">
        <v>43482</v>
      </c>
      <c r="M52" s="28" t="s">
        <v>41</v>
      </c>
      <c r="N52" s="28" t="s">
        <v>1727</v>
      </c>
      <c r="O52" s="2"/>
      <c r="P52" s="32">
        <f>0.4949+0.1</f>
        <v>0.59489999999999998</v>
      </c>
      <c r="Q52" s="116">
        <v>26000</v>
      </c>
      <c r="R52" s="2">
        <v>97513</v>
      </c>
      <c r="S52" s="68">
        <v>18.989999999999998</v>
      </c>
      <c r="T52" s="141">
        <f>X52*F52*0.005</f>
        <v>2984.8771715023763</v>
      </c>
      <c r="V52" s="2">
        <v>0.12</v>
      </c>
      <c r="W52" s="2">
        <v>0.3</v>
      </c>
      <c r="X52" s="2">
        <f>IF(O52&gt;0,O52,((P52*2.2046*S52)+(Q52+R52)/G52)+V52)</f>
        <v>31.675453294944887</v>
      </c>
      <c r="Y52" s="2">
        <f>IF(O52&gt;0,O52,((P52*2.2046*S52)+(Q52+R52+T52)/G52)+V52+W52)</f>
        <v>32.136154593664145</v>
      </c>
      <c r="Z52" s="3">
        <f>Y52*F52</f>
        <v>605658.09955943201</v>
      </c>
      <c r="AA52" s="34">
        <v>43483</v>
      </c>
      <c r="AB52" s="3"/>
      <c r="AC52" s="35"/>
    </row>
    <row r="53" spans="1:29" x14ac:dyDescent="0.25">
      <c r="A53" s="124"/>
      <c r="B53" s="27" t="s">
        <v>26</v>
      </c>
      <c r="C53" t="s">
        <v>27</v>
      </c>
      <c r="D53" s="28" t="s">
        <v>1871</v>
      </c>
      <c r="E53">
        <v>250</v>
      </c>
      <c r="F53" s="29">
        <v>29710</v>
      </c>
      <c r="G53" s="30">
        <v>22200</v>
      </c>
      <c r="H53" s="30">
        <f t="shared" ref="H53:H55" si="36">G53-F53</f>
        <v>-7510</v>
      </c>
      <c r="I53" t="s">
        <v>1872</v>
      </c>
      <c r="K53" s="31"/>
      <c r="L53" s="31">
        <v>43482</v>
      </c>
      <c r="M53" s="28" t="s">
        <v>41</v>
      </c>
      <c r="O53" s="2">
        <v>27</v>
      </c>
      <c r="P53" s="32"/>
      <c r="Q53" s="69">
        <v>21300</v>
      </c>
      <c r="R53" s="2">
        <f>72*E53</f>
        <v>18000</v>
      </c>
      <c r="S53" s="33">
        <f>-38*E53</f>
        <v>-9500</v>
      </c>
      <c r="T53" s="141">
        <f>X53*F53*0.0045</f>
        <v>5017.8985540540534</v>
      </c>
      <c r="U53" s="2">
        <f>E53*5</f>
        <v>1250</v>
      </c>
      <c r="W53" s="2">
        <v>0.3</v>
      </c>
      <c r="X53" s="2">
        <f t="shared" ref="X53" si="37">((O53*F53)+Q53+R53+S53+U53)/G53</f>
        <v>37.532432432432429</v>
      </c>
      <c r="Y53" s="2">
        <f>((O53*F53)+Q53+R53+S53+T53+U53)/G53+W53</f>
        <v>38.058463898831263</v>
      </c>
      <c r="Z53" s="3">
        <f>Y53*G53</f>
        <v>844897.89855405409</v>
      </c>
      <c r="AA53" s="34">
        <v>43495</v>
      </c>
      <c r="AB53" s="3">
        <v>36.200000000000003</v>
      </c>
      <c r="AC53" s="35" t="s">
        <v>1875</v>
      </c>
    </row>
    <row r="54" spans="1:29" x14ac:dyDescent="0.25">
      <c r="A54" s="124"/>
      <c r="B54" s="27" t="s">
        <v>26</v>
      </c>
      <c r="C54" t="s">
        <v>27</v>
      </c>
      <c r="D54" s="28" t="s">
        <v>1636</v>
      </c>
      <c r="E54">
        <v>128</v>
      </c>
      <c r="F54" s="29">
        <v>13175</v>
      </c>
      <c r="G54" s="30">
        <v>11720</v>
      </c>
      <c r="H54" s="30">
        <f t="shared" si="36"/>
        <v>-1455</v>
      </c>
      <c r="I54" t="s">
        <v>1873</v>
      </c>
      <c r="K54" s="31"/>
      <c r="L54" s="31">
        <v>43482</v>
      </c>
      <c r="M54" s="28" t="s">
        <v>41</v>
      </c>
      <c r="O54" s="2">
        <v>27</v>
      </c>
      <c r="P54" s="32"/>
      <c r="Q54" s="116">
        <v>16900</v>
      </c>
      <c r="R54" s="2">
        <f>72*E54</f>
        <v>9216</v>
      </c>
      <c r="S54" s="33">
        <f>-38*E54</f>
        <v>-4864</v>
      </c>
      <c r="T54" s="141">
        <f>X54*F54*0.0045</f>
        <v>1910.2361678754262</v>
      </c>
      <c r="U54" s="2">
        <f>E54*5</f>
        <v>640</v>
      </c>
      <c r="W54" s="2">
        <v>0.3</v>
      </c>
      <c r="X54" s="2">
        <f>((O54*F54)+Q54+R54+S54+U54)/G54</f>
        <v>32.219880546075082</v>
      </c>
      <c r="Y54" s="2">
        <f>((O54*F54)+Q54+R54+S54+T54+U54)/G54+W54</f>
        <v>32.682869980194148</v>
      </c>
      <c r="Z54" s="3">
        <f>Y54*G54</f>
        <v>383043.23616787541</v>
      </c>
      <c r="AA54" s="34">
        <v>43495</v>
      </c>
      <c r="AB54" s="3"/>
      <c r="AC54" s="35"/>
    </row>
    <row r="55" spans="1:29" x14ac:dyDescent="0.25">
      <c r="A55" s="124"/>
      <c r="B55" s="27" t="s">
        <v>1789</v>
      </c>
      <c r="C55" t="s">
        <v>1790</v>
      </c>
      <c r="D55" s="28" t="s">
        <v>1734</v>
      </c>
      <c r="E55" t="s">
        <v>1937</v>
      </c>
      <c r="F55" s="29">
        <v>4505.4399999999996</v>
      </c>
      <c r="G55" s="30">
        <v>4506.04</v>
      </c>
      <c r="H55" s="30">
        <f t="shared" si="36"/>
        <v>0.6000000000003638</v>
      </c>
      <c r="I55" t="s">
        <v>1940</v>
      </c>
      <c r="K55" s="31"/>
      <c r="L55" s="31">
        <v>43482</v>
      </c>
      <c r="M55" s="28" t="s">
        <v>41</v>
      </c>
      <c r="O55" s="2">
        <v>54</v>
      </c>
      <c r="P55" s="32"/>
      <c r="Q55" s="2"/>
      <c r="R55" s="2"/>
      <c r="S55" s="33"/>
      <c r="T55" s="33"/>
      <c r="U55" s="2"/>
      <c r="W55" s="2"/>
      <c r="X55" s="2">
        <f>IF(O55&gt;0,O55,((P55*2.2046*S55)+(Q55+R55)/G55)+V55)</f>
        <v>54</v>
      </c>
      <c r="Y55" s="2">
        <f>IF(O55&gt;0,O55,((P55*2.2046*S55)+(Q55+R55+T55)/G55)+V55+W55)</f>
        <v>54</v>
      </c>
      <c r="Z55" s="3">
        <f>Y55*F55</f>
        <v>243293.75999999998</v>
      </c>
      <c r="AA55" s="34">
        <v>43489</v>
      </c>
      <c r="AB55" s="3"/>
      <c r="AC55" s="35"/>
    </row>
    <row r="56" spans="1:29" x14ac:dyDescent="0.25">
      <c r="A56" s="124"/>
      <c r="B56" s="27" t="s">
        <v>1729</v>
      </c>
      <c r="C56" s="28" t="s">
        <v>1730</v>
      </c>
      <c r="D56" s="28" t="s">
        <v>1731</v>
      </c>
      <c r="E56" t="s">
        <v>1936</v>
      </c>
      <c r="F56" s="29">
        <v>17067.849999999999</v>
      </c>
      <c r="G56" s="30">
        <v>17067.97</v>
      </c>
      <c r="H56" s="30">
        <f>G56-F56</f>
        <v>0.12000000000261934</v>
      </c>
      <c r="I56" t="s">
        <v>1923</v>
      </c>
      <c r="K56" s="31"/>
      <c r="L56" s="31">
        <v>43483</v>
      </c>
      <c r="M56" s="28" t="s">
        <v>45</v>
      </c>
      <c r="O56" s="2">
        <v>92.5</v>
      </c>
      <c r="P56" s="32"/>
      <c r="Q56" s="2"/>
      <c r="R56" s="2"/>
      <c r="S56" s="33"/>
      <c r="T56" s="33"/>
      <c r="U56" s="2"/>
      <c r="W56" s="2"/>
      <c r="X56" s="2">
        <f>IF(O56&gt;0,O56,((P56*2.2046*S56)+(Q56+R56)/G56)+V56)</f>
        <v>92.5</v>
      </c>
      <c r="Y56" s="2">
        <f>IF(O56&gt;0,O56,((P56*2.2046*S56)+(Q56+R56+T56)/G56)+V56+W56)</f>
        <v>92.5</v>
      </c>
      <c r="Z56" s="3">
        <f>Y56*F56</f>
        <v>1578776.1249999998</v>
      </c>
      <c r="AA56" s="34">
        <v>43525</v>
      </c>
      <c r="AB56" s="3"/>
      <c r="AC56" s="35"/>
    </row>
    <row r="57" spans="1:29" x14ac:dyDescent="0.25">
      <c r="A57" s="124"/>
      <c r="B57" s="27" t="s">
        <v>1732</v>
      </c>
      <c r="C57" s="28" t="s">
        <v>1733</v>
      </c>
      <c r="D57" s="28" t="s">
        <v>1734</v>
      </c>
      <c r="E57" t="s">
        <v>1921</v>
      </c>
      <c r="F57" s="29">
        <v>7621.6</v>
      </c>
      <c r="G57" s="30">
        <v>7621.6</v>
      </c>
      <c r="H57" s="30">
        <f>G57-F57</f>
        <v>0</v>
      </c>
      <c r="I57" t="s">
        <v>1941</v>
      </c>
      <c r="K57" s="31"/>
      <c r="L57" s="31">
        <v>43483</v>
      </c>
      <c r="M57" s="28" t="s">
        <v>45</v>
      </c>
      <c r="O57" s="2">
        <v>61.8</v>
      </c>
      <c r="P57" s="32"/>
      <c r="Q57" s="2"/>
      <c r="R57" s="2"/>
      <c r="S57" s="33"/>
      <c r="T57" s="33"/>
      <c r="U57" s="2"/>
      <c r="W57" s="2"/>
      <c r="X57" s="2">
        <f t="shared" ref="X57" si="38">IF(O57&gt;0,O57,((P57*2.2046*S57)+(Q57+R57)/G57)+V57)</f>
        <v>61.8</v>
      </c>
      <c r="Y57" s="2">
        <f t="shared" ref="Y57" si="39">IF(O57&gt;0,O57,((P57*2.2046*S57)+(Q57+R57+T57)/G57)+V57+W57)</f>
        <v>61.8</v>
      </c>
      <c r="Z57" s="3">
        <f t="shared" ref="Z57" si="40">Y57*F57</f>
        <v>471014.88</v>
      </c>
      <c r="AA57" s="34">
        <v>43490</v>
      </c>
      <c r="AB57" s="3"/>
      <c r="AC57" s="35"/>
    </row>
    <row r="58" spans="1:29" x14ac:dyDescent="0.25">
      <c r="A58" s="124"/>
      <c r="B58" s="27" t="s">
        <v>26</v>
      </c>
      <c r="C58" t="s">
        <v>27</v>
      </c>
      <c r="D58" s="28" t="s">
        <v>44</v>
      </c>
      <c r="E58">
        <v>234</v>
      </c>
      <c r="F58" s="29">
        <v>20778.5</v>
      </c>
      <c r="G58" s="30">
        <v>20840</v>
      </c>
      <c r="H58" s="30">
        <f t="shared" ref="H58:H61" si="41">G58-F58</f>
        <v>61.5</v>
      </c>
      <c r="I58" t="s">
        <v>1939</v>
      </c>
      <c r="K58" s="31"/>
      <c r="L58" s="31">
        <v>43483</v>
      </c>
      <c r="M58" s="28" t="s">
        <v>45</v>
      </c>
      <c r="O58" s="2">
        <v>34.4</v>
      </c>
      <c r="P58" s="32"/>
      <c r="Q58" s="69">
        <v>21300</v>
      </c>
      <c r="R58" s="2"/>
      <c r="S58" s="33"/>
      <c r="T58" s="141">
        <f>X58*F58*0.0045</f>
        <v>3307.8362986468328</v>
      </c>
      <c r="U58" s="2">
        <f>E58*5</f>
        <v>1170</v>
      </c>
      <c r="W58" s="2">
        <v>0.3</v>
      </c>
      <c r="X58" s="2">
        <f>((O58*F58)+Q58+R58+S58+U58)/G58</f>
        <v>35.376698656429944</v>
      </c>
      <c r="Y58" s="2">
        <f>((O58*F58)+Q58+R58+S58+T58+U58)/G58+W58</f>
        <v>35.835424006652921</v>
      </c>
      <c r="Z58" s="3">
        <f>Y58*G58</f>
        <v>746810.23629864689</v>
      </c>
      <c r="AA58" s="34">
        <v>43490</v>
      </c>
      <c r="AB58" s="3"/>
      <c r="AC58" s="35"/>
    </row>
    <row r="59" spans="1:29" x14ac:dyDescent="0.25">
      <c r="A59" s="124"/>
      <c r="B59" s="27" t="s">
        <v>26</v>
      </c>
      <c r="C59" t="s">
        <v>27</v>
      </c>
      <c r="D59" s="28" t="s">
        <v>1718</v>
      </c>
      <c r="E59">
        <v>210</v>
      </c>
      <c r="F59" s="29">
        <v>23800</v>
      </c>
      <c r="G59" s="30">
        <f>7340+11640</f>
        <v>18980</v>
      </c>
      <c r="H59" s="30">
        <f t="shared" si="41"/>
        <v>-4820</v>
      </c>
      <c r="I59" s="28" t="s">
        <v>1894</v>
      </c>
      <c r="K59" s="31"/>
      <c r="L59" s="31">
        <v>43483</v>
      </c>
      <c r="M59" s="28" t="s">
        <v>45</v>
      </c>
      <c r="O59" s="2">
        <v>27</v>
      </c>
      <c r="P59" s="32"/>
      <c r="Q59" s="116">
        <v>16900</v>
      </c>
      <c r="R59" s="2">
        <f>72*E59</f>
        <v>15120</v>
      </c>
      <c r="S59" s="33">
        <f>-38*E59</f>
        <v>-7980</v>
      </c>
      <c r="T59" s="141">
        <f>X59*F59*0.0045</f>
        <v>3767.6290305584826</v>
      </c>
      <c r="U59" s="2">
        <f>E59*5</f>
        <v>1050</v>
      </c>
      <c r="W59" s="2">
        <v>0.3</v>
      </c>
      <c r="X59" s="2">
        <f>((O59*F59)+Q59+R59+S59+U59)/G59</f>
        <v>35.178609062170707</v>
      </c>
      <c r="Y59" s="2">
        <f>((O59*F59)+Q59+R59+S59+T59+U59)/G59+W59</f>
        <v>35.6771142797976</v>
      </c>
      <c r="Z59" s="3">
        <f>Y59*G59</f>
        <v>677151.6290305584</v>
      </c>
      <c r="AA59" s="34">
        <v>43496</v>
      </c>
      <c r="AB59" s="3"/>
      <c r="AC59" s="35" t="s">
        <v>1895</v>
      </c>
    </row>
    <row r="60" spans="1:29" x14ac:dyDescent="0.25">
      <c r="A60" s="124"/>
      <c r="B60" s="27" t="s">
        <v>1912</v>
      </c>
      <c r="C60" t="s">
        <v>1913</v>
      </c>
      <c r="D60" s="28" t="s">
        <v>1806</v>
      </c>
      <c r="E60" t="s">
        <v>1914</v>
      </c>
      <c r="F60" s="29">
        <v>1000</v>
      </c>
      <c r="G60" s="30">
        <v>1000</v>
      </c>
      <c r="H60" s="30">
        <f t="shared" si="41"/>
        <v>0</v>
      </c>
      <c r="I60" s="28" t="s">
        <v>1915</v>
      </c>
      <c r="K60" s="31"/>
      <c r="L60" s="31">
        <v>43483</v>
      </c>
      <c r="M60" s="28" t="s">
        <v>45</v>
      </c>
      <c r="O60" s="2">
        <v>29.5</v>
      </c>
      <c r="P60" s="32"/>
      <c r="Q60" s="2"/>
      <c r="R60" s="2"/>
      <c r="S60" s="33"/>
      <c r="T60" s="33"/>
      <c r="U60" s="2"/>
      <c r="W60" s="2"/>
      <c r="X60" s="2">
        <f>IF(O60&gt;0,O60,((P60*2.2046*S60)+(Q60+R60)/G60)+V60)</f>
        <v>29.5</v>
      </c>
      <c r="Y60" s="2">
        <f>IF(O60&gt;0,O60,((P60*2.2046*S60)+(Q60+R60+T60)/G60)+V60+W60)</f>
        <v>29.5</v>
      </c>
      <c r="Z60" s="3">
        <f>Y60*F60</f>
        <v>29500</v>
      </c>
      <c r="AA60" s="34">
        <v>43490</v>
      </c>
      <c r="AB60" s="3"/>
      <c r="AC60" s="35"/>
    </row>
    <row r="61" spans="1:29" x14ac:dyDescent="0.25">
      <c r="A61" s="124"/>
      <c r="B61" s="27" t="s">
        <v>30</v>
      </c>
      <c r="C61" t="s">
        <v>40</v>
      </c>
      <c r="D61" s="28" t="s">
        <v>40</v>
      </c>
      <c r="E61" t="s">
        <v>37</v>
      </c>
      <c r="F61" s="29">
        <f>42279*0.4536</f>
        <v>19177.754400000002</v>
      </c>
      <c r="G61" s="30">
        <v>19163.560000000001</v>
      </c>
      <c r="H61" s="30">
        <f t="shared" si="41"/>
        <v>-14.194400000000314</v>
      </c>
      <c r="I61" s="28" t="s">
        <v>1741</v>
      </c>
      <c r="J61" s="52" t="s">
        <v>196</v>
      </c>
      <c r="K61" s="31">
        <v>43483</v>
      </c>
      <c r="L61" s="31">
        <v>43119</v>
      </c>
      <c r="M61" s="28" t="s">
        <v>46</v>
      </c>
      <c r="N61" s="28" t="s">
        <v>1728</v>
      </c>
      <c r="O61" s="2"/>
      <c r="P61" s="32">
        <f>0.5132+0.105</f>
        <v>0.61819999999999997</v>
      </c>
      <c r="Q61" s="116">
        <v>26000</v>
      </c>
      <c r="R61" s="2">
        <v>100172</v>
      </c>
      <c r="S61" s="68">
        <v>19.09</v>
      </c>
      <c r="T61" s="141">
        <f>X61*F61*0.005</f>
        <v>3137.6152807007938</v>
      </c>
      <c r="V61" s="2">
        <v>0.12</v>
      </c>
      <c r="W61" s="2">
        <v>0.3</v>
      </c>
      <c r="X61" s="2">
        <f>IF(O61&gt;0,O61,((P61*2.2046*S61)+(Q61+R61)/G61)+V61)</f>
        <v>32.721404344408477</v>
      </c>
      <c r="Y61" s="2">
        <f>IF(O61&gt;0,O61,((P61*2.2046*S61)+(Q61+R61+T61)/G61)+V61+W61)</f>
        <v>33.185132549434094</v>
      </c>
      <c r="Z61" s="3">
        <f>Y61*F61</f>
        <v>636416.32176449301</v>
      </c>
      <c r="AA61" s="34">
        <v>43479</v>
      </c>
      <c r="AB61" s="3"/>
      <c r="AC61" s="35"/>
    </row>
    <row r="62" spans="1:29" ht="15.75" thickBot="1" x14ac:dyDescent="0.3">
      <c r="A62" s="125"/>
      <c r="B62" s="41"/>
      <c r="C62" s="4"/>
      <c r="D62" s="4"/>
      <c r="E62" s="4"/>
      <c r="F62" s="42"/>
      <c r="G62" s="42"/>
      <c r="H62" s="42"/>
      <c r="I62" s="7"/>
      <c r="J62" s="4"/>
      <c r="K62" s="8"/>
      <c r="L62" s="8"/>
      <c r="M62" s="4"/>
      <c r="N62" s="4"/>
      <c r="O62" s="9"/>
      <c r="P62" s="10"/>
      <c r="Q62" s="9"/>
      <c r="R62" s="9"/>
      <c r="S62" s="9"/>
      <c r="T62" s="9"/>
      <c r="U62" s="9"/>
      <c r="V62" s="9"/>
      <c r="W62" s="9"/>
      <c r="X62" s="9"/>
      <c r="Y62" s="9"/>
      <c r="Z62" s="13"/>
      <c r="AA62" s="43"/>
      <c r="AB62" s="3"/>
      <c r="AC62" s="35"/>
    </row>
    <row r="63" spans="1:29" ht="15.75" thickTop="1" x14ac:dyDescent="0.25">
      <c r="A63" s="126"/>
      <c r="B63" s="14" t="s">
        <v>26</v>
      </c>
      <c r="C63" s="14" t="s">
        <v>27</v>
      </c>
      <c r="D63" s="15" t="s">
        <v>1718</v>
      </c>
      <c r="E63" s="14">
        <v>220</v>
      </c>
      <c r="F63" s="16">
        <v>25870</v>
      </c>
      <c r="G63" s="17">
        <v>23670</v>
      </c>
      <c r="H63" s="18">
        <f t="shared" ref="H63:H65" si="42">G63-F63</f>
        <v>-2200</v>
      </c>
      <c r="I63" s="19" t="s">
        <v>1907</v>
      </c>
      <c r="J63" s="14">
        <v>250</v>
      </c>
      <c r="K63" s="20"/>
      <c r="L63" s="20">
        <v>43485</v>
      </c>
      <c r="M63" s="15" t="s">
        <v>28</v>
      </c>
      <c r="N63" s="14"/>
      <c r="O63" s="21">
        <v>27</v>
      </c>
      <c r="P63" s="22"/>
      <c r="Q63" s="120">
        <v>21300</v>
      </c>
      <c r="R63" s="2">
        <f>72*E63</f>
        <v>15840</v>
      </c>
      <c r="S63" s="21">
        <f>-38*E63</f>
        <v>-8360</v>
      </c>
      <c r="T63" s="157">
        <f>X63*F63*0.0045</f>
        <v>3582.3064448669202</v>
      </c>
      <c r="U63" s="21">
        <f>E63*5</f>
        <v>1100</v>
      </c>
      <c r="V63" s="14"/>
      <c r="W63" s="21">
        <v>0.3</v>
      </c>
      <c r="X63" s="21">
        <f>((O63*F63)+Q63+R63+S63+U63)/G63</f>
        <v>30.771863117870723</v>
      </c>
      <c r="Y63" s="24">
        <f>((O63*F63)+Q63+R63+S63+T63+U63)/G63+W63</f>
        <v>31.223206862901012</v>
      </c>
      <c r="Z63" s="24">
        <f>Y63*G63</f>
        <v>739053.30644486693</v>
      </c>
      <c r="AA63" s="25">
        <v>43500</v>
      </c>
      <c r="AB63" s="3"/>
      <c r="AC63" s="3"/>
    </row>
    <row r="64" spans="1:29" x14ac:dyDescent="0.25">
      <c r="A64" s="127"/>
      <c r="B64" s="27" t="s">
        <v>26</v>
      </c>
      <c r="C64" t="s">
        <v>27</v>
      </c>
      <c r="D64" s="28" t="s">
        <v>1718</v>
      </c>
      <c r="E64">
        <v>160</v>
      </c>
      <c r="F64" s="29">
        <v>19290</v>
      </c>
      <c r="G64" s="30">
        <v>12090</v>
      </c>
      <c r="H64" s="30">
        <f t="shared" si="42"/>
        <v>-7200</v>
      </c>
      <c r="I64" s="28" t="s">
        <v>1908</v>
      </c>
      <c r="J64">
        <v>130</v>
      </c>
      <c r="K64" s="119">
        <v>0.79100000000000004</v>
      </c>
      <c r="L64" s="31">
        <v>43485</v>
      </c>
      <c r="M64" s="28" t="s">
        <v>28</v>
      </c>
      <c r="O64" s="2">
        <v>27</v>
      </c>
      <c r="P64" s="32"/>
      <c r="Q64" s="116">
        <v>16900</v>
      </c>
      <c r="R64" s="2">
        <f>72*E64</f>
        <v>11520</v>
      </c>
      <c r="S64" s="33">
        <f>-38*E64</f>
        <v>-6080</v>
      </c>
      <c r="T64" s="141">
        <f>X64*F64*0.0045</f>
        <v>3905.6506079404462</v>
      </c>
      <c r="U64" s="2">
        <f>E64*5</f>
        <v>800</v>
      </c>
      <c r="W64" s="2">
        <v>0.3</v>
      </c>
      <c r="X64" s="2">
        <f>((O64*F64)+Q64+R64+S64+U64)/G64</f>
        <v>44.993382961124894</v>
      </c>
      <c r="Y64" s="2">
        <f>((O64*F64)+Q64+R64+S64+T64+U64)/G64+W64</f>
        <v>45.616430984941303</v>
      </c>
      <c r="Z64" s="3">
        <f>Y64*G64</f>
        <v>551502.65060794039</v>
      </c>
      <c r="AA64" s="34">
        <v>43500</v>
      </c>
      <c r="AB64" s="3">
        <v>36.090000000000003</v>
      </c>
      <c r="AC64" s="35" t="s">
        <v>1926</v>
      </c>
    </row>
    <row r="65" spans="1:32" x14ac:dyDescent="0.25">
      <c r="A65" s="127"/>
      <c r="B65" s="27" t="s">
        <v>26</v>
      </c>
      <c r="C65" t="s">
        <v>27</v>
      </c>
      <c r="D65" s="28" t="s">
        <v>1871</v>
      </c>
      <c r="E65">
        <v>199</v>
      </c>
      <c r="F65" s="29">
        <v>21005</v>
      </c>
      <c r="G65" s="30">
        <v>16270</v>
      </c>
      <c r="H65" s="30">
        <f t="shared" si="42"/>
        <v>-4735</v>
      </c>
      <c r="I65" s="28" t="s">
        <v>1942</v>
      </c>
      <c r="K65" s="119">
        <v>0.77400000000000002</v>
      </c>
      <c r="L65" s="31">
        <v>43486</v>
      </c>
      <c r="M65" s="28" t="s">
        <v>29</v>
      </c>
      <c r="O65" s="2">
        <v>27</v>
      </c>
      <c r="P65" s="32"/>
      <c r="Q65" s="69">
        <v>21300</v>
      </c>
      <c r="R65" s="2">
        <f>72*E65</f>
        <v>14328</v>
      </c>
      <c r="S65" s="33">
        <f>-38*E65</f>
        <v>-7562</v>
      </c>
      <c r="T65" s="141">
        <f>X65*F65*0.0045</f>
        <v>3463.6715679164104</v>
      </c>
      <c r="U65" s="2">
        <f>E65*5</f>
        <v>995</v>
      </c>
      <c r="W65" s="2">
        <v>0.3</v>
      </c>
      <c r="X65" s="2">
        <f>((O65*F65)+Q65+R65+S65+U65)/G65</f>
        <v>36.643884449907809</v>
      </c>
      <c r="Y65" s="2">
        <f>((O65*F65)+Q65+R65+S65+T65+U65)/G65+W65</f>
        <v>37.156771454696766</v>
      </c>
      <c r="Z65" s="3">
        <f>Y65*G65</f>
        <v>604540.6715679164</v>
      </c>
      <c r="AA65" s="34">
        <v>43500</v>
      </c>
      <c r="AB65" s="3"/>
      <c r="AC65" s="35"/>
    </row>
    <row r="66" spans="1:32" x14ac:dyDescent="0.25">
      <c r="A66" s="127"/>
      <c r="B66" s="27" t="s">
        <v>26</v>
      </c>
      <c r="C66" t="s">
        <v>27</v>
      </c>
      <c r="D66" s="28" t="s">
        <v>1829</v>
      </c>
      <c r="E66">
        <v>130</v>
      </c>
      <c r="F66" s="29">
        <v>14035</v>
      </c>
      <c r="G66" s="30">
        <v>11000</v>
      </c>
      <c r="H66" s="30">
        <f t="shared" ref="H66" si="43">G66-F66</f>
        <v>-3035</v>
      </c>
      <c r="I66" s="28" t="s">
        <v>1943</v>
      </c>
      <c r="K66" s="119">
        <v>0.78300000000000003</v>
      </c>
      <c r="L66" s="31">
        <v>43486</v>
      </c>
      <c r="M66" s="28" t="s">
        <v>29</v>
      </c>
      <c r="O66" s="2">
        <v>27</v>
      </c>
      <c r="P66" s="32"/>
      <c r="Q66" s="116">
        <v>16900</v>
      </c>
      <c r="R66" s="2">
        <f>72*E66</f>
        <v>9360</v>
      </c>
      <c r="S66" s="33">
        <f>-38*E66</f>
        <v>-4940</v>
      </c>
      <c r="T66" s="141">
        <f>X66*F66*0.0045</f>
        <v>2301.8899193181815</v>
      </c>
      <c r="U66" s="2">
        <f>E66*5</f>
        <v>650</v>
      </c>
      <c r="W66" s="2">
        <v>0.3</v>
      </c>
      <c r="X66" s="2">
        <f>((O66*F66)+Q66+R66+S66+U66)/G66</f>
        <v>36.44681818181818</v>
      </c>
      <c r="Y66" s="2">
        <f>((O66*F66)+Q66+R66+S66+T66+U66)/G66+W66</f>
        <v>36.956080901756195</v>
      </c>
      <c r="Z66" s="3">
        <f>Y66*G66</f>
        <v>406516.88991931814</v>
      </c>
      <c r="AA66" s="34">
        <v>43500</v>
      </c>
      <c r="AB66" s="3"/>
      <c r="AC66" s="35" t="s">
        <v>1944</v>
      </c>
    </row>
    <row r="67" spans="1:32" x14ac:dyDescent="0.25">
      <c r="A67" s="127"/>
      <c r="B67" s="27" t="s">
        <v>30</v>
      </c>
      <c r="C67" s="28" t="s">
        <v>35</v>
      </c>
      <c r="D67" s="28" t="s">
        <v>36</v>
      </c>
      <c r="E67" t="s">
        <v>37</v>
      </c>
      <c r="F67" s="29">
        <f>41648*0.4536</f>
        <v>18891.532800000001</v>
      </c>
      <c r="G67" s="30">
        <v>18797.07</v>
      </c>
      <c r="H67" s="30">
        <f>G67-F67</f>
        <v>-94.462800000001153</v>
      </c>
      <c r="I67" t="s">
        <v>1747</v>
      </c>
      <c r="J67" s="52" t="s">
        <v>196</v>
      </c>
      <c r="K67" s="31">
        <v>43486</v>
      </c>
      <c r="L67" s="31">
        <v>43487</v>
      </c>
      <c r="M67" s="28" t="s">
        <v>48</v>
      </c>
      <c r="N67" s="28" t="s">
        <v>1742</v>
      </c>
      <c r="O67" s="2"/>
      <c r="P67" s="32">
        <f>0.5222+0.1</f>
        <v>0.62219999999999998</v>
      </c>
      <c r="Q67" s="116">
        <v>26000</v>
      </c>
      <c r="R67" s="2">
        <v>102294</v>
      </c>
      <c r="S67" s="68">
        <v>19.23</v>
      </c>
      <c r="T67" s="141">
        <f>X67*F67*0.005</f>
        <v>3147.6169333213925</v>
      </c>
      <c r="V67" s="2">
        <v>0.12</v>
      </c>
      <c r="W67" s="2">
        <v>0.3</v>
      </c>
      <c r="X67" s="2">
        <f>IF(O67&gt;0,O67,((P67*2.2046*S67)+(Q67+R67)/G67)+V67)</f>
        <v>33.323044420423017</v>
      </c>
      <c r="Y67" s="2">
        <f>IF(O67&gt;0,O67,((P67*2.2046*S67)+(Q67+R67+T67)/G67)+V67+W67)</f>
        <v>33.790496950701481</v>
      </c>
      <c r="Z67" s="3">
        <f>Y67*F67</f>
        <v>638354.28147247701</v>
      </c>
      <c r="AA67" s="34">
        <v>43487</v>
      </c>
      <c r="AB67" s="3"/>
      <c r="AC67" s="35"/>
    </row>
    <row r="68" spans="1:32" x14ac:dyDescent="0.25">
      <c r="A68" s="127"/>
      <c r="B68" s="27" t="s">
        <v>26</v>
      </c>
      <c r="C68" t="s">
        <v>27</v>
      </c>
      <c r="D68" s="28" t="s">
        <v>1720</v>
      </c>
      <c r="E68">
        <v>200</v>
      </c>
      <c r="F68" s="29">
        <v>21235</v>
      </c>
      <c r="G68" s="30">
        <v>16430</v>
      </c>
      <c r="H68" s="30">
        <f>G68-F68</f>
        <v>-4805</v>
      </c>
      <c r="I68" s="28" t="s">
        <v>1947</v>
      </c>
      <c r="K68" s="119">
        <v>0.77300000000000002</v>
      </c>
      <c r="L68" s="31">
        <v>43487</v>
      </c>
      <c r="M68" s="28" t="s">
        <v>48</v>
      </c>
      <c r="O68" s="2">
        <v>27</v>
      </c>
      <c r="P68" s="32"/>
      <c r="Q68" s="69">
        <v>21300</v>
      </c>
      <c r="R68" s="2">
        <f>72*E68</f>
        <v>14400</v>
      </c>
      <c r="S68" s="33">
        <f>-38*E68</f>
        <v>-7600</v>
      </c>
      <c r="T68" s="141">
        <f>X68*F68*0.005</f>
        <v>3893.1587264150949</v>
      </c>
      <c r="U68" s="2">
        <f>E68*5</f>
        <v>1000</v>
      </c>
      <c r="W68" s="2">
        <v>0.3</v>
      </c>
      <c r="X68" s="2">
        <f>((O68*F68)+Q68+R68+S68+U68)/G68</f>
        <v>36.66737674984784</v>
      </c>
      <c r="Y68" s="2">
        <f>((O68*F68)+Q68+R68+S68+T68+U68)/G68+W68</f>
        <v>37.204331024127512</v>
      </c>
      <c r="Z68" s="3">
        <f>Y68*G68</f>
        <v>611267.15872641501</v>
      </c>
      <c r="AA68" s="34">
        <v>43501</v>
      </c>
      <c r="AB68" s="3"/>
      <c r="AC68" s="35"/>
      <c r="AF68" s="30"/>
    </row>
    <row r="69" spans="1:32" x14ac:dyDescent="0.25">
      <c r="A69" s="127"/>
      <c r="B69" s="27" t="s">
        <v>30</v>
      </c>
      <c r="C69" s="28" t="s">
        <v>31</v>
      </c>
      <c r="D69" s="28" t="s">
        <v>31</v>
      </c>
      <c r="E69" t="s">
        <v>32</v>
      </c>
      <c r="F69" s="29">
        <f>40813*0.4536</f>
        <v>18512.7768</v>
      </c>
      <c r="G69" s="30">
        <v>18485.509999999998</v>
      </c>
      <c r="H69" s="30">
        <f t="shared" ref="H69:H72" si="44">G69-F69</f>
        <v>-27.26680000000124</v>
      </c>
      <c r="I69" s="28" t="s">
        <v>1653</v>
      </c>
      <c r="J69" s="52" t="s">
        <v>1690</v>
      </c>
      <c r="K69" s="31">
        <v>43487</v>
      </c>
      <c r="L69" s="31">
        <v>43488</v>
      </c>
      <c r="M69" s="28" t="s">
        <v>33</v>
      </c>
      <c r="N69" s="28" t="s">
        <v>1743</v>
      </c>
      <c r="O69" s="2"/>
      <c r="P69" s="32">
        <f>0.5222+0.095</f>
        <v>0.61719999999999997</v>
      </c>
      <c r="Q69" s="116">
        <v>26000</v>
      </c>
      <c r="R69" s="2">
        <v>97384</v>
      </c>
      <c r="S69" s="68">
        <v>19.100000000000001</v>
      </c>
      <c r="T69" s="141">
        <f t="shared" ref="T69:T72" si="45">X69*F69*0.005</f>
        <v>3034.5777602274275</v>
      </c>
      <c r="V69" s="2">
        <v>0.12</v>
      </c>
      <c r="W69" s="2">
        <v>0.3</v>
      </c>
      <c r="X69" s="2">
        <f>IF(O69&gt;0,O69,((P69*2.2046*S69)+(Q69+R69)/G69)+V69)</f>
        <v>32.783604458812761</v>
      </c>
      <c r="Y69" s="2">
        <f>IF(O69&gt;0,O69,((P69*2.2046*S69)+(Q69+R69+T69)/G69)+V69+W69)</f>
        <v>33.247764266155237</v>
      </c>
      <c r="Z69" s="3">
        <f>Y69*F69</f>
        <v>615508.43895834766</v>
      </c>
      <c r="AA69" s="34">
        <v>43481</v>
      </c>
      <c r="AB69" s="3"/>
      <c r="AC69" s="35"/>
    </row>
    <row r="70" spans="1:32" x14ac:dyDescent="0.25">
      <c r="A70" s="127"/>
      <c r="B70" s="27" t="s">
        <v>30</v>
      </c>
      <c r="C70" s="28" t="s">
        <v>31</v>
      </c>
      <c r="D70" s="28" t="s">
        <v>31</v>
      </c>
      <c r="E70" t="s">
        <v>32</v>
      </c>
      <c r="F70" s="29">
        <f>41287*0.4536</f>
        <v>18727.783200000002</v>
      </c>
      <c r="G70" s="30">
        <v>18673.84</v>
      </c>
      <c r="H70" s="30">
        <f t="shared" si="44"/>
        <v>-53.943200000001525</v>
      </c>
      <c r="I70" s="28" t="s">
        <v>1654</v>
      </c>
      <c r="J70" s="52" t="s">
        <v>196</v>
      </c>
      <c r="K70" s="31">
        <v>43487</v>
      </c>
      <c r="L70" s="31">
        <v>43488</v>
      </c>
      <c r="M70" s="28" t="s">
        <v>33</v>
      </c>
      <c r="N70" s="28" t="s">
        <v>1743</v>
      </c>
      <c r="O70" s="2"/>
      <c r="P70" s="32">
        <f t="shared" ref="P70:P71" si="46">0.5222+0.095</f>
        <v>0.61719999999999997</v>
      </c>
      <c r="Q70" s="116">
        <v>26000</v>
      </c>
      <c r="R70" s="2">
        <v>96064</v>
      </c>
      <c r="S70" s="68">
        <v>19.100000000000001</v>
      </c>
      <c r="T70" s="141">
        <f t="shared" si="45"/>
        <v>3056.8987942402055</v>
      </c>
      <c r="V70" s="2">
        <v>0.12</v>
      </c>
      <c r="W70" s="2">
        <v>0.3</v>
      </c>
      <c r="X70" s="2">
        <f t="shared" ref="X70" si="47">IF(O70&gt;0,O70,((P70*2.2046*S70)+(Q70+R70)/G70)+V70)</f>
        <v>32.645602115259486</v>
      </c>
      <c r="Y70" s="2">
        <f t="shared" ref="Y70" si="48">IF(O70&gt;0,O70,((P70*2.2046*S70)+(Q70+R70+T70)/G70)+V70+W70)</f>
        <v>33.10930164327516</v>
      </c>
      <c r="Z70" s="3">
        <f t="shared" ref="Z70" si="49">Y70*F70</f>
        <v>620063.82307866099</v>
      </c>
      <c r="AA70" s="34">
        <v>43481</v>
      </c>
      <c r="AB70" s="3"/>
      <c r="AC70" s="35"/>
    </row>
    <row r="71" spans="1:32" x14ac:dyDescent="0.25">
      <c r="A71" s="127"/>
      <c r="B71" s="27" t="s">
        <v>30</v>
      </c>
      <c r="C71" s="28" t="s">
        <v>1790</v>
      </c>
      <c r="D71" s="28" t="s">
        <v>1790</v>
      </c>
      <c r="E71" t="s">
        <v>32</v>
      </c>
      <c r="F71" s="29">
        <f>42285*0.4536</f>
        <v>19180.475999999999</v>
      </c>
      <c r="G71" s="30">
        <v>19467.09</v>
      </c>
      <c r="H71" s="30">
        <f>G71-F71</f>
        <v>286.6140000000014</v>
      </c>
      <c r="I71" s="28" t="s">
        <v>1748</v>
      </c>
      <c r="J71" s="52" t="s">
        <v>196</v>
      </c>
      <c r="K71" s="31">
        <v>43487</v>
      </c>
      <c r="L71" s="31">
        <v>43488</v>
      </c>
      <c r="M71" s="28" t="s">
        <v>33</v>
      </c>
      <c r="N71" s="28" t="s">
        <v>1743</v>
      </c>
      <c r="O71" s="2"/>
      <c r="P71" s="32">
        <f t="shared" si="46"/>
        <v>0.61719999999999997</v>
      </c>
      <c r="Q71" s="116">
        <v>26000</v>
      </c>
      <c r="R71" s="2">
        <v>100459</v>
      </c>
      <c r="S71" s="68">
        <v>19.091999999999999</v>
      </c>
      <c r="T71" s="141">
        <f t="shared" ref="T71" si="50">X71*F71*0.005</f>
        <v>3125.8542573489885</v>
      </c>
      <c r="V71" s="2">
        <v>0.12</v>
      </c>
      <c r="W71" s="2">
        <v>0.3</v>
      </c>
      <c r="X71" s="2">
        <f>IF(O71&gt;0,O71,((P71*2.2046*S71)+(Q71+R71)/G71)+V71)</f>
        <v>32.594125999260797</v>
      </c>
      <c r="Y71" s="2">
        <f>IF(O71&gt;0,O71,((P71*2.2046*S71)+(Q71+R71+T71)/G71)+V71+W71)</f>
        <v>33.054697212387616</v>
      </c>
      <c r="Z71" s="3">
        <f>Y71*F71</f>
        <v>634004.82656946755</v>
      </c>
      <c r="AA71" s="34">
        <v>43490</v>
      </c>
      <c r="AB71" s="3"/>
      <c r="AC71" s="35"/>
    </row>
    <row r="72" spans="1:32" x14ac:dyDescent="0.25">
      <c r="A72" s="127"/>
      <c r="B72" s="27" t="s">
        <v>26</v>
      </c>
      <c r="C72" t="s">
        <v>27</v>
      </c>
      <c r="D72" s="28" t="s">
        <v>1718</v>
      </c>
      <c r="E72">
        <f>219+30</f>
        <v>249</v>
      </c>
      <c r="F72" s="29">
        <f>26330+3575</f>
        <v>29905</v>
      </c>
      <c r="G72" s="30">
        <f>16970+6680</f>
        <v>23650</v>
      </c>
      <c r="H72" s="30">
        <f t="shared" si="44"/>
        <v>-6255</v>
      </c>
      <c r="I72" s="28" t="s">
        <v>1948</v>
      </c>
      <c r="K72" s="119">
        <v>0.79</v>
      </c>
      <c r="L72" s="31">
        <v>43488</v>
      </c>
      <c r="M72" s="28" t="s">
        <v>33</v>
      </c>
      <c r="O72" s="2">
        <v>27</v>
      </c>
      <c r="P72" s="32"/>
      <c r="Q72" s="69">
        <v>21300</v>
      </c>
      <c r="R72" s="2">
        <f>72*E72</f>
        <v>17928</v>
      </c>
      <c r="S72" s="33">
        <f>-38*E72</f>
        <v>-9462</v>
      </c>
      <c r="T72" s="141">
        <f t="shared" si="45"/>
        <v>5300.9994989429169</v>
      </c>
      <c r="U72" s="2">
        <f>E72*5</f>
        <v>1245</v>
      </c>
      <c r="W72" s="2">
        <v>0.3</v>
      </c>
      <c r="X72" s="2">
        <f t="shared" ref="X72" si="51">((O72*F72)+Q72+R72+S72+U72)/G72</f>
        <v>35.452262156448199</v>
      </c>
      <c r="Y72" s="2">
        <f>((O72*F72)+Q72+R72+S72+T72+U72)/G72+W72</f>
        <v>35.976405898475385</v>
      </c>
      <c r="Z72" s="3">
        <f>Y72*G72</f>
        <v>850841.99949894287</v>
      </c>
      <c r="AA72" s="34">
        <v>43501</v>
      </c>
      <c r="AB72" s="3"/>
      <c r="AC72" s="35" t="s">
        <v>1951</v>
      </c>
    </row>
    <row r="73" spans="1:32" x14ac:dyDescent="0.25">
      <c r="A73" s="127"/>
      <c r="B73" s="27" t="s">
        <v>30</v>
      </c>
      <c r="C73" s="28" t="s">
        <v>40</v>
      </c>
      <c r="D73" s="28" t="s">
        <v>40</v>
      </c>
      <c r="E73" t="s">
        <v>37</v>
      </c>
      <c r="F73" s="29">
        <f>42323*0.4536</f>
        <v>19197.712800000001</v>
      </c>
      <c r="G73" s="30">
        <v>19130.54</v>
      </c>
      <c r="H73" s="30">
        <f>G73-F73</f>
        <v>-67.172800000000279</v>
      </c>
      <c r="I73" s="28" t="s">
        <v>1749</v>
      </c>
      <c r="J73" s="52" t="s">
        <v>196</v>
      </c>
      <c r="K73" s="31">
        <v>43488</v>
      </c>
      <c r="L73" s="31">
        <v>43489</v>
      </c>
      <c r="M73" s="28" t="s">
        <v>41</v>
      </c>
      <c r="N73" s="28" t="s">
        <v>1744</v>
      </c>
      <c r="O73" s="2"/>
      <c r="P73" s="32">
        <f>0.5322+0.105</f>
        <v>0.63719999999999999</v>
      </c>
      <c r="Q73" s="116">
        <v>26000</v>
      </c>
      <c r="R73" s="2">
        <v>101969</v>
      </c>
      <c r="S73" s="68">
        <v>19.007000000000001</v>
      </c>
      <c r="T73" s="141">
        <f>X73*F73*0.005</f>
        <v>3216.5514888916946</v>
      </c>
      <c r="V73" s="2">
        <v>0.12</v>
      </c>
      <c r="W73" s="2">
        <v>0.3</v>
      </c>
      <c r="X73" s="2">
        <f>IF(O73&gt;0,O73,((P73*2.2046*S73)+(Q73+R73)/G73)+V73)</f>
        <v>33.509736523318487</v>
      </c>
      <c r="Y73" s="2">
        <f>IF(O73&gt;0,O73,((P73*2.2046*S73)+(Q73+R73+T73)/G73)+V73+W73)</f>
        <v>33.977873517302541</v>
      </c>
      <c r="Z73" s="3">
        <f>Y73*F73</f>
        <v>652297.45733990008</v>
      </c>
      <c r="AA73" s="34">
        <v>43482</v>
      </c>
      <c r="AB73" s="3" t="s">
        <v>1963</v>
      </c>
      <c r="AC73" s="35"/>
    </row>
    <row r="74" spans="1:32" x14ac:dyDescent="0.25">
      <c r="A74" s="127"/>
      <c r="B74" s="27" t="s">
        <v>26</v>
      </c>
      <c r="C74" t="s">
        <v>27</v>
      </c>
      <c r="D74" s="28" t="s">
        <v>1636</v>
      </c>
      <c r="E74">
        <v>200</v>
      </c>
      <c r="F74" s="29">
        <v>19870</v>
      </c>
      <c r="G74" s="30">
        <v>21870</v>
      </c>
      <c r="H74" s="30">
        <f t="shared" ref="H74:H78" si="52">G74-F74</f>
        <v>2000</v>
      </c>
      <c r="I74" s="28" t="s">
        <v>1957</v>
      </c>
      <c r="J74">
        <v>250</v>
      </c>
      <c r="K74" s="31"/>
      <c r="L74" s="31">
        <v>43489</v>
      </c>
      <c r="M74" s="28" t="s">
        <v>41</v>
      </c>
      <c r="O74" s="2">
        <v>27</v>
      </c>
      <c r="P74" s="32"/>
      <c r="Q74" s="69">
        <v>21300</v>
      </c>
      <c r="R74" s="2">
        <f>72*E74</f>
        <v>14400</v>
      </c>
      <c r="S74" s="33">
        <f>-38*E74</f>
        <v>-7600</v>
      </c>
      <c r="T74" s="141">
        <f>X74*F74*0.0045</f>
        <v>2312.4019135802469</v>
      </c>
      <c r="U74" s="2">
        <f>E74*5</f>
        <v>1000</v>
      </c>
      <c r="W74" s="2">
        <v>0.3</v>
      </c>
      <c r="X74" s="2">
        <f t="shared" ref="X74" si="53">((O74*F74)+Q74+R74+S74+U74)/G74</f>
        <v>25.861454046639231</v>
      </c>
      <c r="Y74" s="2">
        <f>((O74*F74)+Q74+R74+S74+T74+U74)/G74+W74</f>
        <v>26.267188016167363</v>
      </c>
      <c r="Z74" s="3">
        <f>Y74*G74</f>
        <v>574463.40191358025</v>
      </c>
      <c r="AA74" s="34">
        <v>43502</v>
      </c>
      <c r="AB74" s="3"/>
      <c r="AC74" s="35"/>
    </row>
    <row r="75" spans="1:32" x14ac:dyDescent="0.25">
      <c r="A75" s="127"/>
      <c r="B75" s="27" t="s">
        <v>26</v>
      </c>
      <c r="C75" t="s">
        <v>27</v>
      </c>
      <c r="D75" s="28" t="s">
        <v>1871</v>
      </c>
      <c r="E75">
        <v>180</v>
      </c>
      <c r="F75" s="29">
        <v>20765</v>
      </c>
      <c r="G75" s="30">
        <v>9960</v>
      </c>
      <c r="H75" s="30">
        <f t="shared" si="52"/>
        <v>-10805</v>
      </c>
      <c r="I75" s="28" t="s">
        <v>1958</v>
      </c>
      <c r="J75">
        <v>130</v>
      </c>
      <c r="K75" s="119">
        <v>0.78300000000000003</v>
      </c>
      <c r="L75" s="31">
        <v>43489</v>
      </c>
      <c r="M75" s="28" t="s">
        <v>41</v>
      </c>
      <c r="O75" s="2">
        <v>27</v>
      </c>
      <c r="P75" s="32"/>
      <c r="Q75" s="116">
        <v>16900</v>
      </c>
      <c r="R75" s="2">
        <f>72*E75</f>
        <v>12960</v>
      </c>
      <c r="S75" s="33">
        <f>-38*E75</f>
        <v>-6840</v>
      </c>
      <c r="T75" s="141">
        <f>X75*F75*0.0045</f>
        <v>5484.3523531626506</v>
      </c>
      <c r="U75" s="2">
        <f>E75*5</f>
        <v>900</v>
      </c>
      <c r="W75" s="2">
        <v>0.3</v>
      </c>
      <c r="X75" s="2">
        <f>((O75*F75)+Q75+R75+S75+U75)/G75</f>
        <v>58.692269076305223</v>
      </c>
      <c r="Y75" s="2">
        <f>((O75*F75)+Q75+R75+S75+T75+U75)/G75+W75</f>
        <v>59.542906862767325</v>
      </c>
      <c r="Z75" s="3">
        <f>Y75*G75</f>
        <v>593047.3523531626</v>
      </c>
      <c r="AA75" s="34">
        <v>43502</v>
      </c>
      <c r="AB75" s="3">
        <v>36.6</v>
      </c>
      <c r="AC75" s="35" t="s">
        <v>1959</v>
      </c>
    </row>
    <row r="76" spans="1:32" x14ac:dyDescent="0.25">
      <c r="A76" s="127"/>
      <c r="B76" s="27" t="s">
        <v>1909</v>
      </c>
      <c r="C76" t="s">
        <v>2006</v>
      </c>
      <c r="D76" s="28" t="s">
        <v>1806</v>
      </c>
      <c r="E76" t="s">
        <v>2007</v>
      </c>
      <c r="F76" s="29">
        <f>874+866</f>
        <v>1740</v>
      </c>
      <c r="G76" s="30">
        <v>1740</v>
      </c>
      <c r="H76" s="30">
        <f t="shared" si="52"/>
        <v>0</v>
      </c>
      <c r="I76" s="28" t="s">
        <v>2008</v>
      </c>
      <c r="K76" s="119"/>
      <c r="L76" s="31">
        <v>43489</v>
      </c>
      <c r="M76" s="28" t="s">
        <v>41</v>
      </c>
      <c r="O76" s="2">
        <v>18.3</v>
      </c>
      <c r="P76" s="32"/>
      <c r="Q76" s="2"/>
      <c r="R76" s="2"/>
      <c r="S76" s="33"/>
      <c r="T76" s="33"/>
      <c r="U76" s="2"/>
      <c r="W76" s="2"/>
      <c r="X76" s="2">
        <f t="shared" ref="X76:X77" si="54">IF(O76&gt;0,O76,((P76*2.2046*S76)+(Q76+R76)/G76)+V76)</f>
        <v>18.3</v>
      </c>
      <c r="Y76" s="2">
        <f t="shared" ref="Y76:Y77" si="55">IF(O76&gt;0,O76,((P76*2.2046*S76)+(Q76+R76+T76)/G76)+V76+W76)</f>
        <v>18.3</v>
      </c>
      <c r="Z76" s="3">
        <f t="shared" ref="Z76:Z77" si="56">Y76*F76</f>
        <v>31842</v>
      </c>
      <c r="AA76" s="34">
        <v>43496</v>
      </c>
      <c r="AB76" s="3"/>
      <c r="AC76" s="35"/>
    </row>
    <row r="77" spans="1:32" x14ac:dyDescent="0.25">
      <c r="A77" s="127"/>
      <c r="B77" s="27" t="s">
        <v>1909</v>
      </c>
      <c r="C77" t="s">
        <v>40</v>
      </c>
      <c r="D77" s="28" t="s">
        <v>1806</v>
      </c>
      <c r="E77" t="s">
        <v>2007</v>
      </c>
      <c r="F77" s="29">
        <f>934.8+924.4</f>
        <v>1859.1999999999998</v>
      </c>
      <c r="G77" s="30">
        <v>1859.2</v>
      </c>
      <c r="H77" s="30">
        <f t="shared" si="52"/>
        <v>0</v>
      </c>
      <c r="I77" s="28" t="s">
        <v>2009</v>
      </c>
      <c r="K77" s="119"/>
      <c r="L77" s="31">
        <v>43490</v>
      </c>
      <c r="M77" s="28" t="s">
        <v>45</v>
      </c>
      <c r="O77" s="2">
        <v>18.3</v>
      </c>
      <c r="P77" s="32"/>
      <c r="Q77" s="2"/>
      <c r="R77" s="2"/>
      <c r="S77" s="33"/>
      <c r="T77" s="33"/>
      <c r="U77" s="2"/>
      <c r="W77" s="2"/>
      <c r="X77" s="2">
        <f t="shared" si="54"/>
        <v>18.3</v>
      </c>
      <c r="Y77" s="2">
        <f t="shared" si="55"/>
        <v>18.3</v>
      </c>
      <c r="Z77" s="3">
        <f t="shared" si="56"/>
        <v>34023.360000000001</v>
      </c>
      <c r="AA77" s="34">
        <v>43497</v>
      </c>
      <c r="AB77" s="3"/>
      <c r="AC77" s="35"/>
    </row>
    <row r="78" spans="1:32" x14ac:dyDescent="0.25">
      <c r="A78" s="127"/>
      <c r="B78" s="27" t="s">
        <v>30</v>
      </c>
      <c r="C78" s="28" t="s">
        <v>35</v>
      </c>
      <c r="D78" s="28" t="s">
        <v>36</v>
      </c>
      <c r="E78" t="s">
        <v>37</v>
      </c>
      <c r="F78" s="29">
        <f>41594*0.4536</f>
        <v>18867.038400000001</v>
      </c>
      <c r="G78" s="30">
        <v>18753.87</v>
      </c>
      <c r="H78" s="30">
        <f t="shared" si="52"/>
        <v>-113.16840000000229</v>
      </c>
      <c r="I78" s="28" t="s">
        <v>1750</v>
      </c>
      <c r="J78" s="52" t="s">
        <v>196</v>
      </c>
      <c r="K78" s="31">
        <v>43489</v>
      </c>
      <c r="L78" s="31">
        <v>43490</v>
      </c>
      <c r="M78" s="28" t="s">
        <v>45</v>
      </c>
      <c r="N78" s="28" t="s">
        <v>1946</v>
      </c>
      <c r="O78" s="2"/>
      <c r="P78" s="32">
        <v>0.61060000000000003</v>
      </c>
      <c r="Q78" s="116">
        <v>26000</v>
      </c>
      <c r="R78" s="2">
        <v>98172</v>
      </c>
      <c r="S78" s="68">
        <v>19.03</v>
      </c>
      <c r="T78" s="141">
        <f>X78*F78*0.005</f>
        <v>3052.4953472217871</v>
      </c>
      <c r="V78" s="2">
        <v>0.12</v>
      </c>
      <c r="W78" s="2">
        <v>0.3</v>
      </c>
      <c r="X78" s="2">
        <f>IF(O78&gt;0,O78,((P78*2.2046*S78)+(Q78+R78)/G78)+V78)</f>
        <v>32.357970366157595</v>
      </c>
      <c r="Y78" s="2">
        <f>IF(O78&gt;0,O78,((P78*2.2046*S78)+(Q78+R78+T78)/G78)+V78+W78)</f>
        <v>32.820736523074629</v>
      </c>
      <c r="Z78" s="3">
        <f>Y78*F78</f>
        <v>619230.0962971315</v>
      </c>
      <c r="AA78" s="34">
        <v>43490</v>
      </c>
      <c r="AB78" s="137">
        <v>0.63229999999999997</v>
      </c>
      <c r="AC78" s="35"/>
    </row>
    <row r="79" spans="1:32" x14ac:dyDescent="0.25">
      <c r="A79" s="127"/>
      <c r="B79" s="27" t="s">
        <v>26</v>
      </c>
      <c r="C79" t="s">
        <v>27</v>
      </c>
      <c r="D79" s="28" t="s">
        <v>44</v>
      </c>
      <c r="E79">
        <v>240</v>
      </c>
      <c r="F79" s="29">
        <v>18943</v>
      </c>
      <c r="G79" s="30">
        <v>19020</v>
      </c>
      <c r="H79" s="30">
        <f t="shared" ref="H79:H84" si="57">G79-F79</f>
        <v>77</v>
      </c>
      <c r="I79" t="s">
        <v>1994</v>
      </c>
      <c r="K79" s="31"/>
      <c r="L79" s="31">
        <v>43490</v>
      </c>
      <c r="O79" s="2">
        <v>33.799999999999997</v>
      </c>
      <c r="P79" s="32"/>
      <c r="Q79" s="69">
        <v>21300</v>
      </c>
      <c r="R79" s="2"/>
      <c r="S79" s="33"/>
      <c r="T79" s="141">
        <f>X79*F79*0.0045</f>
        <v>2970.4061158201885</v>
      </c>
      <c r="U79" s="2">
        <f>E79*5</f>
        <v>1200</v>
      </c>
      <c r="W79" s="2">
        <v>0.3</v>
      </c>
      <c r="X79" s="2">
        <f>((O79*F79)+Q79+R79+S79+U79)/G79</f>
        <v>34.846130389064136</v>
      </c>
      <c r="Y79" s="2">
        <f>((O79*F79)+Q79+R79+S79+T79+U79)/G79+W79</f>
        <v>35.302303160663513</v>
      </c>
      <c r="Z79" s="3">
        <f>Y79*G79</f>
        <v>671449.80611582007</v>
      </c>
      <c r="AA79" s="34">
        <v>43494</v>
      </c>
      <c r="AB79" s="3"/>
      <c r="AC79" s="35"/>
    </row>
    <row r="80" spans="1:32" x14ac:dyDescent="0.25">
      <c r="A80" s="127"/>
      <c r="B80" s="27" t="s">
        <v>26</v>
      </c>
      <c r="C80" t="s">
        <v>27</v>
      </c>
      <c r="D80" s="28" t="s">
        <v>1829</v>
      </c>
      <c r="E80">
        <v>130</v>
      </c>
      <c r="F80" s="29">
        <v>14030</v>
      </c>
      <c r="G80" s="30">
        <v>11050</v>
      </c>
      <c r="H80" s="30">
        <f t="shared" si="57"/>
        <v>-2980</v>
      </c>
      <c r="I80" s="28" t="s">
        <v>1961</v>
      </c>
      <c r="K80" s="119">
        <v>0.78759999999999997</v>
      </c>
      <c r="L80" s="31">
        <v>43490</v>
      </c>
      <c r="M80" s="28" t="s">
        <v>45</v>
      </c>
      <c r="O80" s="2">
        <v>27</v>
      </c>
      <c r="P80" s="32"/>
      <c r="Q80" s="116">
        <v>16900</v>
      </c>
      <c r="R80" s="2">
        <f>72*E80</f>
        <v>9360</v>
      </c>
      <c r="S80" s="33">
        <f>-38*E80</f>
        <v>-4940</v>
      </c>
      <c r="T80" s="141">
        <f>X80*F80*0.0045</f>
        <v>2289.8864524886876</v>
      </c>
      <c r="U80" s="2">
        <f>E80*5</f>
        <v>650</v>
      </c>
      <c r="W80" s="2">
        <v>0.3</v>
      </c>
      <c r="X80" s="2">
        <f>((O80*F80)+Q80+R80+S80+U80)/G80</f>
        <v>36.269683257918551</v>
      </c>
      <c r="Y80" s="2">
        <f>((O80*F80)+Q80+R80+S80+T80+U80)/G80+W80</f>
        <v>36.776912801130194</v>
      </c>
      <c r="Z80" s="3">
        <f>Y80*G80</f>
        <v>406384.88645248866</v>
      </c>
      <c r="AA80" s="34">
        <v>43503</v>
      </c>
      <c r="AB80" s="3"/>
      <c r="AC80" s="35" t="s">
        <v>1962</v>
      </c>
    </row>
    <row r="81" spans="1:32" x14ac:dyDescent="0.25">
      <c r="A81" s="127"/>
      <c r="B81" s="27" t="s">
        <v>1732</v>
      </c>
      <c r="C81" s="28" t="s">
        <v>1733</v>
      </c>
      <c r="D81" s="28" t="s">
        <v>1734</v>
      </c>
      <c r="E81" t="s">
        <v>1960</v>
      </c>
      <c r="F81" s="29">
        <v>2286.48</v>
      </c>
      <c r="G81" s="30">
        <v>2286.48</v>
      </c>
      <c r="H81" s="30">
        <f t="shared" si="57"/>
        <v>0</v>
      </c>
      <c r="I81" s="28" t="s">
        <v>2106</v>
      </c>
      <c r="L81" s="31">
        <v>43490</v>
      </c>
      <c r="M81" s="28" t="s">
        <v>45</v>
      </c>
      <c r="O81" s="2">
        <v>61.8</v>
      </c>
      <c r="P81" s="32"/>
      <c r="Q81" s="2"/>
      <c r="R81" s="2"/>
      <c r="S81" s="33"/>
      <c r="T81" s="33"/>
      <c r="U81" s="2"/>
      <c r="W81" s="2"/>
      <c r="X81" s="2">
        <f>IF(O81&gt;0,O81,((P81*2.2046*S81)+(Q81+R81)/G81)+V81)</f>
        <v>61.8</v>
      </c>
      <c r="Y81" s="2">
        <f>IF(O81&gt;0,O81,((P81*2.2046*S81)+(Q81+R81+T81)/G81)+V81+W81)</f>
        <v>61.8</v>
      </c>
      <c r="Z81" s="3">
        <f>Y81*F81</f>
        <v>141304.46400000001</v>
      </c>
      <c r="AA81" s="34">
        <v>43497</v>
      </c>
      <c r="AB81" s="3"/>
      <c r="AC81" s="35"/>
    </row>
    <row r="82" spans="1:32" x14ac:dyDescent="0.25">
      <c r="A82" s="127"/>
      <c r="B82" s="27" t="s">
        <v>1909</v>
      </c>
      <c r="C82" s="28" t="s">
        <v>40</v>
      </c>
      <c r="D82" s="28" t="s">
        <v>1806</v>
      </c>
      <c r="E82" t="s">
        <v>2007</v>
      </c>
      <c r="F82" s="29">
        <f>930.8+936.2</f>
        <v>1867</v>
      </c>
      <c r="G82" s="30">
        <v>1867</v>
      </c>
      <c r="H82" s="30">
        <f t="shared" si="57"/>
        <v>0</v>
      </c>
      <c r="I82" s="28" t="s">
        <v>2014</v>
      </c>
      <c r="L82" s="31">
        <v>43491</v>
      </c>
      <c r="M82" s="28" t="s">
        <v>46</v>
      </c>
      <c r="O82" s="2">
        <v>18.3</v>
      </c>
      <c r="P82" s="32"/>
      <c r="Q82" s="2"/>
      <c r="R82" s="2"/>
      <c r="S82" s="33"/>
      <c r="T82" s="33"/>
      <c r="U82" s="2"/>
      <c r="W82" s="2"/>
      <c r="X82" s="2">
        <f>IF(O82&gt;0,O82,((P82*2.2046*S82)+(Q82+R82)/G82)+V82)</f>
        <v>18.3</v>
      </c>
      <c r="Y82" s="2">
        <f>IF(O82&gt;0,O82,((P82*2.2046*S82)+(Q82+R82+T82)/G82)+V82+W82)</f>
        <v>18.3</v>
      </c>
      <c r="Z82" s="3">
        <f>Y82*F82</f>
        <v>34166.1</v>
      </c>
      <c r="AA82" s="34">
        <v>43497</v>
      </c>
      <c r="AB82" s="3"/>
      <c r="AC82" s="35"/>
    </row>
    <row r="83" spans="1:32" x14ac:dyDescent="0.25">
      <c r="A83" s="127"/>
      <c r="B83" s="27" t="s">
        <v>30</v>
      </c>
      <c r="C83" s="28" t="s">
        <v>1790</v>
      </c>
      <c r="D83" s="28" t="s">
        <v>1790</v>
      </c>
      <c r="E83" t="s">
        <v>32</v>
      </c>
      <c r="F83" s="29">
        <f>40552*0.4536</f>
        <v>18394.387200000001</v>
      </c>
      <c r="G83" s="30">
        <v>18277.419999999998</v>
      </c>
      <c r="H83" s="30">
        <f>G83-F83</f>
        <v>-116.96720000000278</v>
      </c>
      <c r="I83" t="s">
        <v>1751</v>
      </c>
      <c r="J83" s="52" t="s">
        <v>196</v>
      </c>
      <c r="K83" s="31">
        <v>43490</v>
      </c>
      <c r="L83" s="31">
        <v>43491</v>
      </c>
      <c r="M83" s="28" t="s">
        <v>46</v>
      </c>
      <c r="N83" s="28" t="s">
        <v>1745</v>
      </c>
      <c r="O83" s="2"/>
      <c r="P83" s="32">
        <v>0.60560000000000003</v>
      </c>
      <c r="Q83" s="140">
        <v>26000</v>
      </c>
      <c r="R83" s="2">
        <v>94052</v>
      </c>
      <c r="S83" s="68">
        <v>18.954999999999998</v>
      </c>
      <c r="T83" s="141">
        <f>X83*F83*0.005</f>
        <v>2942.6653410877293</v>
      </c>
      <c r="V83" s="2">
        <v>0.12</v>
      </c>
      <c r="W83" s="2">
        <v>0.3</v>
      </c>
      <c r="X83" s="2">
        <f>IF(O83&gt;0,O83,((P83*2.2046*S83)+(Q83+R83)/G83)+V83)</f>
        <v>31.995252781106281</v>
      </c>
      <c r="Y83" s="2">
        <f>IF(O83&gt;0,O83,((P83*2.2046*S83)+(Q83+R83+T83)/G83)+V83+W83)</f>
        <v>32.456252820558653</v>
      </c>
      <c r="Z83" s="3">
        <f>Y83*F83</f>
        <v>597012.88144244801</v>
      </c>
      <c r="AA83" s="34">
        <v>43493</v>
      </c>
      <c r="AB83" s="137">
        <v>0.62729999999999997</v>
      </c>
      <c r="AC83" s="35"/>
    </row>
    <row r="84" spans="1:32" x14ac:dyDescent="0.25">
      <c r="A84" s="127"/>
      <c r="B84" s="27" t="s">
        <v>30</v>
      </c>
      <c r="C84" t="s">
        <v>40</v>
      </c>
      <c r="D84" s="28" t="s">
        <v>40</v>
      </c>
      <c r="E84" t="s">
        <v>37</v>
      </c>
      <c r="F84" s="29">
        <f>42422*0.4536</f>
        <v>19242.619200000001</v>
      </c>
      <c r="G84" s="30">
        <v>19182.18</v>
      </c>
      <c r="H84" s="30">
        <f t="shared" si="57"/>
        <v>-60.43920000000071</v>
      </c>
      <c r="I84" s="28" t="s">
        <v>1752</v>
      </c>
      <c r="J84" s="52" t="s">
        <v>196</v>
      </c>
      <c r="K84" s="31">
        <v>43490</v>
      </c>
      <c r="L84" s="31">
        <v>43491</v>
      </c>
      <c r="M84" s="28" t="s">
        <v>46</v>
      </c>
      <c r="N84" s="28" t="s">
        <v>1746</v>
      </c>
      <c r="O84" s="2"/>
      <c r="P84" s="32">
        <f>0.5044+0.105</f>
        <v>0.60939999999999994</v>
      </c>
      <c r="Q84" s="140">
        <v>26000</v>
      </c>
      <c r="R84" s="2">
        <v>102918</v>
      </c>
      <c r="S84" s="68">
        <v>18.978000000000002</v>
      </c>
      <c r="T84" s="141">
        <f>X84*F84*0.005</f>
        <v>3111.2757672066864</v>
      </c>
      <c r="V84" s="2">
        <v>0.12</v>
      </c>
      <c r="W84" s="2">
        <v>0.3</v>
      </c>
      <c r="X84" s="2">
        <f>IF(O84&gt;0,O84,((P84*2.2046*S84)+(Q84+R84)/G84)+V84)</f>
        <v>32.33734176069634</v>
      </c>
      <c r="Y84" s="2">
        <f>IF(O84&gt;0,O84,((P84*2.2046*S84)+(Q84+R84+T84)/G84)+V84+W84)</f>
        <v>32.799537911874502</v>
      </c>
      <c r="Z84" s="3">
        <f>Y84*F84</f>
        <v>631149.01797416422</v>
      </c>
      <c r="AA84" s="34">
        <v>43487</v>
      </c>
      <c r="AB84" s="3" t="s">
        <v>1964</v>
      </c>
      <c r="AC84" s="35"/>
    </row>
    <row r="85" spans="1:32" ht="15.75" thickBot="1" x14ac:dyDescent="0.3">
      <c r="A85" s="128"/>
      <c r="B85" s="41"/>
      <c r="C85" s="4"/>
      <c r="D85" s="4"/>
      <c r="E85" s="4"/>
      <c r="F85" s="42"/>
      <c r="G85" s="42"/>
      <c r="H85" s="42"/>
      <c r="I85" s="7"/>
      <c r="J85" s="4"/>
      <c r="K85" s="8"/>
      <c r="L85" s="8"/>
      <c r="M85" s="4"/>
      <c r="N85" s="4"/>
      <c r="O85" s="9"/>
      <c r="P85" s="10"/>
      <c r="Q85" s="9"/>
      <c r="R85" s="9"/>
      <c r="S85" s="9"/>
      <c r="T85" s="9"/>
      <c r="U85" s="9"/>
      <c r="V85" s="9"/>
      <c r="W85" s="9"/>
      <c r="X85" s="9"/>
      <c r="Y85" s="9"/>
      <c r="Z85" s="13"/>
      <c r="AA85" s="43"/>
      <c r="AB85" s="3" t="s">
        <v>1965</v>
      </c>
      <c r="AC85" s="35"/>
    </row>
    <row r="86" spans="1:32" ht="15.75" thickTop="1" x14ac:dyDescent="0.25">
      <c r="A86" s="129"/>
      <c r="B86" s="14" t="s">
        <v>26</v>
      </c>
      <c r="C86" s="14" t="s">
        <v>27</v>
      </c>
      <c r="D86" s="15" t="s">
        <v>1682</v>
      </c>
      <c r="E86" s="14">
        <v>200</v>
      </c>
      <c r="F86" s="16">
        <v>24680</v>
      </c>
      <c r="G86" s="17">
        <v>17760</v>
      </c>
      <c r="H86" s="18">
        <f t="shared" ref="H86:H90" si="58">G86-F86</f>
        <v>-6920</v>
      </c>
      <c r="I86" s="19" t="s">
        <v>1990</v>
      </c>
      <c r="J86" s="14"/>
      <c r="K86" s="20"/>
      <c r="L86" s="20">
        <v>43492</v>
      </c>
      <c r="M86" s="15" t="s">
        <v>28</v>
      </c>
      <c r="N86" s="14"/>
      <c r="O86" s="21">
        <v>26.5</v>
      </c>
      <c r="P86" s="22"/>
      <c r="Q86" s="139">
        <v>21300</v>
      </c>
      <c r="R86" s="2">
        <f>72*E86</f>
        <v>14400</v>
      </c>
      <c r="S86" s="21">
        <f>-38*E86</f>
        <v>-7600</v>
      </c>
      <c r="T86" s="157">
        <f>X86*F86*0.0045</f>
        <v>4271.8078378378377</v>
      </c>
      <c r="U86" s="21">
        <f>E86*5</f>
        <v>1000</v>
      </c>
      <c r="V86" s="14"/>
      <c r="W86" s="21">
        <v>0.3</v>
      </c>
      <c r="X86" s="21">
        <f>((O86*F86)+Q86+R86+S86+U86)/G86</f>
        <v>38.463963963963963</v>
      </c>
      <c r="Y86" s="24">
        <f>((O86*F86)+Q86+R86+S86+T86+U86)/G86+W86</f>
        <v>39.004493684562938</v>
      </c>
      <c r="Z86" s="24">
        <f>Y86*G86</f>
        <v>692719.80783783772</v>
      </c>
      <c r="AA86" s="25">
        <v>43507</v>
      </c>
      <c r="AB86" s="3"/>
      <c r="AC86" s="3"/>
    </row>
    <row r="87" spans="1:32" x14ac:dyDescent="0.25">
      <c r="A87" s="130"/>
      <c r="B87" s="27" t="s">
        <v>26</v>
      </c>
      <c r="C87" t="s">
        <v>27</v>
      </c>
      <c r="D87" s="28" t="s">
        <v>1720</v>
      </c>
      <c r="E87">
        <v>130</v>
      </c>
      <c r="F87" s="29">
        <v>13835</v>
      </c>
      <c r="G87" s="30">
        <v>12760</v>
      </c>
      <c r="H87" s="30">
        <f t="shared" si="58"/>
        <v>-1075</v>
      </c>
      <c r="I87" s="28" t="s">
        <v>1991</v>
      </c>
      <c r="K87" s="31"/>
      <c r="L87" s="31">
        <v>43492</v>
      </c>
      <c r="M87" s="28" t="s">
        <v>28</v>
      </c>
      <c r="O87" s="2">
        <v>26.5</v>
      </c>
      <c r="P87" s="32"/>
      <c r="Q87" s="140">
        <v>16900</v>
      </c>
      <c r="R87" s="2">
        <f>72*E87</f>
        <v>9360</v>
      </c>
      <c r="S87" s="33">
        <f>-38*E87</f>
        <v>-4940</v>
      </c>
      <c r="T87" s="141">
        <f>X87*F87*0.0045</f>
        <v>1896.0116658503132</v>
      </c>
      <c r="U87" s="2">
        <f>E87*5</f>
        <v>650</v>
      </c>
      <c r="W87" s="2">
        <v>0.3</v>
      </c>
      <c r="X87" s="2">
        <f>((O87*F87)+Q87+R87+S87+U87)/G87</f>
        <v>30.454349529780565</v>
      </c>
      <c r="Y87" s="2">
        <f>((O87*F87)+Q87+R87+S87+T87+U87)/G87+W87</f>
        <v>30.902939785724946</v>
      </c>
      <c r="Z87" s="3">
        <f>Y87*G87</f>
        <v>394321.5116658503</v>
      </c>
      <c r="AA87" s="34">
        <v>43507</v>
      </c>
      <c r="AB87" s="3">
        <v>35.76</v>
      </c>
      <c r="AC87" s="35" t="s">
        <v>1992</v>
      </c>
    </row>
    <row r="88" spans="1:32" x14ac:dyDescent="0.25">
      <c r="A88" s="130"/>
      <c r="B88" s="27" t="s">
        <v>1732</v>
      </c>
      <c r="C88" s="28" t="s">
        <v>1733</v>
      </c>
      <c r="D88" s="28" t="s">
        <v>1806</v>
      </c>
      <c r="E88" t="s">
        <v>2015</v>
      </c>
      <c r="F88" s="29">
        <v>3023.4</v>
      </c>
      <c r="G88" s="30">
        <v>3023.64</v>
      </c>
      <c r="H88" s="30">
        <f t="shared" si="58"/>
        <v>0.23999999999978172</v>
      </c>
      <c r="I88" s="28" t="s">
        <v>2016</v>
      </c>
      <c r="K88" s="31"/>
      <c r="L88" s="31">
        <v>43493</v>
      </c>
      <c r="M88" s="28" t="s">
        <v>29</v>
      </c>
      <c r="O88" s="2">
        <v>64</v>
      </c>
      <c r="P88" s="32"/>
      <c r="Q88" s="2"/>
      <c r="R88" s="2"/>
      <c r="S88" s="33"/>
      <c r="T88" s="33"/>
      <c r="U88" s="2"/>
      <c r="W88" s="2"/>
      <c r="X88" s="2">
        <f>IF(O88&gt;0,O88,((P88*2.2046*S88)+(Q88+R88)/G88)+V88)</f>
        <v>64</v>
      </c>
      <c r="Y88" s="2">
        <f>IF(O88&gt;0,O88,((P88*2.2046*S88)+(Q88+R88+T88)/G88)+V88+W88)</f>
        <v>64</v>
      </c>
      <c r="Z88" s="3">
        <f>Y88*F88</f>
        <v>193497.60000000001</v>
      </c>
      <c r="AA88" s="34">
        <v>43500</v>
      </c>
      <c r="AB88" s="3"/>
      <c r="AC88" s="35"/>
    </row>
    <row r="89" spans="1:32" x14ac:dyDescent="0.25">
      <c r="A89" s="130"/>
      <c r="B89" s="27" t="s">
        <v>26</v>
      </c>
      <c r="C89" t="s">
        <v>27</v>
      </c>
      <c r="D89" s="28" t="s">
        <v>2000</v>
      </c>
      <c r="E89">
        <f>200+50</f>
        <v>250</v>
      </c>
      <c r="F89" s="29">
        <f>25100+5090</f>
        <v>30190</v>
      </c>
      <c r="G89" s="30">
        <f>18120+5940</f>
        <v>24060</v>
      </c>
      <c r="H89" s="30">
        <f t="shared" si="58"/>
        <v>-6130</v>
      </c>
      <c r="I89" s="28" t="s">
        <v>2001</v>
      </c>
      <c r="K89" s="31"/>
      <c r="L89" s="31">
        <v>43493</v>
      </c>
      <c r="M89" s="28" t="s">
        <v>29</v>
      </c>
      <c r="O89" s="2">
        <v>26.5</v>
      </c>
      <c r="P89" s="32"/>
      <c r="Q89" s="138">
        <v>21300</v>
      </c>
      <c r="R89" s="2">
        <f>72*E89</f>
        <v>18000</v>
      </c>
      <c r="S89" s="33">
        <f>-38*E89</f>
        <v>-9500</v>
      </c>
      <c r="T89" s="141">
        <f>X89*F89*0.0045</f>
        <v>4692.728706359102</v>
      </c>
      <c r="U89" s="2">
        <f>E89*5</f>
        <v>1250</v>
      </c>
      <c r="W89" s="2">
        <v>0.3</v>
      </c>
      <c r="X89" s="2">
        <f>((O89*F89)+Q89+R89+S89+U89)/G89</f>
        <v>34.542186201163759</v>
      </c>
      <c r="Y89" s="2">
        <f>((O89*F89)+Q89+R89+S89+T89+U89)/G89+W89</f>
        <v>35.037228957039027</v>
      </c>
      <c r="Z89" s="3">
        <f>Y89*G89</f>
        <v>842995.72870635893</v>
      </c>
      <c r="AA89" s="34">
        <v>43507</v>
      </c>
      <c r="AB89" s="3"/>
      <c r="AC89" s="35" t="s">
        <v>2037</v>
      </c>
    </row>
    <row r="90" spans="1:32" x14ac:dyDescent="0.25">
      <c r="A90" s="130"/>
      <c r="B90" s="27" t="s">
        <v>30</v>
      </c>
      <c r="C90" s="28" t="s">
        <v>1790</v>
      </c>
      <c r="D90" s="28" t="s">
        <v>1790</v>
      </c>
      <c r="E90" t="s">
        <v>32</v>
      </c>
      <c r="F90" s="29">
        <f>39632*0.4536</f>
        <v>17977.075199999999</v>
      </c>
      <c r="G90" s="30">
        <v>17925.68</v>
      </c>
      <c r="H90" s="30">
        <f t="shared" si="58"/>
        <v>-51.395199999999022</v>
      </c>
      <c r="I90" s="28" t="s">
        <v>1755</v>
      </c>
      <c r="J90" s="52" t="s">
        <v>196</v>
      </c>
      <c r="K90" s="31">
        <v>43493</v>
      </c>
      <c r="L90" s="31">
        <v>43494</v>
      </c>
      <c r="M90" s="28" t="s">
        <v>48</v>
      </c>
      <c r="N90" s="28" t="s">
        <v>1753</v>
      </c>
      <c r="O90" s="2"/>
      <c r="P90" s="32">
        <f>0.4664+0.095</f>
        <v>0.56140000000000001</v>
      </c>
      <c r="Q90" s="140">
        <v>26000</v>
      </c>
      <c r="R90" s="2">
        <v>86091</v>
      </c>
      <c r="S90" s="68">
        <v>19.082999999999998</v>
      </c>
      <c r="T90" s="141">
        <f t="shared" ref="T90" si="59">X90*F90*0.005</f>
        <v>2695.789026140576</v>
      </c>
      <c r="V90" s="2">
        <v>0.12</v>
      </c>
      <c r="W90" s="2">
        <v>0.3</v>
      </c>
      <c r="X90" s="2">
        <f>IF(O90&gt;0,O90,((P90*2.2046*S90)+(Q90+R90)/G90)+V90)</f>
        <v>29.991408459375819</v>
      </c>
      <c r="Y90" s="2">
        <f>IF(O90&gt;0,O90,((P90*2.2046*S90)+(Q90+R90+T90)/G90)+V90+W90)</f>
        <v>30.441795447548127</v>
      </c>
      <c r="Z90" s="3">
        <f>Y90*F90</f>
        <v>547254.44598359033</v>
      </c>
      <c r="AA90" s="34">
        <v>43494</v>
      </c>
      <c r="AB90" s="3"/>
      <c r="AC90" s="35"/>
    </row>
    <row r="91" spans="1:32" x14ac:dyDescent="0.25">
      <c r="A91" s="130"/>
      <c r="B91" s="27" t="s">
        <v>30</v>
      </c>
      <c r="C91" s="28" t="s">
        <v>35</v>
      </c>
      <c r="D91" s="28" t="s">
        <v>36</v>
      </c>
      <c r="E91" t="s">
        <v>37</v>
      </c>
      <c r="F91" s="29">
        <f>41281*0.4536</f>
        <v>18725.061600000001</v>
      </c>
      <c r="G91" s="30">
        <v>18760.87</v>
      </c>
      <c r="H91" s="30">
        <f>G91-F91</f>
        <v>35.808399999998073</v>
      </c>
      <c r="I91" t="s">
        <v>1756</v>
      </c>
      <c r="J91" s="52" t="s">
        <v>196</v>
      </c>
      <c r="K91" s="31">
        <v>43493</v>
      </c>
      <c r="L91" s="31">
        <v>43494</v>
      </c>
      <c r="M91" s="28" t="s">
        <v>48</v>
      </c>
      <c r="N91" s="28" t="s">
        <v>1754</v>
      </c>
      <c r="O91" s="2"/>
      <c r="P91" s="32">
        <f>0.4664+0.1</f>
        <v>0.56640000000000001</v>
      </c>
      <c r="Q91" s="140">
        <v>26000</v>
      </c>
      <c r="R91" s="2">
        <v>93432</v>
      </c>
      <c r="S91" s="68">
        <v>19.085000000000001</v>
      </c>
      <c r="T91" s="141">
        <f>X91*F91*0.005</f>
        <v>2838.4550996048893</v>
      </c>
      <c r="V91" s="2">
        <v>0.12</v>
      </c>
      <c r="W91" s="2">
        <v>0.3</v>
      </c>
      <c r="X91" s="2">
        <f>IF(O91&gt;0,O91,((P91*2.2046*S91)+(Q91+R91)/G91)+V91)</f>
        <v>30.317177697347489</v>
      </c>
      <c r="Y91" s="2">
        <f>IF(O91&gt;0,O91,((P91*2.2046*S91)+(Q91+R91+T91)/G91)+V91+W91)</f>
        <v>30.768474257667179</v>
      </c>
      <c r="Z91" s="3">
        <f>Y91*F91</f>
        <v>576141.57581283222</v>
      </c>
      <c r="AA91" s="34">
        <v>43494</v>
      </c>
      <c r="AB91" s="3"/>
      <c r="AC91" s="35"/>
    </row>
    <row r="92" spans="1:32" x14ac:dyDescent="0.25">
      <c r="A92" s="130"/>
      <c r="B92" s="27" t="s">
        <v>26</v>
      </c>
      <c r="C92" t="s">
        <v>27</v>
      </c>
      <c r="D92" s="28" t="s">
        <v>1998</v>
      </c>
      <c r="E92">
        <f>199+50</f>
        <v>249</v>
      </c>
      <c r="F92" s="29">
        <f>23200+5455</f>
        <v>28655</v>
      </c>
      <c r="G92" s="30">
        <f>16700+6130</f>
        <v>22830</v>
      </c>
      <c r="H92" s="30">
        <f t="shared" ref="H92" si="60">G92-F92</f>
        <v>-5825</v>
      </c>
      <c r="I92" s="28" t="s">
        <v>1999</v>
      </c>
      <c r="K92" s="31"/>
      <c r="L92" s="31">
        <v>43494</v>
      </c>
      <c r="M92" s="28" t="s">
        <v>48</v>
      </c>
      <c r="O92" s="2">
        <v>26.5</v>
      </c>
      <c r="P92" s="32"/>
      <c r="Q92" s="138">
        <v>21300</v>
      </c>
      <c r="R92" s="2">
        <f>72*E92</f>
        <v>17928</v>
      </c>
      <c r="S92" s="33">
        <f>-38*E92</f>
        <v>-9462</v>
      </c>
      <c r="T92" s="141">
        <f>X92*F92*0.005</f>
        <v>4960.142218024529</v>
      </c>
      <c r="U92" s="2">
        <f>E92*5</f>
        <v>1245</v>
      </c>
      <c r="W92" s="2">
        <v>0.3</v>
      </c>
      <c r="X92" s="2">
        <f>((O92*F92)+Q92+R92+S92+U92)/G92</f>
        <v>34.619732807709156</v>
      </c>
      <c r="Y92" s="2">
        <f>((O92*F92)+Q92+R92+S92+T92+U92)/G92+W92</f>
        <v>35.136997031012903</v>
      </c>
      <c r="Z92" s="3">
        <f>Y92*G92</f>
        <v>802177.64221802459</v>
      </c>
      <c r="AA92" s="34">
        <v>43508</v>
      </c>
      <c r="AB92" s="3"/>
      <c r="AC92" s="35" t="s">
        <v>2053</v>
      </c>
      <c r="AF92" s="30"/>
    </row>
    <row r="93" spans="1:32" x14ac:dyDescent="0.25">
      <c r="A93" s="130"/>
      <c r="B93" s="27" t="s">
        <v>30</v>
      </c>
      <c r="C93" s="28" t="s">
        <v>31</v>
      </c>
      <c r="D93" s="28" t="s">
        <v>31</v>
      </c>
      <c r="E93" t="s">
        <v>32</v>
      </c>
      <c r="F93" s="29">
        <f>40969*0.4536</f>
        <v>18583.538400000001</v>
      </c>
      <c r="G93" s="30">
        <v>18569.599999999999</v>
      </c>
      <c r="H93" s="30">
        <f t="shared" ref="H93:H95" si="61">G93-F93</f>
        <v>-13.93840000000273</v>
      </c>
      <c r="I93" s="28" t="s">
        <v>1655</v>
      </c>
      <c r="J93" s="52" t="s">
        <v>1690</v>
      </c>
      <c r="K93" s="31">
        <v>43494</v>
      </c>
      <c r="L93" s="31">
        <v>43495</v>
      </c>
      <c r="M93" s="28" t="s">
        <v>33</v>
      </c>
      <c r="N93" s="28" t="s">
        <v>1753</v>
      </c>
      <c r="O93" s="2"/>
      <c r="P93" s="32">
        <f>0.4664+0.095</f>
        <v>0.56140000000000001</v>
      </c>
      <c r="Q93" s="140">
        <v>26000</v>
      </c>
      <c r="R93" s="2">
        <v>88352</v>
      </c>
      <c r="S93" s="68">
        <v>19.190000000000001</v>
      </c>
      <c r="T93" s="141">
        <f t="shared" ref="T93" si="62">X93*F93*0.005</f>
        <v>2790.2034385930765</v>
      </c>
      <c r="V93" s="2">
        <v>0.12</v>
      </c>
      <c r="W93" s="2">
        <v>0.3</v>
      </c>
      <c r="X93" s="2">
        <f>IF(O93&gt;0,O93,((P93*2.2046*S93)+(Q93+R93)/G93)+V93)</f>
        <v>30.028763936507122</v>
      </c>
      <c r="Y93" s="2">
        <f>IF(O93&gt;0,O93,((P93*2.2046*S93)+(Q93+R93+T93)/G93)+V93+W93)</f>
        <v>30.479020454611607</v>
      </c>
      <c r="Z93" s="3">
        <f>Y93*F93</f>
        <v>566408.0470126603</v>
      </c>
      <c r="AA93" s="34">
        <v>43488</v>
      </c>
      <c r="AB93" s="3" t="s">
        <v>2036</v>
      </c>
      <c r="AC93" s="35"/>
    </row>
    <row r="94" spans="1:32" x14ac:dyDescent="0.25">
      <c r="A94" s="130"/>
      <c r="B94" s="27" t="s">
        <v>26</v>
      </c>
      <c r="C94" t="s">
        <v>27</v>
      </c>
      <c r="D94" s="28" t="s">
        <v>1682</v>
      </c>
      <c r="E94">
        <v>200</v>
      </c>
      <c r="F94" s="29">
        <v>22920</v>
      </c>
      <c r="G94" s="30">
        <v>17490</v>
      </c>
      <c r="H94" s="30">
        <f t="shared" si="61"/>
        <v>-5430</v>
      </c>
      <c r="I94" t="s">
        <v>2051</v>
      </c>
      <c r="K94" s="31"/>
      <c r="L94" s="31">
        <v>43495</v>
      </c>
      <c r="M94" s="28" t="s">
        <v>33</v>
      </c>
      <c r="O94" s="2">
        <v>26.5</v>
      </c>
      <c r="P94" s="32"/>
      <c r="Q94" s="138">
        <v>21300</v>
      </c>
      <c r="R94" s="2">
        <f>72*E94</f>
        <v>14400</v>
      </c>
      <c r="S94" s="33">
        <f>-38*E94</f>
        <v>-7600</v>
      </c>
      <c r="T94" s="141">
        <f t="shared" ref="T94" si="63">X94*F94*0.005</f>
        <v>4170.4178387650081</v>
      </c>
      <c r="U94" s="2">
        <f>E94*5</f>
        <v>1000</v>
      </c>
      <c r="W94" s="2">
        <v>0.3</v>
      </c>
      <c r="X94" s="2">
        <f t="shared" ref="X94" si="64">((O94*F94)+Q94+R94+S94+U94)/G94</f>
        <v>36.39108061749571</v>
      </c>
      <c r="Y94" s="2">
        <f>((O94*F94)+Q94+R94+S94+T94+U94)/G94+W94</f>
        <v>36.929526463051168</v>
      </c>
      <c r="Z94" s="3">
        <f>Y94*G94</f>
        <v>645897.41783876496</v>
      </c>
      <c r="AA94" s="34">
        <v>43508</v>
      </c>
      <c r="AB94" s="3"/>
      <c r="AC94" s="35"/>
    </row>
    <row r="95" spans="1:32" x14ac:dyDescent="0.25">
      <c r="A95" s="130"/>
      <c r="B95" s="27" t="s">
        <v>26</v>
      </c>
      <c r="C95" t="s">
        <v>27</v>
      </c>
      <c r="D95" s="28" t="s">
        <v>1829</v>
      </c>
      <c r="E95">
        <v>130</v>
      </c>
      <c r="F95" s="29">
        <v>13955</v>
      </c>
      <c r="G95" s="30">
        <v>11930</v>
      </c>
      <c r="H95" s="30">
        <f t="shared" si="61"/>
        <v>-2025</v>
      </c>
      <c r="I95" t="s">
        <v>2052</v>
      </c>
      <c r="K95" s="31"/>
      <c r="L95" s="31">
        <v>43495</v>
      </c>
      <c r="M95" s="28" t="s">
        <v>33</v>
      </c>
      <c r="O95" s="2">
        <v>26.5</v>
      </c>
      <c r="P95" s="32"/>
      <c r="Q95" s="140">
        <v>16900</v>
      </c>
      <c r="R95" s="2">
        <f>72*E95</f>
        <v>9360</v>
      </c>
      <c r="S95" s="33">
        <f>-38*E95</f>
        <v>-4940</v>
      </c>
      <c r="T95" s="158">
        <f t="shared" ref="T95" si="65">X95*F95*0.005</f>
        <v>2291.3893598072086</v>
      </c>
      <c r="U95" s="2">
        <f>E95*5</f>
        <v>650</v>
      </c>
      <c r="W95" s="2">
        <v>0.3</v>
      </c>
      <c r="X95" s="2">
        <f t="shared" ref="X95" si="66">((O95*F95)+Q95+R95+S95+U95)/G95</f>
        <v>32.839689857502094</v>
      </c>
      <c r="Y95" s="2">
        <f>((O95*F95)+Q95+R95+S95+T95+U95)/G95+W95</f>
        <v>33.33175937634595</v>
      </c>
      <c r="Z95" s="3">
        <f>Y95*G95</f>
        <v>397647.88935980719</v>
      </c>
      <c r="AA95" s="34">
        <v>43508</v>
      </c>
      <c r="AB95" s="3"/>
      <c r="AC95" s="35" t="s">
        <v>2054</v>
      </c>
    </row>
    <row r="96" spans="1:32" x14ac:dyDescent="0.25">
      <c r="A96" s="130"/>
      <c r="B96" s="27" t="s">
        <v>2057</v>
      </c>
      <c r="C96" s="28" t="s">
        <v>2058</v>
      </c>
      <c r="D96" s="28" t="s">
        <v>2044</v>
      </c>
      <c r="E96" t="s">
        <v>2065</v>
      </c>
      <c r="F96" s="29">
        <v>1000</v>
      </c>
      <c r="G96" s="30">
        <v>1000</v>
      </c>
      <c r="H96" s="30">
        <f t="shared" ref="H96:H99" si="67">G96-F96</f>
        <v>0</v>
      </c>
      <c r="I96" s="28" t="s">
        <v>2042</v>
      </c>
      <c r="K96" s="31"/>
      <c r="L96" s="31">
        <v>43495</v>
      </c>
      <c r="M96" s="28" t="s">
        <v>33</v>
      </c>
      <c r="O96" s="2">
        <v>45</v>
      </c>
      <c r="P96" s="32"/>
      <c r="Q96" s="2"/>
      <c r="R96" s="2"/>
      <c r="S96" s="33"/>
      <c r="T96" s="33"/>
      <c r="U96" s="2"/>
      <c r="W96" s="2"/>
      <c r="X96" s="2">
        <f t="shared" ref="X96:X98" si="68">IF(O96&gt;0,O96,((P96*2.2046*S96)+(Q96+R96)/G96)+V96)</f>
        <v>45</v>
      </c>
      <c r="Y96" s="2">
        <f t="shared" ref="Y96:Y98" si="69">IF(O96&gt;0,O96,((P96*2.2046*S96)+(Q96+R96+T96)/G96)+V96+W96)</f>
        <v>45</v>
      </c>
      <c r="Z96" s="3">
        <f t="shared" ref="Z96:Z98" si="70">Y96*F96</f>
        <v>45000</v>
      </c>
      <c r="AA96" s="34">
        <v>43495</v>
      </c>
      <c r="AB96" s="3"/>
      <c r="AC96" s="35"/>
    </row>
    <row r="97" spans="1:29" x14ac:dyDescent="0.25">
      <c r="A97" s="130"/>
      <c r="B97" s="27" t="s">
        <v>2059</v>
      </c>
      <c r="C97" s="142" t="s">
        <v>2062</v>
      </c>
      <c r="D97" s="28" t="s">
        <v>2044</v>
      </c>
      <c r="E97" t="s">
        <v>2063</v>
      </c>
      <c r="F97" s="29">
        <v>120</v>
      </c>
      <c r="G97" s="30">
        <v>120</v>
      </c>
      <c r="H97" s="30">
        <f t="shared" si="67"/>
        <v>0</v>
      </c>
      <c r="I97" s="28" t="s">
        <v>2042</v>
      </c>
      <c r="K97" s="31"/>
      <c r="L97" s="31">
        <v>43495</v>
      </c>
      <c r="M97" s="28" t="s">
        <v>33</v>
      </c>
      <c r="O97" s="2">
        <v>170</v>
      </c>
      <c r="P97" s="32"/>
      <c r="Q97" s="2"/>
      <c r="R97" s="2"/>
      <c r="S97" s="33"/>
      <c r="T97" s="33"/>
      <c r="U97" s="2"/>
      <c r="W97" s="2"/>
      <c r="X97" s="2">
        <f t="shared" si="68"/>
        <v>170</v>
      </c>
      <c r="Y97" s="2">
        <f t="shared" si="69"/>
        <v>170</v>
      </c>
      <c r="Z97" s="3">
        <f t="shared" si="70"/>
        <v>20400</v>
      </c>
      <c r="AA97" s="34">
        <v>43495</v>
      </c>
      <c r="AB97" s="3"/>
      <c r="AC97" s="35"/>
    </row>
    <row r="98" spans="1:29" x14ac:dyDescent="0.25">
      <c r="A98" s="130"/>
      <c r="B98" s="27" t="s">
        <v>2060</v>
      </c>
      <c r="C98" t="s">
        <v>2061</v>
      </c>
      <c r="D98" s="28" t="s">
        <v>2044</v>
      </c>
      <c r="E98" t="s">
        <v>2064</v>
      </c>
      <c r="F98" s="29">
        <v>45.4</v>
      </c>
      <c r="G98" s="30">
        <v>45.4</v>
      </c>
      <c r="H98" s="30">
        <f t="shared" si="67"/>
        <v>0</v>
      </c>
      <c r="I98" s="28" t="s">
        <v>2042</v>
      </c>
      <c r="K98" s="31"/>
      <c r="L98" s="31">
        <v>43495</v>
      </c>
      <c r="M98" s="28" t="s">
        <v>33</v>
      </c>
      <c r="O98" s="2">
        <v>175</v>
      </c>
      <c r="P98" s="32"/>
      <c r="Q98" s="2"/>
      <c r="R98" s="2"/>
      <c r="S98" s="33"/>
      <c r="T98" s="33"/>
      <c r="U98" s="2"/>
      <c r="W98" s="2"/>
      <c r="X98" s="2">
        <f t="shared" si="68"/>
        <v>175</v>
      </c>
      <c r="Y98" s="2">
        <f t="shared" si="69"/>
        <v>175</v>
      </c>
      <c r="Z98" s="3">
        <f t="shared" si="70"/>
        <v>7945</v>
      </c>
      <c r="AA98" s="34">
        <v>43495</v>
      </c>
      <c r="AB98" s="3"/>
      <c r="AC98" s="35"/>
    </row>
    <row r="99" spans="1:29" x14ac:dyDescent="0.25">
      <c r="A99" s="130"/>
      <c r="B99" s="27" t="s">
        <v>30</v>
      </c>
      <c r="C99" s="28" t="s">
        <v>40</v>
      </c>
      <c r="D99" s="28" t="s">
        <v>40</v>
      </c>
      <c r="E99" t="s">
        <v>37</v>
      </c>
      <c r="F99" s="29">
        <f>42571*0.4536</f>
        <v>19310.205600000001</v>
      </c>
      <c r="G99" s="30">
        <v>19234.2</v>
      </c>
      <c r="H99" s="30">
        <f t="shared" si="67"/>
        <v>-76.005600000000413</v>
      </c>
      <c r="I99" t="s">
        <v>1968</v>
      </c>
      <c r="J99" s="52" t="s">
        <v>196</v>
      </c>
      <c r="K99" s="31">
        <v>43495</v>
      </c>
      <c r="L99" s="31">
        <v>43496</v>
      </c>
      <c r="M99" s="28" t="s">
        <v>41</v>
      </c>
      <c r="N99" s="28" t="s">
        <v>1758</v>
      </c>
      <c r="O99" s="2"/>
      <c r="P99" s="32">
        <f>0.4624+0.105</f>
        <v>0.56740000000000002</v>
      </c>
      <c r="Q99" s="140">
        <v>26000</v>
      </c>
      <c r="R99" s="2">
        <v>96247</v>
      </c>
      <c r="S99" s="68">
        <v>19.114999999999998</v>
      </c>
      <c r="T99" s="141">
        <f>X99*F99*0.005</f>
        <v>2933.8452301526945</v>
      </c>
      <c r="V99" s="2">
        <v>0.12</v>
      </c>
      <c r="W99" s="2">
        <v>0.3</v>
      </c>
      <c r="X99" s="2">
        <f>IF(O99&gt;0,O99,((P99*2.2046*S99)+(Q99+R99)/G99)+V99)</f>
        <v>30.38647325591079</v>
      </c>
      <c r="Y99" s="2">
        <f>IF(O99&gt;0,O99,((P99*2.2046*S99)+(Q99+R99+T99)/G99)+V99+W99)</f>
        <v>30.839005996037891</v>
      </c>
      <c r="Z99" s="3">
        <f>Y99*F99</f>
        <v>595507.54628312448</v>
      </c>
      <c r="AA99" s="34">
        <v>43489</v>
      </c>
      <c r="AB99" s="3"/>
      <c r="AC99" s="35"/>
    </row>
    <row r="100" spans="1:29" x14ac:dyDescent="0.25">
      <c r="A100" s="130"/>
      <c r="B100" s="27" t="s">
        <v>26</v>
      </c>
      <c r="C100" t="s">
        <v>27</v>
      </c>
      <c r="D100" s="28" t="s">
        <v>1682</v>
      </c>
      <c r="E100">
        <v>199</v>
      </c>
      <c r="F100" s="29">
        <v>24270</v>
      </c>
      <c r="G100" s="30">
        <v>23420</v>
      </c>
      <c r="H100" s="30">
        <f t="shared" ref="H100:H101" si="71">G100-F100</f>
        <v>-850</v>
      </c>
      <c r="I100" s="28" t="s">
        <v>2076</v>
      </c>
      <c r="J100" s="55">
        <v>249</v>
      </c>
      <c r="K100" s="31"/>
      <c r="L100" s="31">
        <v>43496</v>
      </c>
      <c r="M100" s="28" t="s">
        <v>41</v>
      </c>
      <c r="O100" s="2">
        <v>26.5</v>
      </c>
      <c r="P100" s="32"/>
      <c r="Q100" s="138">
        <v>21300</v>
      </c>
      <c r="R100" s="2">
        <f>72*E100</f>
        <v>14328</v>
      </c>
      <c r="S100" s="33">
        <f>-38*E100</f>
        <v>-7562</v>
      </c>
      <c r="T100" s="141">
        <f>X100*F100*0.0045</f>
        <v>3134.7596259607167</v>
      </c>
      <c r="U100" s="2">
        <f>E100*5</f>
        <v>995</v>
      </c>
      <c r="W100" s="2">
        <v>0.3</v>
      </c>
      <c r="X100" s="2">
        <f t="shared" ref="X100" si="72">((O100*F100)+Q100+R100+S100+U100)/G100</f>
        <v>28.702647309991459</v>
      </c>
      <c r="Y100" s="2">
        <f>((O100*F100)+Q100+R100+S100+T100+U100)/G100+W100</f>
        <v>29.136496995130688</v>
      </c>
      <c r="Z100" s="3">
        <f>Y100*G100</f>
        <v>682376.75962596072</v>
      </c>
      <c r="AA100" s="34">
        <v>43509</v>
      </c>
      <c r="AB100" s="3"/>
      <c r="AC100" s="35"/>
    </row>
    <row r="101" spans="1:29" x14ac:dyDescent="0.25">
      <c r="A101" s="130"/>
      <c r="B101" s="27" t="s">
        <v>26</v>
      </c>
      <c r="C101" t="s">
        <v>27</v>
      </c>
      <c r="D101" s="28" t="s">
        <v>1636</v>
      </c>
      <c r="E101">
        <v>180</v>
      </c>
      <c r="F101" s="29">
        <v>17285</v>
      </c>
      <c r="G101" s="30">
        <v>9920</v>
      </c>
      <c r="H101" s="30">
        <f t="shared" si="71"/>
        <v>-7365</v>
      </c>
      <c r="I101" s="28" t="s">
        <v>2075</v>
      </c>
      <c r="J101" s="55">
        <v>130</v>
      </c>
      <c r="K101" s="31"/>
      <c r="L101" s="31">
        <v>43496</v>
      </c>
      <c r="M101" s="28" t="s">
        <v>41</v>
      </c>
      <c r="O101" s="2">
        <v>26.5</v>
      </c>
      <c r="P101" s="32"/>
      <c r="Q101" s="140">
        <v>16900</v>
      </c>
      <c r="R101" s="2">
        <f>72*E101</f>
        <v>12960</v>
      </c>
      <c r="S101" s="33">
        <f>-38*E101</f>
        <v>-6840</v>
      </c>
      <c r="T101" s="141">
        <f>X101*F101*0.0045</f>
        <v>3779.1356835937495</v>
      </c>
      <c r="U101" s="2">
        <f>E101*5</f>
        <v>900</v>
      </c>
      <c r="W101" s="2">
        <v>0.3</v>
      </c>
      <c r="X101" s="2">
        <f>((O101*F101)+Q101+R101+S101+U101)/G101</f>
        <v>48.5859375</v>
      </c>
      <c r="Y101" s="2">
        <f>((O101*F101)+Q101+R101+S101+T101+U101)/G101+W101</f>
        <v>49.266898758426784</v>
      </c>
      <c r="Z101" s="3">
        <f>Y101*G101</f>
        <v>488727.63568359369</v>
      </c>
      <c r="AA101" s="34">
        <v>43509</v>
      </c>
      <c r="AB101" s="3">
        <v>35.119999999999997</v>
      </c>
      <c r="AC101" t="s">
        <v>2107</v>
      </c>
    </row>
    <row r="102" spans="1:29" x14ac:dyDescent="0.25">
      <c r="A102" s="130"/>
      <c r="B102" s="27" t="s">
        <v>30</v>
      </c>
      <c r="C102" s="28" t="s">
        <v>1790</v>
      </c>
      <c r="D102" s="28" t="s">
        <v>1790</v>
      </c>
      <c r="E102" t="s">
        <v>32</v>
      </c>
      <c r="F102" s="29">
        <f>42059*0.4536</f>
        <v>19077.9624</v>
      </c>
      <c r="G102" s="30">
        <v>18927.740000000002</v>
      </c>
      <c r="H102" s="30">
        <f>G102-F102</f>
        <v>-150.22239999999874</v>
      </c>
      <c r="I102" s="28" t="s">
        <v>1757</v>
      </c>
      <c r="J102" s="52" t="s">
        <v>196</v>
      </c>
      <c r="K102" s="31">
        <v>43495</v>
      </c>
      <c r="L102" s="31">
        <v>43496</v>
      </c>
      <c r="M102" s="28" t="s">
        <v>41</v>
      </c>
      <c r="N102" s="28" t="s">
        <v>1759</v>
      </c>
      <c r="O102" s="2"/>
      <c r="P102" s="32">
        <f>0.4624+0.095</f>
        <v>0.55740000000000001</v>
      </c>
      <c r="Q102" s="140">
        <v>26000</v>
      </c>
      <c r="R102" s="2">
        <v>90196</v>
      </c>
      <c r="S102" s="68">
        <v>19.239999999999998</v>
      </c>
      <c r="T102" s="141">
        <f>X102*F102*0.005</f>
        <v>2852.3352441900938</v>
      </c>
      <c r="V102" s="2">
        <v>0.12</v>
      </c>
      <c r="W102" s="2">
        <v>0.3</v>
      </c>
      <c r="X102" s="2">
        <f>IF(O102&gt;0,O102,((P102*2.2046*S102)+(Q102+R102)/G102)+V102)</f>
        <v>29.901885582813538</v>
      </c>
      <c r="Y102" s="2">
        <f>IF(O102&gt;0,O102,((P102*2.2046*S102)+(Q102+R102+T102)/G102)+V102+W102)</f>
        <v>30.352581611192527</v>
      </c>
      <c r="Z102" s="3">
        <f>Y102*F102</f>
        <v>579065.41072126245</v>
      </c>
      <c r="AA102" s="34">
        <v>43493</v>
      </c>
      <c r="AB102" s="3"/>
      <c r="AC102" s="35"/>
    </row>
    <row r="103" spans="1:29" x14ac:dyDescent="0.25">
      <c r="A103" s="130"/>
      <c r="B103" s="27" t="s">
        <v>2097</v>
      </c>
      <c r="C103" s="28" t="s">
        <v>2098</v>
      </c>
      <c r="D103" s="28" t="s">
        <v>1806</v>
      </c>
      <c r="E103" t="s">
        <v>2064</v>
      </c>
      <c r="F103" s="29">
        <v>124.28</v>
      </c>
      <c r="G103" s="30">
        <v>124.28</v>
      </c>
      <c r="H103" s="30">
        <f>G103-F103</f>
        <v>0</v>
      </c>
      <c r="I103" s="28" t="s">
        <v>2099</v>
      </c>
      <c r="K103" s="31"/>
      <c r="L103" s="31">
        <v>43496</v>
      </c>
      <c r="M103" s="28" t="s">
        <v>41</v>
      </c>
      <c r="N103" s="28"/>
      <c r="O103" s="2">
        <v>186</v>
      </c>
      <c r="P103" s="32"/>
      <c r="Q103" s="2"/>
      <c r="R103" s="2"/>
      <c r="S103" s="68"/>
      <c r="T103" s="33"/>
      <c r="V103" s="2"/>
      <c r="W103" s="2"/>
      <c r="X103" s="2">
        <f>IF(O103&gt;0,O103,((P103*2.2046*S103)+(Q103+R103)/G103)+V103)</f>
        <v>186</v>
      </c>
      <c r="Y103" s="2">
        <f>IF(O103&gt;0,O103,((P103*2.2046*S103)+(Q103+R103+T103)/G103)+V103+W103)</f>
        <v>186</v>
      </c>
      <c r="Z103" s="3">
        <f>Y103*F103</f>
        <v>23116.080000000002</v>
      </c>
      <c r="AA103" s="34">
        <v>43503</v>
      </c>
      <c r="AB103" s="3"/>
      <c r="AC103" s="35"/>
    </row>
    <row r="104" spans="1:29" ht="15.75" thickBot="1" x14ac:dyDescent="0.3">
      <c r="A104" s="131"/>
      <c r="B104" s="41"/>
      <c r="C104" s="4"/>
      <c r="D104" s="4"/>
      <c r="E104" s="4"/>
      <c r="F104" s="42"/>
      <c r="G104" s="42"/>
      <c r="H104" s="42"/>
      <c r="I104" s="7"/>
      <c r="J104" s="4"/>
      <c r="K104" s="8"/>
      <c r="L104" s="8"/>
      <c r="M104" s="4"/>
      <c r="N104" s="4"/>
      <c r="O104" s="9"/>
      <c r="P104" s="10"/>
      <c r="Q104" s="9"/>
      <c r="R104" s="9"/>
      <c r="S104" s="9"/>
      <c r="T104" s="9"/>
      <c r="U104" s="9"/>
      <c r="V104" s="9"/>
      <c r="W104" s="9"/>
      <c r="X104" s="9"/>
      <c r="Y104" s="9"/>
      <c r="Z104" s="13"/>
      <c r="AA104" s="43"/>
      <c r="AB104" s="3"/>
      <c r="AC104" s="35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42"/>
  <sheetViews>
    <sheetView workbookViewId="0">
      <pane ySplit="2" topLeftCell="A15" activePane="bottomLeft" state="frozen"/>
      <selection pane="bottomLeft" activeCell="E42" sqref="E42"/>
    </sheetView>
  </sheetViews>
  <sheetFormatPr baseColWidth="10" defaultRowHeight="15" x14ac:dyDescent="0.25"/>
  <cols>
    <col min="2" max="2" width="16" style="3" customWidth="1"/>
    <col min="3" max="3" width="8.5703125" style="3" customWidth="1"/>
    <col min="4" max="4" width="25.42578125" bestFit="1" customWidth="1"/>
    <col min="5" max="5" width="12.85546875" customWidth="1"/>
    <col min="6" max="6" width="23.85546875" customWidth="1"/>
    <col min="7" max="7" width="13.28515625" customWidth="1"/>
  </cols>
  <sheetData>
    <row r="2" spans="1:9" x14ac:dyDescent="0.25">
      <c r="A2" t="s">
        <v>3135</v>
      </c>
      <c r="B2" s="3" t="s">
        <v>3131</v>
      </c>
      <c r="C2" s="3" t="s">
        <v>3140</v>
      </c>
      <c r="D2" t="s">
        <v>3</v>
      </c>
      <c r="E2" t="s">
        <v>213</v>
      </c>
      <c r="F2" t="s">
        <v>3132</v>
      </c>
      <c r="G2" t="s">
        <v>3133</v>
      </c>
      <c r="H2" t="s">
        <v>3134</v>
      </c>
      <c r="I2" t="s">
        <v>3136</v>
      </c>
    </row>
    <row r="3" spans="1:9" x14ac:dyDescent="0.25">
      <c r="A3" s="72">
        <v>43567</v>
      </c>
      <c r="B3" s="3">
        <v>57978.5</v>
      </c>
      <c r="C3" s="3" t="s">
        <v>3141</v>
      </c>
      <c r="D3" t="s">
        <v>3137</v>
      </c>
      <c r="F3" t="s">
        <v>3138</v>
      </c>
      <c r="G3" t="s">
        <v>3139</v>
      </c>
      <c r="H3">
        <v>7554</v>
      </c>
      <c r="I3" s="72">
        <v>43555</v>
      </c>
    </row>
    <row r="4" spans="1:9" x14ac:dyDescent="0.25">
      <c r="A4" s="72">
        <v>43567</v>
      </c>
      <c r="B4" s="3">
        <v>45254</v>
      </c>
      <c r="C4" s="3" t="s">
        <v>3141</v>
      </c>
      <c r="D4" t="s">
        <v>3137</v>
      </c>
      <c r="F4" t="s">
        <v>3138</v>
      </c>
      <c r="G4" t="s">
        <v>3139</v>
      </c>
      <c r="H4">
        <v>7567</v>
      </c>
      <c r="I4" s="72">
        <v>43559</v>
      </c>
    </row>
    <row r="5" spans="1:9" x14ac:dyDescent="0.25">
      <c r="A5" s="72">
        <v>43567</v>
      </c>
      <c r="B5" s="3">
        <v>67321</v>
      </c>
      <c r="C5" s="3" t="s">
        <v>3141</v>
      </c>
      <c r="D5" t="s">
        <v>3137</v>
      </c>
      <c r="F5" t="s">
        <v>3138</v>
      </c>
      <c r="G5" t="s">
        <v>3139</v>
      </c>
      <c r="H5">
        <v>7584</v>
      </c>
      <c r="I5" s="72">
        <v>43561</v>
      </c>
    </row>
    <row r="6" spans="1:9" x14ac:dyDescent="0.25">
      <c r="A6" s="72">
        <v>43567</v>
      </c>
      <c r="B6" s="3">
        <v>48060</v>
      </c>
      <c r="C6" s="3" t="s">
        <v>3141</v>
      </c>
      <c r="D6" t="s">
        <v>3137</v>
      </c>
      <c r="F6" t="s">
        <v>3138</v>
      </c>
      <c r="G6" t="s">
        <v>3139</v>
      </c>
      <c r="H6">
        <v>7607</v>
      </c>
      <c r="I6" s="72">
        <v>43566</v>
      </c>
    </row>
    <row r="7" spans="1:9" x14ac:dyDescent="0.25">
      <c r="A7" s="72">
        <v>43572</v>
      </c>
      <c r="B7" s="3">
        <v>53449.8</v>
      </c>
      <c r="C7" s="3" t="s">
        <v>3141</v>
      </c>
      <c r="D7" t="s">
        <v>3160</v>
      </c>
      <c r="F7" t="s">
        <v>3162</v>
      </c>
      <c r="G7" t="s">
        <v>3161</v>
      </c>
      <c r="H7">
        <v>6165</v>
      </c>
      <c r="I7" s="72">
        <v>43568</v>
      </c>
    </row>
    <row r="8" spans="1:9" x14ac:dyDescent="0.25">
      <c r="A8" s="72">
        <v>43572</v>
      </c>
      <c r="B8" s="3">
        <v>26354.400000000001</v>
      </c>
      <c r="C8" s="3" t="s">
        <v>3141</v>
      </c>
      <c r="D8" t="s">
        <v>3163</v>
      </c>
      <c r="F8" t="s">
        <v>3164</v>
      </c>
      <c r="G8" t="s">
        <v>3139</v>
      </c>
      <c r="H8" s="200" t="s">
        <v>3165</v>
      </c>
      <c r="I8" s="72">
        <v>43567</v>
      </c>
    </row>
    <row r="9" spans="1:9" x14ac:dyDescent="0.25">
      <c r="A9" s="72">
        <v>43577</v>
      </c>
      <c r="B9" s="3">
        <v>118357</v>
      </c>
      <c r="C9" s="3" t="s">
        <v>3141</v>
      </c>
      <c r="D9" t="s">
        <v>3160</v>
      </c>
      <c r="F9" t="s">
        <v>3162</v>
      </c>
      <c r="G9" t="s">
        <v>3161</v>
      </c>
      <c r="H9">
        <v>6169</v>
      </c>
      <c r="I9" s="72">
        <v>43573</v>
      </c>
    </row>
    <row r="10" spans="1:9" x14ac:dyDescent="0.25">
      <c r="A10" s="72">
        <v>43579</v>
      </c>
      <c r="B10" s="3">
        <v>16051.6</v>
      </c>
      <c r="C10" s="3" t="s">
        <v>3141</v>
      </c>
      <c r="D10" t="s">
        <v>3163</v>
      </c>
      <c r="F10" t="s">
        <v>3164</v>
      </c>
      <c r="G10" t="s">
        <v>3139</v>
      </c>
      <c r="H10">
        <v>7634</v>
      </c>
      <c r="I10" s="72">
        <v>43572</v>
      </c>
    </row>
    <row r="11" spans="1:9" x14ac:dyDescent="0.25">
      <c r="A11" s="72">
        <v>43591</v>
      </c>
      <c r="B11" s="3">
        <v>7884.8</v>
      </c>
      <c r="C11" s="3" t="s">
        <v>3382</v>
      </c>
      <c r="D11" t="s">
        <v>3383</v>
      </c>
      <c r="F11" t="s">
        <v>3164</v>
      </c>
      <c r="G11" t="s">
        <v>3139</v>
      </c>
      <c r="H11">
        <v>7673</v>
      </c>
      <c r="I11" s="72">
        <v>43582</v>
      </c>
    </row>
    <row r="12" spans="1:9" x14ac:dyDescent="0.25">
      <c r="A12" s="72">
        <v>43591</v>
      </c>
      <c r="B12" s="3">
        <v>13810.7</v>
      </c>
      <c r="C12" s="3" t="s">
        <v>3141</v>
      </c>
      <c r="D12" t="s">
        <v>3163</v>
      </c>
      <c r="E12" t="s">
        <v>3486</v>
      </c>
      <c r="F12" t="s">
        <v>3164</v>
      </c>
      <c r="G12" t="s">
        <v>3139</v>
      </c>
      <c r="H12">
        <v>7668</v>
      </c>
      <c r="I12" s="72">
        <v>43581</v>
      </c>
    </row>
    <row r="13" spans="1:9" x14ac:dyDescent="0.25">
      <c r="A13" s="72">
        <v>43593</v>
      </c>
      <c r="B13" s="3">
        <v>50798</v>
      </c>
      <c r="C13" s="3" t="s">
        <v>3141</v>
      </c>
      <c r="D13" t="s">
        <v>3160</v>
      </c>
      <c r="E13" t="s">
        <v>3488</v>
      </c>
      <c r="F13" t="s">
        <v>3162</v>
      </c>
      <c r="G13" t="s">
        <v>3161</v>
      </c>
      <c r="H13">
        <v>6173</v>
      </c>
      <c r="I13" s="72">
        <v>43581</v>
      </c>
    </row>
    <row r="14" spans="1:9" x14ac:dyDescent="0.25">
      <c r="A14" s="72">
        <v>43593</v>
      </c>
      <c r="B14" s="3">
        <v>108937</v>
      </c>
      <c r="C14" s="3" t="s">
        <v>3141</v>
      </c>
      <c r="D14" t="s">
        <v>3160</v>
      </c>
      <c r="E14" t="s">
        <v>3489</v>
      </c>
      <c r="F14" t="s">
        <v>3162</v>
      </c>
      <c r="G14" t="s">
        <v>3161</v>
      </c>
      <c r="H14">
        <v>6175</v>
      </c>
      <c r="I14" s="72">
        <v>43582</v>
      </c>
    </row>
    <row r="15" spans="1:9" x14ac:dyDescent="0.25">
      <c r="A15" s="72">
        <v>43593</v>
      </c>
      <c r="B15" s="3">
        <v>81820</v>
      </c>
      <c r="C15" s="3" t="s">
        <v>3141</v>
      </c>
      <c r="D15" t="s">
        <v>3160</v>
      </c>
      <c r="E15" t="s">
        <v>3490</v>
      </c>
      <c r="F15" t="s">
        <v>3162</v>
      </c>
      <c r="G15" t="s">
        <v>3161</v>
      </c>
      <c r="H15">
        <v>6180</v>
      </c>
      <c r="I15" s="72">
        <v>43589</v>
      </c>
    </row>
    <row r="16" spans="1:9" x14ac:dyDescent="0.25">
      <c r="A16" s="72">
        <v>43595</v>
      </c>
      <c r="B16" s="3">
        <v>110580</v>
      </c>
      <c r="C16" s="3" t="s">
        <v>3141</v>
      </c>
      <c r="D16" t="s">
        <v>3137</v>
      </c>
      <c r="E16" t="s">
        <v>3449</v>
      </c>
      <c r="F16" t="s">
        <v>3448</v>
      </c>
      <c r="G16" t="s">
        <v>3139</v>
      </c>
      <c r="H16" s="61" t="s">
        <v>3487</v>
      </c>
      <c r="I16" s="72">
        <v>43586</v>
      </c>
    </row>
    <row r="17" spans="1:9" x14ac:dyDescent="0.25">
      <c r="A17" s="72">
        <v>43595</v>
      </c>
      <c r="B17" s="3">
        <v>138620.4</v>
      </c>
      <c r="C17" s="3" t="s">
        <v>3141</v>
      </c>
      <c r="D17" t="s">
        <v>3137</v>
      </c>
      <c r="E17" t="s">
        <v>3450</v>
      </c>
      <c r="F17" t="s">
        <v>3448</v>
      </c>
      <c r="G17" t="s">
        <v>3139</v>
      </c>
      <c r="H17" s="61" t="s">
        <v>3487</v>
      </c>
      <c r="I17" s="72">
        <v>43587</v>
      </c>
    </row>
    <row r="18" spans="1:9" x14ac:dyDescent="0.25">
      <c r="A18" s="72">
        <v>43595</v>
      </c>
      <c r="B18" s="3">
        <v>201265</v>
      </c>
      <c r="C18" s="3" t="s">
        <v>3141</v>
      </c>
      <c r="D18" t="s">
        <v>3137</v>
      </c>
      <c r="E18" t="s">
        <v>3451</v>
      </c>
      <c r="F18" t="s">
        <v>3448</v>
      </c>
      <c r="G18" t="s">
        <v>3139</v>
      </c>
      <c r="H18" s="61" t="s">
        <v>3487</v>
      </c>
      <c r="I18" s="72">
        <v>43588</v>
      </c>
    </row>
    <row r="19" spans="1:9" x14ac:dyDescent="0.25">
      <c r="A19" s="72">
        <v>43606</v>
      </c>
      <c r="B19" s="3">
        <v>57065</v>
      </c>
      <c r="C19" s="3" t="s">
        <v>3382</v>
      </c>
      <c r="D19" t="s">
        <v>3160</v>
      </c>
      <c r="E19" t="s">
        <v>3563</v>
      </c>
      <c r="F19" t="s">
        <v>3162</v>
      </c>
      <c r="G19" t="s">
        <v>3161</v>
      </c>
      <c r="H19">
        <v>6187</v>
      </c>
      <c r="I19" s="72">
        <v>43600</v>
      </c>
    </row>
    <row r="20" spans="1:9" x14ac:dyDescent="0.25">
      <c r="A20" s="72">
        <v>43607</v>
      </c>
      <c r="B20" s="3">
        <v>14566.6</v>
      </c>
      <c r="C20" s="3" t="s">
        <v>3141</v>
      </c>
      <c r="D20" t="s">
        <v>3163</v>
      </c>
      <c r="E20" t="s">
        <v>3569</v>
      </c>
      <c r="F20" t="s">
        <v>3164</v>
      </c>
      <c r="G20" t="s">
        <v>3139</v>
      </c>
      <c r="H20">
        <v>7742</v>
      </c>
      <c r="I20" s="72">
        <v>43595</v>
      </c>
    </row>
    <row r="21" spans="1:9" x14ac:dyDescent="0.25">
      <c r="A21" s="72">
        <v>43612</v>
      </c>
      <c r="B21" s="3">
        <v>58401.599999999999</v>
      </c>
      <c r="C21" s="3" t="s">
        <v>3141</v>
      </c>
      <c r="D21" t="s">
        <v>3160</v>
      </c>
      <c r="E21" t="s">
        <v>3682</v>
      </c>
      <c r="F21" t="s">
        <v>3162</v>
      </c>
      <c r="G21" t="s">
        <v>3161</v>
      </c>
      <c r="H21">
        <v>6194</v>
      </c>
      <c r="I21" s="72">
        <v>43610</v>
      </c>
    </row>
    <row r="22" spans="1:9" x14ac:dyDescent="0.25">
      <c r="A22" s="72">
        <v>43612</v>
      </c>
      <c r="B22" s="3">
        <v>56256.2</v>
      </c>
      <c r="C22" s="3" t="s">
        <v>3141</v>
      </c>
      <c r="D22" t="s">
        <v>3137</v>
      </c>
      <c r="E22" t="s">
        <v>3683</v>
      </c>
      <c r="F22" t="s">
        <v>3448</v>
      </c>
      <c r="G22" t="s">
        <v>3139</v>
      </c>
      <c r="H22">
        <v>7763</v>
      </c>
      <c r="I22" s="72">
        <v>43599</v>
      </c>
    </row>
    <row r="23" spans="1:9" x14ac:dyDescent="0.25">
      <c r="A23" s="72">
        <v>43615</v>
      </c>
      <c r="B23" s="3">
        <v>12657.7</v>
      </c>
      <c r="C23" s="3" t="s">
        <v>3141</v>
      </c>
      <c r="D23" t="s">
        <v>3163</v>
      </c>
      <c r="E23" t="s">
        <v>3717</v>
      </c>
      <c r="F23" t="s">
        <v>3164</v>
      </c>
      <c r="G23" t="s">
        <v>3139</v>
      </c>
      <c r="H23">
        <v>7812</v>
      </c>
      <c r="I23" s="72">
        <v>43610</v>
      </c>
    </row>
    <row r="24" spans="1:9" x14ac:dyDescent="0.25">
      <c r="A24" s="72">
        <v>43621</v>
      </c>
      <c r="B24" s="3">
        <v>64632.3</v>
      </c>
      <c r="C24" s="3" t="s">
        <v>3141</v>
      </c>
      <c r="D24" t="s">
        <v>3160</v>
      </c>
      <c r="E24" t="s">
        <v>3785</v>
      </c>
      <c r="F24" t="s">
        <v>3162</v>
      </c>
      <c r="G24" t="s">
        <v>3161</v>
      </c>
      <c r="H24">
        <v>6198</v>
      </c>
      <c r="I24" s="72">
        <v>43616</v>
      </c>
    </row>
    <row r="25" spans="1:9" x14ac:dyDescent="0.25">
      <c r="A25" s="72">
        <v>43621</v>
      </c>
      <c r="B25" s="3">
        <v>78798</v>
      </c>
      <c r="C25" s="3" t="s">
        <v>3141</v>
      </c>
      <c r="D25" t="s">
        <v>3160</v>
      </c>
      <c r="E25" t="s">
        <v>3786</v>
      </c>
      <c r="F25" t="s">
        <v>3162</v>
      </c>
      <c r="G25" t="s">
        <v>3161</v>
      </c>
      <c r="H25">
        <v>6200</v>
      </c>
      <c r="I25" s="72">
        <v>43617</v>
      </c>
    </row>
    <row r="26" spans="1:9" x14ac:dyDescent="0.25">
      <c r="A26" s="72">
        <v>43626</v>
      </c>
      <c r="B26" s="3">
        <v>16285.35</v>
      </c>
      <c r="C26" s="3" t="s">
        <v>3141</v>
      </c>
      <c r="D26" t="s">
        <v>3163</v>
      </c>
      <c r="E26" t="s">
        <v>3874</v>
      </c>
      <c r="F26" t="s">
        <v>3164</v>
      </c>
      <c r="G26" t="s">
        <v>3139</v>
      </c>
      <c r="H26">
        <v>7845</v>
      </c>
      <c r="I26" s="72">
        <v>43617</v>
      </c>
    </row>
    <row r="27" spans="1:9" x14ac:dyDescent="0.25">
      <c r="A27" s="72">
        <v>43633</v>
      </c>
      <c r="B27" s="3">
        <v>70116.399999999994</v>
      </c>
      <c r="C27" s="3" t="s">
        <v>3141</v>
      </c>
      <c r="D27" t="s">
        <v>3160</v>
      </c>
      <c r="E27" t="s">
        <v>3955</v>
      </c>
      <c r="F27" t="s">
        <v>3162</v>
      </c>
      <c r="G27" t="s">
        <v>3161</v>
      </c>
      <c r="H27">
        <v>6209</v>
      </c>
      <c r="I27" s="72">
        <v>43631</v>
      </c>
    </row>
    <row r="28" spans="1:9" x14ac:dyDescent="0.25">
      <c r="A28" s="72">
        <v>43641</v>
      </c>
      <c r="B28" s="3">
        <v>58770</v>
      </c>
      <c r="C28" s="3" t="s">
        <v>3141</v>
      </c>
      <c r="D28" t="s">
        <v>3160</v>
      </c>
      <c r="E28" t="s">
        <v>4038</v>
      </c>
      <c r="F28" t="s">
        <v>3162</v>
      </c>
      <c r="G28" t="s">
        <v>3161</v>
      </c>
      <c r="H28">
        <v>6216</v>
      </c>
      <c r="I28" s="72">
        <v>43640</v>
      </c>
    </row>
    <row r="29" spans="1:9" x14ac:dyDescent="0.25">
      <c r="A29" s="72">
        <v>43648</v>
      </c>
      <c r="B29" s="3">
        <v>62273</v>
      </c>
      <c r="C29" s="3" t="s">
        <v>3141</v>
      </c>
      <c r="D29" t="s">
        <v>3160</v>
      </c>
      <c r="E29" t="s">
        <v>4148</v>
      </c>
      <c r="F29" t="s">
        <v>3162</v>
      </c>
      <c r="G29" t="s">
        <v>3161</v>
      </c>
      <c r="H29">
        <v>6219</v>
      </c>
      <c r="I29" s="72">
        <v>43644</v>
      </c>
    </row>
    <row r="30" spans="1:9" x14ac:dyDescent="0.25">
      <c r="A30" s="72">
        <v>43648</v>
      </c>
      <c r="B30" s="3">
        <v>15364</v>
      </c>
      <c r="C30" s="3" t="s">
        <v>3141</v>
      </c>
      <c r="D30" t="s">
        <v>3163</v>
      </c>
      <c r="E30" t="s">
        <v>4149</v>
      </c>
      <c r="F30" t="s">
        <v>3164</v>
      </c>
      <c r="G30" t="s">
        <v>3139</v>
      </c>
      <c r="H30">
        <v>7897</v>
      </c>
      <c r="I30" s="72">
        <v>43630</v>
      </c>
    </row>
    <row r="31" spans="1:9" x14ac:dyDescent="0.25">
      <c r="A31" s="72">
        <v>43648</v>
      </c>
      <c r="B31" s="3">
        <v>19620.8</v>
      </c>
      <c r="C31" s="3" t="s">
        <v>3141</v>
      </c>
      <c r="D31" t="s">
        <v>3163</v>
      </c>
      <c r="E31" t="s">
        <v>4150</v>
      </c>
      <c r="F31" t="s">
        <v>3164</v>
      </c>
      <c r="G31" t="s">
        <v>3139</v>
      </c>
      <c r="H31">
        <v>7932</v>
      </c>
      <c r="I31" s="72">
        <v>43637</v>
      </c>
    </row>
    <row r="32" spans="1:9" x14ac:dyDescent="0.25">
      <c r="A32" s="72">
        <v>43649</v>
      </c>
      <c r="B32" s="3">
        <v>84520</v>
      </c>
      <c r="C32" s="3" t="s">
        <v>3141</v>
      </c>
      <c r="D32" t="s">
        <v>3160</v>
      </c>
      <c r="E32" t="s">
        <v>4162</v>
      </c>
      <c r="F32" t="s">
        <v>3162</v>
      </c>
      <c r="G32" t="s">
        <v>3161</v>
      </c>
      <c r="H32">
        <v>6221</v>
      </c>
      <c r="I32" s="72">
        <v>43647</v>
      </c>
    </row>
    <row r="33" spans="1:12" x14ac:dyDescent="0.25">
      <c r="A33" s="72">
        <v>43662</v>
      </c>
      <c r="B33" s="3">
        <v>70097.600000000006</v>
      </c>
      <c r="C33" s="3" t="s">
        <v>3141</v>
      </c>
      <c r="D33" t="s">
        <v>3160</v>
      </c>
      <c r="E33" t="s">
        <v>4366</v>
      </c>
      <c r="F33" t="s">
        <v>3162</v>
      </c>
      <c r="G33" t="s">
        <v>3161</v>
      </c>
      <c r="H33">
        <v>6232</v>
      </c>
      <c r="I33" s="72">
        <v>43661</v>
      </c>
    </row>
    <row r="34" spans="1:12" x14ac:dyDescent="0.25">
      <c r="A34" s="72">
        <v>43668</v>
      </c>
      <c r="B34" s="3">
        <v>14006.9</v>
      </c>
      <c r="C34" s="3" t="s">
        <v>3141</v>
      </c>
      <c r="D34" t="s">
        <v>3163</v>
      </c>
      <c r="E34" t="s">
        <v>4418</v>
      </c>
      <c r="F34" t="s">
        <v>3164</v>
      </c>
      <c r="G34" t="s">
        <v>3139</v>
      </c>
      <c r="H34">
        <v>8003</v>
      </c>
      <c r="I34" s="72">
        <v>43656</v>
      </c>
    </row>
    <row r="35" spans="1:12" x14ac:dyDescent="0.25">
      <c r="A35" s="72">
        <v>43670</v>
      </c>
      <c r="B35" s="3">
        <v>61669.2</v>
      </c>
      <c r="C35" s="3" t="s">
        <v>3141</v>
      </c>
      <c r="D35" t="s">
        <v>3160</v>
      </c>
      <c r="E35" t="s">
        <v>2561</v>
      </c>
      <c r="F35" t="s">
        <v>3162</v>
      </c>
      <c r="G35" t="s">
        <v>3161</v>
      </c>
      <c r="H35">
        <v>6237</v>
      </c>
      <c r="I35" s="72">
        <v>43668</v>
      </c>
    </row>
    <row r="36" spans="1:12" x14ac:dyDescent="0.25">
      <c r="A36" s="72">
        <v>43671</v>
      </c>
      <c r="B36" s="3">
        <v>62002.400000000001</v>
      </c>
      <c r="C36" s="3" t="s">
        <v>3141</v>
      </c>
      <c r="D36" t="s">
        <v>3160</v>
      </c>
      <c r="E36" t="s">
        <v>3649</v>
      </c>
      <c r="F36" t="s">
        <v>3162</v>
      </c>
      <c r="G36" t="s">
        <v>3161</v>
      </c>
      <c r="H36">
        <v>6236</v>
      </c>
      <c r="I36" s="72">
        <v>43672</v>
      </c>
      <c r="K36" s="37"/>
      <c r="L36" t="s">
        <v>4654</v>
      </c>
    </row>
    <row r="37" spans="1:12" x14ac:dyDescent="0.25">
      <c r="A37" s="72">
        <v>43675</v>
      </c>
      <c r="B37" s="3">
        <v>76731.199999999997</v>
      </c>
      <c r="C37" s="3" t="s">
        <v>3141</v>
      </c>
      <c r="D37" t="s">
        <v>3160</v>
      </c>
      <c r="E37" t="s">
        <v>4507</v>
      </c>
      <c r="F37" t="s">
        <v>3162</v>
      </c>
      <c r="G37" t="s">
        <v>3161</v>
      </c>
      <c r="H37">
        <v>6241</v>
      </c>
      <c r="I37" s="72">
        <v>43675</v>
      </c>
    </row>
    <row r="38" spans="1:12" x14ac:dyDescent="0.25">
      <c r="A38" s="72">
        <v>43679</v>
      </c>
      <c r="B38" s="3">
        <v>15348</v>
      </c>
      <c r="C38" s="3" t="s">
        <v>3141</v>
      </c>
      <c r="D38" t="s">
        <v>3163</v>
      </c>
      <c r="E38" t="s">
        <v>4651</v>
      </c>
      <c r="F38" t="s">
        <v>3164</v>
      </c>
      <c r="G38" t="s">
        <v>3139</v>
      </c>
      <c r="H38">
        <v>8041</v>
      </c>
      <c r="I38" s="72">
        <v>43664</v>
      </c>
    </row>
    <row r="39" spans="1:12" x14ac:dyDescent="0.25">
      <c r="A39" s="72">
        <v>43679</v>
      </c>
      <c r="B39" s="3">
        <v>5001.1499999999996</v>
      </c>
      <c r="C39" s="3" t="s">
        <v>3382</v>
      </c>
      <c r="D39" t="s">
        <v>3383</v>
      </c>
      <c r="F39" t="s">
        <v>3164</v>
      </c>
      <c r="G39" t="s">
        <v>3139</v>
      </c>
      <c r="H39">
        <v>8085</v>
      </c>
      <c r="I39" s="72">
        <v>43677</v>
      </c>
    </row>
    <row r="40" spans="1:12" x14ac:dyDescent="0.25">
      <c r="A40" s="72">
        <v>43686</v>
      </c>
      <c r="B40" s="3">
        <v>52920</v>
      </c>
      <c r="C40" s="3" t="s">
        <v>3382</v>
      </c>
      <c r="D40" t="s">
        <v>4820</v>
      </c>
      <c r="E40" t="s">
        <v>4719</v>
      </c>
      <c r="F40" t="s">
        <v>4821</v>
      </c>
      <c r="G40" t="s">
        <v>3139</v>
      </c>
      <c r="H40">
        <v>867</v>
      </c>
      <c r="I40" s="72">
        <v>43671</v>
      </c>
    </row>
    <row r="41" spans="1:12" x14ac:dyDescent="0.25">
      <c r="A41" s="210">
        <v>43692</v>
      </c>
      <c r="B41" s="193">
        <v>25543.4</v>
      </c>
      <c r="C41" s="193" t="s">
        <v>3141</v>
      </c>
      <c r="D41" s="191" t="s">
        <v>3163</v>
      </c>
      <c r="E41" s="191" t="s">
        <v>4653</v>
      </c>
      <c r="F41" s="191" t="s">
        <v>3164</v>
      </c>
      <c r="G41" s="191" t="s">
        <v>3139</v>
      </c>
      <c r="H41" s="191">
        <v>8094</v>
      </c>
      <c r="I41" s="210">
        <v>43679</v>
      </c>
    </row>
    <row r="42" spans="1:12" x14ac:dyDescent="0.25">
      <c r="A42" s="282">
        <v>43705</v>
      </c>
      <c r="B42" s="50">
        <v>16305.8</v>
      </c>
      <c r="C42" s="50" t="s">
        <v>3141</v>
      </c>
      <c r="D42" s="37" t="s">
        <v>3163</v>
      </c>
      <c r="E42" s="37" t="s">
        <v>4782</v>
      </c>
      <c r="F42" s="37" t="s">
        <v>3164</v>
      </c>
      <c r="G42" s="37" t="s">
        <v>3139</v>
      </c>
      <c r="H42" s="37">
        <v>8154</v>
      </c>
      <c r="I42" s="282">
        <v>43692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O468"/>
  <sheetViews>
    <sheetView topLeftCell="A406" workbookViewId="0">
      <selection activeCell="A428" sqref="A428"/>
    </sheetView>
  </sheetViews>
  <sheetFormatPr baseColWidth="10" defaultRowHeight="15" x14ac:dyDescent="0.25"/>
  <cols>
    <col min="1" max="1" width="4.140625" customWidth="1"/>
    <col min="2" max="2" width="5.140625" customWidth="1"/>
    <col min="3" max="3" width="14.28515625" customWidth="1"/>
    <col min="4" max="4" width="31.28515625" bestFit="1" customWidth="1"/>
    <col min="5" max="5" width="14.7109375" bestFit="1" customWidth="1"/>
    <col min="6" max="6" width="30.28515625" bestFit="1" customWidth="1"/>
    <col min="7" max="7" width="16.28515625" customWidth="1"/>
    <col min="8" max="8" width="15.140625" bestFit="1" customWidth="1"/>
  </cols>
  <sheetData>
    <row r="5" spans="1:10" x14ac:dyDescent="0.25">
      <c r="A5" t="s">
        <v>49</v>
      </c>
    </row>
    <row r="6" spans="1:10" x14ac:dyDescent="0.25">
      <c r="A6" s="48" t="s">
        <v>43</v>
      </c>
      <c r="B6" s="49">
        <v>26</v>
      </c>
      <c r="C6" s="50">
        <f>747037.5+18541.44</f>
        <v>765578.94</v>
      </c>
      <c r="D6" t="s">
        <v>50</v>
      </c>
      <c r="E6" t="s">
        <v>51</v>
      </c>
      <c r="F6" t="s">
        <v>52</v>
      </c>
    </row>
    <row r="7" spans="1:10" x14ac:dyDescent="0.25">
      <c r="A7" t="s">
        <v>43</v>
      </c>
      <c r="B7" s="49">
        <v>26</v>
      </c>
      <c r="C7" s="51">
        <f>116875+3340.8</f>
        <v>120215.8</v>
      </c>
      <c r="D7" s="52" t="s">
        <v>53</v>
      </c>
      <c r="E7" s="52" t="s">
        <v>54</v>
      </c>
      <c r="F7" s="52" t="s">
        <v>52</v>
      </c>
      <c r="G7" s="53">
        <v>43461</v>
      </c>
      <c r="H7" s="52" t="s">
        <v>55</v>
      </c>
    </row>
    <row r="8" spans="1:10" x14ac:dyDescent="0.25">
      <c r="A8" t="s">
        <v>43</v>
      </c>
      <c r="B8" s="49">
        <v>26</v>
      </c>
      <c r="C8" s="3">
        <v>688015.97</v>
      </c>
      <c r="D8" t="s">
        <v>56</v>
      </c>
      <c r="E8" t="s">
        <v>57</v>
      </c>
      <c r="F8" t="s">
        <v>58</v>
      </c>
      <c r="G8">
        <v>39.5</v>
      </c>
    </row>
    <row r="9" spans="1:10" x14ac:dyDescent="0.25">
      <c r="A9" t="s">
        <v>59</v>
      </c>
      <c r="B9" s="49">
        <v>27</v>
      </c>
      <c r="C9" s="54">
        <f>21000*G9</f>
        <v>418173</v>
      </c>
      <c r="D9" s="55" t="s">
        <v>60</v>
      </c>
      <c r="E9" s="55"/>
      <c r="F9" s="55" t="s">
        <v>61</v>
      </c>
      <c r="G9" s="56">
        <v>19.913</v>
      </c>
      <c r="H9" s="55"/>
      <c r="I9" s="57">
        <v>43461</v>
      </c>
      <c r="J9" s="55" t="s">
        <v>62</v>
      </c>
    </row>
    <row r="10" spans="1:10" x14ac:dyDescent="0.25">
      <c r="A10" t="s">
        <v>59</v>
      </c>
      <c r="B10" s="49">
        <v>27</v>
      </c>
      <c r="C10" s="51">
        <f>25558.7*G10</f>
        <v>508950.39310000004</v>
      </c>
      <c r="D10" s="52" t="s">
        <v>63</v>
      </c>
      <c r="E10" s="52" t="s">
        <v>64</v>
      </c>
      <c r="F10" s="52" t="s">
        <v>65</v>
      </c>
      <c r="G10" s="58">
        <v>19.913</v>
      </c>
      <c r="H10" s="52">
        <v>34.65</v>
      </c>
      <c r="I10" s="53">
        <v>43461</v>
      </c>
      <c r="J10" s="52" t="s">
        <v>62</v>
      </c>
    </row>
    <row r="11" spans="1:10" x14ac:dyDescent="0.25">
      <c r="A11" t="s">
        <v>59</v>
      </c>
      <c r="B11" s="49">
        <v>27</v>
      </c>
      <c r="C11" s="50">
        <f>761600+18374.4</f>
        <v>779974.4</v>
      </c>
      <c r="D11" t="s">
        <v>66</v>
      </c>
      <c r="E11" t="s">
        <v>67</v>
      </c>
      <c r="F11" t="s">
        <v>52</v>
      </c>
      <c r="G11" s="59"/>
    </row>
    <row r="12" spans="1:10" x14ac:dyDescent="0.25">
      <c r="A12" t="s">
        <v>59</v>
      </c>
      <c r="B12" s="49">
        <v>27</v>
      </c>
      <c r="C12" s="51">
        <f>455560+10857.6</f>
        <v>466417.6</v>
      </c>
      <c r="D12" s="52" t="s">
        <v>68</v>
      </c>
      <c r="E12" s="52" t="s">
        <v>69</v>
      </c>
      <c r="F12" s="52" t="s">
        <v>52</v>
      </c>
      <c r="G12" s="53">
        <v>43461</v>
      </c>
      <c r="H12" s="52" t="s">
        <v>55</v>
      </c>
    </row>
    <row r="13" spans="1:10" x14ac:dyDescent="0.25">
      <c r="A13" t="s">
        <v>70</v>
      </c>
      <c r="B13" s="49">
        <v>28</v>
      </c>
      <c r="C13" s="51">
        <f>20603.5*36.4</f>
        <v>749967.4</v>
      </c>
      <c r="D13" s="52" t="s">
        <v>71</v>
      </c>
      <c r="E13" s="52" t="s">
        <v>72</v>
      </c>
      <c r="F13" s="52" t="s">
        <v>73</v>
      </c>
      <c r="G13" s="60">
        <v>43462</v>
      </c>
      <c r="H13" s="52" t="s">
        <v>55</v>
      </c>
    </row>
    <row r="14" spans="1:10" x14ac:dyDescent="0.25">
      <c r="A14" t="s">
        <v>70</v>
      </c>
      <c r="B14" s="49">
        <v>28</v>
      </c>
      <c r="C14" s="51">
        <f>399700+10857.6</f>
        <v>410557.6</v>
      </c>
      <c r="D14" s="52" t="s">
        <v>74</v>
      </c>
      <c r="E14" s="52" t="s">
        <v>75</v>
      </c>
      <c r="F14" s="52" t="s">
        <v>52</v>
      </c>
      <c r="G14" s="53">
        <v>43461</v>
      </c>
      <c r="H14" s="52" t="s">
        <v>55</v>
      </c>
    </row>
    <row r="15" spans="1:10" x14ac:dyDescent="0.25">
      <c r="A15" t="s">
        <v>70</v>
      </c>
      <c r="B15" s="49">
        <v>28</v>
      </c>
      <c r="C15" s="51">
        <f>25250.38*G15</f>
        <v>498619.25386</v>
      </c>
      <c r="D15" s="52" t="s">
        <v>76</v>
      </c>
      <c r="E15" s="52" t="s">
        <v>77</v>
      </c>
      <c r="F15" s="52" t="s">
        <v>78</v>
      </c>
      <c r="G15" s="58">
        <v>19.747</v>
      </c>
      <c r="H15" s="52">
        <v>34.270000000000003</v>
      </c>
      <c r="I15" s="53">
        <v>43432</v>
      </c>
    </row>
    <row r="16" spans="1:10" x14ac:dyDescent="0.25">
      <c r="A16" t="s">
        <v>70</v>
      </c>
      <c r="B16" s="49">
        <v>28</v>
      </c>
      <c r="C16" s="51">
        <f>25198.78*G16</f>
        <v>497625.50744000002</v>
      </c>
      <c r="D16" s="52" t="s">
        <v>79</v>
      </c>
      <c r="E16" s="52" t="s">
        <v>80</v>
      </c>
      <c r="F16" s="52" t="s">
        <v>81</v>
      </c>
      <c r="G16" s="58">
        <v>19.748000000000001</v>
      </c>
      <c r="H16" s="52">
        <v>34.29</v>
      </c>
      <c r="I16" s="53">
        <v>43432</v>
      </c>
    </row>
    <row r="17" spans="1:10" x14ac:dyDescent="0.25">
      <c r="A17" t="s">
        <v>70</v>
      </c>
      <c r="B17" s="49">
        <v>28</v>
      </c>
      <c r="C17" s="51">
        <f>22649.79*G17</f>
        <v>447084.20481000002</v>
      </c>
      <c r="D17" s="52" t="s">
        <v>82</v>
      </c>
      <c r="E17" s="52" t="s">
        <v>83</v>
      </c>
      <c r="F17" s="52" t="s">
        <v>84</v>
      </c>
      <c r="G17" s="58">
        <v>19.739000000000001</v>
      </c>
      <c r="H17" s="52">
        <v>32.1</v>
      </c>
      <c r="I17" s="53">
        <v>43462</v>
      </c>
    </row>
    <row r="18" spans="1:10" x14ac:dyDescent="0.25">
      <c r="A18" t="s">
        <v>70</v>
      </c>
      <c r="B18" s="49">
        <v>28</v>
      </c>
      <c r="C18" s="51">
        <v>35893.65</v>
      </c>
      <c r="D18" s="52" t="s">
        <v>85</v>
      </c>
      <c r="E18" s="52" t="s">
        <v>86</v>
      </c>
      <c r="F18" s="52" t="s">
        <v>87</v>
      </c>
      <c r="G18" s="58">
        <v>19.5</v>
      </c>
      <c r="H18" s="53">
        <v>43465</v>
      </c>
      <c r="I18" s="53" t="s">
        <v>88</v>
      </c>
    </row>
    <row r="19" spans="1:10" x14ac:dyDescent="0.25">
      <c r="A19" s="37" t="s">
        <v>89</v>
      </c>
      <c r="B19" s="49">
        <v>29</v>
      </c>
      <c r="C19" s="3"/>
    </row>
    <row r="20" spans="1:10" x14ac:dyDescent="0.25">
      <c r="A20" s="37" t="s">
        <v>90</v>
      </c>
      <c r="B20" s="49">
        <v>30</v>
      </c>
      <c r="C20" s="3"/>
    </row>
    <row r="21" spans="1:10" x14ac:dyDescent="0.25">
      <c r="A21" t="s">
        <v>91</v>
      </c>
      <c r="B21" s="49">
        <v>31</v>
      </c>
      <c r="C21" s="54">
        <f>23000*G21</f>
        <v>453330</v>
      </c>
      <c r="D21" s="55" t="s">
        <v>92</v>
      </c>
      <c r="E21" s="55"/>
      <c r="F21" s="55" t="s">
        <v>93</v>
      </c>
      <c r="G21" s="56">
        <v>19.71</v>
      </c>
      <c r="H21" s="55"/>
      <c r="I21" s="57">
        <v>43465</v>
      </c>
      <c r="J21" s="55" t="s">
        <v>62</v>
      </c>
    </row>
    <row r="22" spans="1:10" x14ac:dyDescent="0.25">
      <c r="A22" t="s">
        <v>91</v>
      </c>
      <c r="B22" s="49">
        <v>31</v>
      </c>
      <c r="C22" s="51">
        <f>23846.32*G22</f>
        <v>469295.57759999996</v>
      </c>
      <c r="D22" s="52" t="s">
        <v>94</v>
      </c>
      <c r="E22" s="52" t="s">
        <v>95</v>
      </c>
      <c r="F22" s="52" t="s">
        <v>96</v>
      </c>
      <c r="G22" s="58">
        <v>19.68</v>
      </c>
      <c r="H22" s="52">
        <v>34.04</v>
      </c>
      <c r="I22" s="53">
        <v>43465</v>
      </c>
      <c r="J22" s="52" t="s">
        <v>62</v>
      </c>
    </row>
    <row r="23" spans="1:10" x14ac:dyDescent="0.25">
      <c r="A23" t="s">
        <v>91</v>
      </c>
      <c r="B23" s="49">
        <v>31</v>
      </c>
      <c r="C23" s="51">
        <f>22665.22*G23</f>
        <v>446867.47752000007</v>
      </c>
      <c r="D23" s="52" t="s">
        <v>97</v>
      </c>
      <c r="E23" s="52" t="s">
        <v>98</v>
      </c>
      <c r="F23" s="52" t="s">
        <v>99</v>
      </c>
      <c r="G23" s="58">
        <v>19.716000000000001</v>
      </c>
      <c r="H23" s="52">
        <v>31.97</v>
      </c>
      <c r="I23" s="53">
        <v>43465</v>
      </c>
      <c r="J23" s="52" t="s">
        <v>62</v>
      </c>
    </row>
    <row r="24" spans="1:10" x14ac:dyDescent="0.25">
      <c r="A24" t="s">
        <v>91</v>
      </c>
      <c r="B24" s="49">
        <v>31</v>
      </c>
      <c r="C24" s="51">
        <f>23180.3*G24</f>
        <v>456883.71299999999</v>
      </c>
      <c r="D24" s="52" t="s">
        <v>100</v>
      </c>
      <c r="E24" s="52" t="s">
        <v>101</v>
      </c>
      <c r="F24" s="52" t="s">
        <v>102</v>
      </c>
      <c r="G24" s="51">
        <v>19.71</v>
      </c>
      <c r="H24" s="52">
        <v>31.13</v>
      </c>
      <c r="I24" s="53">
        <v>43465</v>
      </c>
      <c r="J24" s="52" t="s">
        <v>62</v>
      </c>
    </row>
    <row r="25" spans="1:10" x14ac:dyDescent="0.25">
      <c r="A25" t="s">
        <v>91</v>
      </c>
      <c r="B25" s="49">
        <v>31</v>
      </c>
      <c r="C25" s="51">
        <f>23015.57*G25</f>
        <v>453636.8847</v>
      </c>
      <c r="D25" s="52" t="s">
        <v>103</v>
      </c>
      <c r="E25" s="52" t="s">
        <v>104</v>
      </c>
      <c r="F25" s="52" t="s">
        <v>105</v>
      </c>
      <c r="G25" s="51">
        <v>19.71</v>
      </c>
      <c r="H25" s="52">
        <v>31.17</v>
      </c>
      <c r="I25" s="53">
        <v>43465</v>
      </c>
      <c r="J25" s="52" t="s">
        <v>62</v>
      </c>
    </row>
    <row r="26" spans="1:10" x14ac:dyDescent="0.25">
      <c r="A26" t="s">
        <v>91</v>
      </c>
      <c r="B26" s="49">
        <v>31</v>
      </c>
      <c r="C26" s="51">
        <v>42722.76</v>
      </c>
      <c r="D26" s="52" t="s">
        <v>106</v>
      </c>
      <c r="E26" s="52" t="s">
        <v>107</v>
      </c>
      <c r="F26" s="52" t="s">
        <v>108</v>
      </c>
      <c r="G26" s="52" t="s">
        <v>109</v>
      </c>
      <c r="H26" s="53">
        <v>43465</v>
      </c>
      <c r="I26" s="53" t="s">
        <v>88</v>
      </c>
    </row>
    <row r="27" spans="1:10" x14ac:dyDescent="0.25">
      <c r="A27" t="s">
        <v>91</v>
      </c>
      <c r="B27" s="49">
        <v>31</v>
      </c>
      <c r="C27" s="51">
        <f>729680+18457.92</f>
        <v>748137.92</v>
      </c>
      <c r="D27" s="52" t="s">
        <v>110</v>
      </c>
      <c r="E27" s="52" t="s">
        <v>111</v>
      </c>
      <c r="F27" s="52" t="s">
        <v>52</v>
      </c>
      <c r="G27" s="60">
        <v>43462</v>
      </c>
      <c r="H27" s="52" t="s">
        <v>55</v>
      </c>
    </row>
    <row r="28" spans="1:10" x14ac:dyDescent="0.25">
      <c r="A28" t="s">
        <v>91</v>
      </c>
      <c r="B28" s="49">
        <v>31</v>
      </c>
      <c r="C28" s="51">
        <f>134400+3340</f>
        <v>137740</v>
      </c>
      <c r="D28" s="52" t="s">
        <v>112</v>
      </c>
      <c r="E28" s="52" t="s">
        <v>113</v>
      </c>
      <c r="F28" s="52" t="s">
        <v>52</v>
      </c>
      <c r="G28" s="60">
        <v>43462</v>
      </c>
      <c r="H28" s="52" t="s">
        <v>55</v>
      </c>
    </row>
    <row r="29" spans="1:10" x14ac:dyDescent="0.25">
      <c r="A29" t="s">
        <v>91</v>
      </c>
      <c r="B29" s="49">
        <v>31</v>
      </c>
      <c r="C29" s="51">
        <f>750400+18290.88</f>
        <v>768690.88</v>
      </c>
      <c r="D29" s="52" t="s">
        <v>114</v>
      </c>
      <c r="E29" s="52" t="s">
        <v>115</v>
      </c>
      <c r="F29" s="52" t="s">
        <v>52</v>
      </c>
      <c r="G29" s="53">
        <v>43465</v>
      </c>
      <c r="H29" s="52" t="s">
        <v>55</v>
      </c>
    </row>
    <row r="30" spans="1:10" x14ac:dyDescent="0.25">
      <c r="A30" t="s">
        <v>91</v>
      </c>
      <c r="B30" s="49">
        <v>31</v>
      </c>
      <c r="C30" s="51">
        <f>94220+2505.6</f>
        <v>96725.6</v>
      </c>
      <c r="D30" s="52" t="s">
        <v>116</v>
      </c>
      <c r="E30" s="52" t="s">
        <v>117</v>
      </c>
      <c r="F30" s="52" t="s">
        <v>52</v>
      </c>
      <c r="G30" s="53">
        <v>43465</v>
      </c>
      <c r="H30" s="52" t="s">
        <v>55</v>
      </c>
    </row>
    <row r="31" spans="1:10" x14ac:dyDescent="0.25">
      <c r="A31" t="s">
        <v>91</v>
      </c>
      <c r="B31" s="49">
        <v>31</v>
      </c>
      <c r="C31" s="51">
        <v>70616</v>
      </c>
      <c r="D31" s="52" t="s">
        <v>118</v>
      </c>
      <c r="E31" s="52" t="s">
        <v>119</v>
      </c>
      <c r="F31" s="52" t="s">
        <v>120</v>
      </c>
      <c r="G31" s="53">
        <v>43465</v>
      </c>
      <c r="H31" s="52" t="s">
        <v>55</v>
      </c>
    </row>
    <row r="32" spans="1:10" x14ac:dyDescent="0.25">
      <c r="A32" s="61" t="s">
        <v>121</v>
      </c>
      <c r="C32" s="3"/>
    </row>
    <row r="33" spans="1:11" x14ac:dyDescent="0.25">
      <c r="A33" t="s">
        <v>122</v>
      </c>
      <c r="B33" s="49">
        <v>1</v>
      </c>
      <c r="C33" s="3" t="s">
        <v>123</v>
      </c>
    </row>
    <row r="34" spans="1:11" x14ac:dyDescent="0.25">
      <c r="A34" t="s">
        <v>43</v>
      </c>
      <c r="B34" s="49">
        <v>2</v>
      </c>
      <c r="C34" s="54">
        <f>22500*G34</f>
        <v>443025</v>
      </c>
      <c r="D34" s="55" t="s">
        <v>124</v>
      </c>
      <c r="E34" s="55"/>
      <c r="F34" s="55" t="s">
        <v>125</v>
      </c>
      <c r="G34" s="56">
        <v>19.690000000000001</v>
      </c>
      <c r="H34" s="55"/>
      <c r="I34" s="57">
        <v>43467</v>
      </c>
      <c r="J34" s="55" t="s">
        <v>62</v>
      </c>
    </row>
    <row r="35" spans="1:11" x14ac:dyDescent="0.25">
      <c r="A35" t="s">
        <v>43</v>
      </c>
      <c r="B35" s="49">
        <v>2</v>
      </c>
      <c r="C35" s="54">
        <f>22500*G35</f>
        <v>443025</v>
      </c>
      <c r="D35" s="55" t="s">
        <v>126</v>
      </c>
      <c r="E35" s="55"/>
      <c r="F35" s="55" t="s">
        <v>125</v>
      </c>
      <c r="G35" s="56">
        <v>19.690000000000001</v>
      </c>
      <c r="H35" s="55"/>
      <c r="I35" s="57">
        <v>43467</v>
      </c>
      <c r="J35" s="55" t="s">
        <v>62</v>
      </c>
    </row>
    <row r="36" spans="1:11" x14ac:dyDescent="0.25">
      <c r="A36" t="s">
        <v>43</v>
      </c>
      <c r="B36" s="49">
        <v>2</v>
      </c>
      <c r="C36" s="51">
        <f>720720+18374.4</f>
        <v>739094.4</v>
      </c>
      <c r="D36" s="52" t="s">
        <v>127</v>
      </c>
      <c r="E36" s="52" t="s">
        <v>128</v>
      </c>
      <c r="F36" s="52" t="s">
        <v>52</v>
      </c>
      <c r="G36" s="53">
        <v>43465</v>
      </c>
      <c r="H36" s="52" t="s">
        <v>55</v>
      </c>
    </row>
    <row r="37" spans="1:11" x14ac:dyDescent="0.25">
      <c r="A37" t="s">
        <v>43</v>
      </c>
      <c r="B37" s="49">
        <v>2</v>
      </c>
      <c r="C37" s="51">
        <f>97020+2505.6</f>
        <v>99525.6</v>
      </c>
      <c r="D37" s="52" t="s">
        <v>129</v>
      </c>
      <c r="E37" s="52" t="s">
        <v>130</v>
      </c>
      <c r="F37" s="52" t="s">
        <v>52</v>
      </c>
      <c r="G37" s="53">
        <v>43465</v>
      </c>
      <c r="H37" s="52" t="s">
        <v>55</v>
      </c>
    </row>
    <row r="38" spans="1:11" x14ac:dyDescent="0.25">
      <c r="A38" t="s">
        <v>43</v>
      </c>
      <c r="B38" s="49">
        <v>2</v>
      </c>
      <c r="C38" s="51">
        <f>770840+19293.12</f>
        <v>790133.12</v>
      </c>
      <c r="D38" s="52" t="s">
        <v>131</v>
      </c>
      <c r="E38" s="52" t="s">
        <v>132</v>
      </c>
      <c r="F38" s="52" t="s">
        <v>52</v>
      </c>
      <c r="G38" s="53">
        <v>43465</v>
      </c>
      <c r="H38" s="52" t="s">
        <v>55</v>
      </c>
    </row>
    <row r="39" spans="1:11" x14ac:dyDescent="0.25">
      <c r="A39" t="s">
        <v>43</v>
      </c>
      <c r="B39" s="49">
        <v>2</v>
      </c>
      <c r="C39" s="51">
        <f>64820+1670.4</f>
        <v>66490.399999999994</v>
      </c>
      <c r="D39" s="52" t="s">
        <v>133</v>
      </c>
      <c r="E39" s="52" t="s">
        <v>134</v>
      </c>
      <c r="F39" s="52" t="s">
        <v>52</v>
      </c>
      <c r="G39" s="53">
        <v>43465</v>
      </c>
      <c r="H39" s="52" t="s">
        <v>55</v>
      </c>
    </row>
    <row r="40" spans="1:11" x14ac:dyDescent="0.25">
      <c r="A40" t="s">
        <v>59</v>
      </c>
      <c r="B40" s="49">
        <v>3</v>
      </c>
      <c r="C40" s="51">
        <f>764260+18374.4</f>
        <v>782634.4</v>
      </c>
      <c r="D40" s="52" t="s">
        <v>135</v>
      </c>
      <c r="E40" s="52" t="s">
        <v>136</v>
      </c>
      <c r="F40" s="52" t="s">
        <v>52</v>
      </c>
      <c r="G40" s="53">
        <v>43465</v>
      </c>
      <c r="H40" s="52" t="s">
        <v>55</v>
      </c>
    </row>
    <row r="41" spans="1:11" x14ac:dyDescent="0.25">
      <c r="A41" t="s">
        <v>59</v>
      </c>
      <c r="B41" s="49">
        <v>3</v>
      </c>
      <c r="C41" s="51">
        <f>528220+13363.2</f>
        <v>541583.19999999995</v>
      </c>
      <c r="D41" s="52" t="s">
        <v>135</v>
      </c>
      <c r="E41" s="52" t="s">
        <v>137</v>
      </c>
      <c r="F41" s="52" t="s">
        <v>52</v>
      </c>
      <c r="G41" s="53">
        <v>43465</v>
      </c>
      <c r="H41" s="52" t="s">
        <v>55</v>
      </c>
      <c r="K41" s="62"/>
    </row>
    <row r="42" spans="1:11" x14ac:dyDescent="0.25">
      <c r="A42" t="s">
        <v>59</v>
      </c>
      <c r="B42" s="49">
        <v>3</v>
      </c>
      <c r="C42" s="63"/>
      <c r="D42" s="64" t="s">
        <v>138</v>
      </c>
      <c r="E42" s="64"/>
      <c r="F42" s="64"/>
      <c r="G42" s="65">
        <v>20.7</v>
      </c>
      <c r="H42" s="64"/>
      <c r="I42" s="64"/>
      <c r="J42" s="64"/>
      <c r="K42" s="62"/>
    </row>
    <row r="43" spans="1:11" x14ac:dyDescent="0.25">
      <c r="A43" t="s">
        <v>59</v>
      </c>
      <c r="B43" s="49">
        <v>3</v>
      </c>
      <c r="C43" s="3"/>
      <c r="D43" t="s">
        <v>139</v>
      </c>
      <c r="G43" s="50">
        <v>20.7</v>
      </c>
    </row>
    <row r="44" spans="1:11" x14ac:dyDescent="0.25">
      <c r="B44" s="49"/>
      <c r="C44" s="3">
        <f>23322.69*G44</f>
        <v>482779.68299999996</v>
      </c>
      <c r="D44" t="s">
        <v>140</v>
      </c>
      <c r="E44" t="s">
        <v>141</v>
      </c>
      <c r="F44" t="s">
        <v>142</v>
      </c>
      <c r="G44" s="50">
        <v>20.7</v>
      </c>
    </row>
    <row r="45" spans="1:11" x14ac:dyDescent="0.25">
      <c r="A45" t="s">
        <v>59</v>
      </c>
      <c r="B45" s="49">
        <v>3</v>
      </c>
      <c r="C45" s="3">
        <f>23473.46*G45</f>
        <v>485900.62199999997</v>
      </c>
      <c r="D45" t="s">
        <v>143</v>
      </c>
      <c r="E45" t="s">
        <v>144</v>
      </c>
      <c r="F45" t="s">
        <v>145</v>
      </c>
      <c r="G45" s="50">
        <v>20.7</v>
      </c>
    </row>
    <row r="46" spans="1:11" x14ac:dyDescent="0.25">
      <c r="A46" t="s">
        <v>59</v>
      </c>
      <c r="B46" s="49">
        <v>3</v>
      </c>
      <c r="C46" s="3"/>
    </row>
    <row r="47" spans="1:11" x14ac:dyDescent="0.25">
      <c r="A47" t="s">
        <v>70</v>
      </c>
      <c r="B47" s="49">
        <v>4</v>
      </c>
      <c r="C47" s="51">
        <v>16632.599999999999</v>
      </c>
      <c r="D47" s="52" t="s">
        <v>146</v>
      </c>
      <c r="E47" s="52" t="s">
        <v>147</v>
      </c>
      <c r="F47" s="52" t="s">
        <v>87</v>
      </c>
      <c r="G47" s="51">
        <v>19</v>
      </c>
      <c r="H47" s="53">
        <v>43465</v>
      </c>
      <c r="I47" s="53" t="s">
        <v>88</v>
      </c>
    </row>
    <row r="48" spans="1:11" x14ac:dyDescent="0.25">
      <c r="A48" t="s">
        <v>70</v>
      </c>
      <c r="B48" s="49">
        <v>4</v>
      </c>
      <c r="C48" s="3"/>
      <c r="D48" t="s">
        <v>148</v>
      </c>
      <c r="G48" s="50">
        <v>20.7</v>
      </c>
    </row>
    <row r="49" spans="1:10" x14ac:dyDescent="0.25">
      <c r="A49" t="s">
        <v>70</v>
      </c>
      <c r="B49" s="66">
        <v>4</v>
      </c>
      <c r="C49" s="50">
        <v>947926.9</v>
      </c>
      <c r="D49" t="s">
        <v>149</v>
      </c>
      <c r="E49" t="s">
        <v>150</v>
      </c>
      <c r="F49" t="s">
        <v>73</v>
      </c>
      <c r="G49" s="50" t="s">
        <v>151</v>
      </c>
    </row>
    <row r="50" spans="1:10" x14ac:dyDescent="0.25">
      <c r="A50" t="s">
        <v>70</v>
      </c>
      <c r="B50" s="49">
        <v>4</v>
      </c>
      <c r="C50" s="51">
        <f>715680+18374.4</f>
        <v>734054.40000000002</v>
      </c>
      <c r="D50" s="52" t="s">
        <v>152</v>
      </c>
      <c r="E50" s="52" t="s">
        <v>153</v>
      </c>
      <c r="F50" s="52" t="s">
        <v>52</v>
      </c>
      <c r="G50" s="53">
        <v>43465</v>
      </c>
      <c r="H50" s="52" t="s">
        <v>55</v>
      </c>
    </row>
    <row r="51" spans="1:10" x14ac:dyDescent="0.25">
      <c r="A51" t="s">
        <v>70</v>
      </c>
      <c r="B51" s="49">
        <v>4</v>
      </c>
      <c r="C51" s="51">
        <f>105700+2505.6</f>
        <v>108205.6</v>
      </c>
      <c r="D51" s="52" t="s">
        <v>154</v>
      </c>
      <c r="E51" s="52" t="s">
        <v>155</v>
      </c>
      <c r="F51" s="52" t="s">
        <v>52</v>
      </c>
      <c r="G51" s="53">
        <v>43465</v>
      </c>
      <c r="H51" s="52" t="s">
        <v>55</v>
      </c>
    </row>
    <row r="52" spans="1:10" x14ac:dyDescent="0.25">
      <c r="A52" t="s">
        <v>70</v>
      </c>
      <c r="B52" s="49">
        <v>4</v>
      </c>
      <c r="C52" s="51">
        <f>715680+18290.88</f>
        <v>733970.88</v>
      </c>
      <c r="D52" s="52" t="s">
        <v>156</v>
      </c>
      <c r="E52" s="52" t="s">
        <v>157</v>
      </c>
      <c r="F52" s="52" t="s">
        <v>52</v>
      </c>
      <c r="G52" s="53">
        <v>43465</v>
      </c>
      <c r="H52" s="52" t="s">
        <v>55</v>
      </c>
    </row>
    <row r="53" spans="1:10" x14ac:dyDescent="0.25">
      <c r="A53" t="s">
        <v>70</v>
      </c>
      <c r="B53" s="49">
        <v>4</v>
      </c>
      <c r="C53" s="51">
        <f>93800+2505.6</f>
        <v>96305.600000000006</v>
      </c>
      <c r="D53" s="52" t="s">
        <v>156</v>
      </c>
      <c r="E53" s="52" t="s">
        <v>158</v>
      </c>
      <c r="F53" s="52" t="s">
        <v>52</v>
      </c>
      <c r="G53" s="53">
        <v>43465</v>
      </c>
      <c r="H53" s="52" t="s">
        <v>55</v>
      </c>
    </row>
    <row r="54" spans="1:10" x14ac:dyDescent="0.25">
      <c r="A54" t="s">
        <v>70</v>
      </c>
      <c r="B54" s="49">
        <v>4</v>
      </c>
      <c r="C54" s="51">
        <f>655900+16704</f>
        <v>672604</v>
      </c>
      <c r="D54" s="52" t="s">
        <v>156</v>
      </c>
      <c r="E54" s="52" t="s">
        <v>159</v>
      </c>
      <c r="F54" s="52" t="s">
        <v>52</v>
      </c>
      <c r="G54" s="53">
        <v>43465</v>
      </c>
      <c r="H54" s="52" t="s">
        <v>55</v>
      </c>
    </row>
    <row r="55" spans="1:10" x14ac:dyDescent="0.25">
      <c r="A55" s="37" t="s">
        <v>89</v>
      </c>
      <c r="B55" s="49">
        <v>5</v>
      </c>
      <c r="C55" s="3"/>
    </row>
    <row r="56" spans="1:10" x14ac:dyDescent="0.25">
      <c r="A56" s="37" t="s">
        <v>90</v>
      </c>
      <c r="B56" s="49">
        <v>6</v>
      </c>
      <c r="C56" s="3"/>
    </row>
    <row r="57" spans="1:10" x14ac:dyDescent="0.25">
      <c r="A57" t="s">
        <v>91</v>
      </c>
      <c r="B57" s="49">
        <v>7</v>
      </c>
      <c r="C57" s="63"/>
      <c r="D57" s="64" t="s">
        <v>160</v>
      </c>
      <c r="E57" s="64"/>
      <c r="F57" s="64"/>
      <c r="G57" s="65">
        <v>20.7</v>
      </c>
      <c r="H57" s="64"/>
      <c r="I57" s="64"/>
      <c r="J57" s="64"/>
    </row>
    <row r="58" spans="1:10" x14ac:dyDescent="0.25">
      <c r="A58" t="s">
        <v>91</v>
      </c>
      <c r="B58" s="49">
        <v>7</v>
      </c>
      <c r="C58" s="3">
        <v>299109.18</v>
      </c>
      <c r="D58" t="s">
        <v>161</v>
      </c>
      <c r="E58" t="s">
        <v>162</v>
      </c>
      <c r="F58" t="s">
        <v>163</v>
      </c>
      <c r="G58" s="67">
        <v>35.5</v>
      </c>
    </row>
    <row r="59" spans="1:10" x14ac:dyDescent="0.25">
      <c r="A59" t="s">
        <v>91</v>
      </c>
      <c r="B59" s="49">
        <v>7</v>
      </c>
      <c r="C59" s="50">
        <f>667520+18374.4</f>
        <v>685894.4</v>
      </c>
      <c r="D59" t="s">
        <v>164</v>
      </c>
      <c r="E59" t="s">
        <v>165</v>
      </c>
      <c r="F59" t="s">
        <v>52</v>
      </c>
    </row>
    <row r="60" spans="1:10" x14ac:dyDescent="0.25">
      <c r="A60" t="s">
        <v>91</v>
      </c>
      <c r="B60" s="49">
        <v>7</v>
      </c>
      <c r="C60" s="50">
        <f>486640+13363.2</f>
        <v>500003.2</v>
      </c>
      <c r="D60" t="s">
        <v>164</v>
      </c>
      <c r="E60" t="s">
        <v>166</v>
      </c>
      <c r="F60" t="s">
        <v>52</v>
      </c>
    </row>
    <row r="61" spans="1:10" x14ac:dyDescent="0.25">
      <c r="A61" t="s">
        <v>91</v>
      </c>
      <c r="B61" s="49">
        <v>7</v>
      </c>
      <c r="C61" s="3">
        <f>542220+13279.68</f>
        <v>555499.68000000005</v>
      </c>
      <c r="D61" t="s">
        <v>167</v>
      </c>
      <c r="E61" t="s">
        <v>168</v>
      </c>
      <c r="F61" t="s">
        <v>52</v>
      </c>
    </row>
    <row r="62" spans="1:10" x14ac:dyDescent="0.25">
      <c r="A62" t="s">
        <v>91</v>
      </c>
      <c r="B62" s="49">
        <v>7</v>
      </c>
      <c r="C62" s="3">
        <f>778680+18290.88</f>
        <v>796970.88</v>
      </c>
      <c r="D62" t="s">
        <v>167</v>
      </c>
      <c r="E62" t="s">
        <v>169</v>
      </c>
      <c r="F62" t="s">
        <v>52</v>
      </c>
    </row>
    <row r="63" spans="1:10" x14ac:dyDescent="0.25">
      <c r="A63" t="s">
        <v>122</v>
      </c>
      <c r="B63" s="49">
        <v>8</v>
      </c>
      <c r="C63" s="3">
        <v>757010.8</v>
      </c>
      <c r="D63" t="s">
        <v>170</v>
      </c>
      <c r="E63" t="s">
        <v>171</v>
      </c>
      <c r="F63" t="s">
        <v>73</v>
      </c>
    </row>
    <row r="64" spans="1:10" x14ac:dyDescent="0.25">
      <c r="A64" t="s">
        <v>43</v>
      </c>
      <c r="B64" s="49">
        <v>9</v>
      </c>
      <c r="C64" s="51">
        <f>711760+18290.88</f>
        <v>730050.88</v>
      </c>
      <c r="D64" s="52" t="s">
        <v>172</v>
      </c>
      <c r="E64" s="52" t="s">
        <v>173</v>
      </c>
      <c r="F64" s="52" t="s">
        <v>52</v>
      </c>
      <c r="G64" s="53">
        <v>43465</v>
      </c>
      <c r="H64" s="52" t="s">
        <v>55</v>
      </c>
    </row>
    <row r="65" spans="1:9" x14ac:dyDescent="0.25">
      <c r="A65" t="s">
        <v>43</v>
      </c>
      <c r="B65" s="49">
        <v>9</v>
      </c>
      <c r="C65" s="3">
        <f>353640+9187.2</f>
        <v>362827.2</v>
      </c>
      <c r="D65" t="s">
        <v>174</v>
      </c>
      <c r="E65" t="s">
        <v>175</v>
      </c>
      <c r="F65" t="s">
        <v>52</v>
      </c>
    </row>
    <row r="66" spans="1:9" x14ac:dyDescent="0.25">
      <c r="A66" t="s">
        <v>59</v>
      </c>
      <c r="B66" s="49">
        <v>10</v>
      </c>
      <c r="C66" s="3">
        <f>728840+19126.08</f>
        <v>747966.08</v>
      </c>
      <c r="D66" t="s">
        <v>176</v>
      </c>
      <c r="E66" t="s">
        <v>177</v>
      </c>
      <c r="F66" t="s">
        <v>52</v>
      </c>
    </row>
    <row r="67" spans="1:9" x14ac:dyDescent="0.25">
      <c r="A67" t="s">
        <v>59</v>
      </c>
      <c r="B67" s="49">
        <v>10</v>
      </c>
      <c r="C67" s="3">
        <f>62720+1670.4</f>
        <v>64390.400000000001</v>
      </c>
      <c r="D67" t="s">
        <v>178</v>
      </c>
      <c r="E67" t="s">
        <v>179</v>
      </c>
      <c r="F67" t="s">
        <v>52</v>
      </c>
    </row>
    <row r="68" spans="1:9" x14ac:dyDescent="0.25">
      <c r="A68" t="s">
        <v>70</v>
      </c>
      <c r="B68" s="49">
        <v>11</v>
      </c>
      <c r="C68" s="3">
        <f>742840+18374.4</f>
        <v>761214.4</v>
      </c>
      <c r="D68" t="s">
        <v>180</v>
      </c>
      <c r="E68" t="s">
        <v>181</v>
      </c>
      <c r="F68" t="s">
        <v>52</v>
      </c>
    </row>
    <row r="69" spans="1:9" x14ac:dyDescent="0.25">
      <c r="A69" t="s">
        <v>70</v>
      </c>
      <c r="B69" s="49">
        <v>11</v>
      </c>
      <c r="C69" s="3">
        <f>190120+4320</f>
        <v>194440</v>
      </c>
      <c r="D69" t="s">
        <v>182</v>
      </c>
      <c r="E69" t="s">
        <v>183</v>
      </c>
      <c r="F69" t="s">
        <v>52</v>
      </c>
    </row>
    <row r="70" spans="1:9" x14ac:dyDescent="0.25">
      <c r="A70" t="s">
        <v>70</v>
      </c>
      <c r="B70" s="49">
        <v>11</v>
      </c>
      <c r="C70" s="3">
        <f>688940+18374.4</f>
        <v>707314.4</v>
      </c>
      <c r="D70" t="s">
        <v>184</v>
      </c>
      <c r="E70" t="s">
        <v>185</v>
      </c>
      <c r="F70" t="s">
        <v>52</v>
      </c>
      <c r="I70" s="62"/>
    </row>
    <row r="71" spans="1:9" x14ac:dyDescent="0.25">
      <c r="A71" t="s">
        <v>70</v>
      </c>
      <c r="B71" s="49">
        <v>11</v>
      </c>
      <c r="C71" s="3">
        <f>23015.57*G71</f>
        <v>476422.299</v>
      </c>
      <c r="D71" t="s">
        <v>186</v>
      </c>
      <c r="E71" t="s">
        <v>104</v>
      </c>
      <c r="F71" t="s">
        <v>105</v>
      </c>
      <c r="G71" s="50">
        <v>20.7</v>
      </c>
    </row>
    <row r="72" spans="1:9" x14ac:dyDescent="0.25">
      <c r="A72" s="37" t="s">
        <v>89</v>
      </c>
      <c r="B72" s="49">
        <v>12</v>
      </c>
      <c r="C72" s="3"/>
    </row>
    <row r="73" spans="1:9" x14ac:dyDescent="0.25">
      <c r="A73" s="37" t="s">
        <v>90</v>
      </c>
      <c r="B73" s="49">
        <v>13</v>
      </c>
      <c r="C73" s="3"/>
    </row>
    <row r="74" spans="1:9" x14ac:dyDescent="0.25">
      <c r="A74" t="s">
        <v>91</v>
      </c>
      <c r="B74" s="49">
        <v>14</v>
      </c>
      <c r="C74" s="3"/>
    </row>
    <row r="75" spans="1:9" x14ac:dyDescent="0.25">
      <c r="A75" t="s">
        <v>91</v>
      </c>
      <c r="B75" s="49">
        <v>14</v>
      </c>
      <c r="C75" s="3">
        <f>777980+19209.6</f>
        <v>797189.6</v>
      </c>
      <c r="D75" t="s">
        <v>187</v>
      </c>
      <c r="E75" t="s">
        <v>188</v>
      </c>
      <c r="F75" t="s">
        <v>52</v>
      </c>
    </row>
    <row r="76" spans="1:9" x14ac:dyDescent="0.25">
      <c r="A76" t="s">
        <v>91</v>
      </c>
      <c r="B76" s="49">
        <v>14</v>
      </c>
      <c r="C76" s="3">
        <f>661920+18374.4</f>
        <v>680294.40000000002</v>
      </c>
      <c r="D76" t="s">
        <v>189</v>
      </c>
      <c r="E76" t="s">
        <v>190</v>
      </c>
      <c r="F76" t="s">
        <v>52</v>
      </c>
    </row>
    <row r="77" spans="1:9" x14ac:dyDescent="0.25">
      <c r="A77" t="s">
        <v>91</v>
      </c>
      <c r="B77" s="49">
        <v>14</v>
      </c>
      <c r="C77" s="3">
        <f>625240+18290.88</f>
        <v>643530.88</v>
      </c>
      <c r="D77" t="s">
        <v>191</v>
      </c>
      <c r="E77" t="s">
        <v>192</v>
      </c>
      <c r="F77" t="s">
        <v>52</v>
      </c>
    </row>
    <row r="78" spans="1:9" x14ac:dyDescent="0.25">
      <c r="A78" t="s">
        <v>91</v>
      </c>
      <c r="B78" s="49">
        <v>14</v>
      </c>
      <c r="C78" s="3">
        <f>541100+13363.2</f>
        <v>554463.19999999995</v>
      </c>
      <c r="D78" t="s">
        <v>193</v>
      </c>
      <c r="E78" t="s">
        <v>194</v>
      </c>
      <c r="F78" t="s">
        <v>52</v>
      </c>
    </row>
    <row r="79" spans="1:9" x14ac:dyDescent="0.25">
      <c r="A79" t="s">
        <v>122</v>
      </c>
      <c r="B79" s="49">
        <v>15</v>
      </c>
      <c r="C79" s="3"/>
    </row>
    <row r="91" spans="1:10" x14ac:dyDescent="0.25">
      <c r="A91" t="s">
        <v>2113</v>
      </c>
    </row>
    <row r="92" spans="1:10" x14ac:dyDescent="0.25">
      <c r="A92" t="s">
        <v>91</v>
      </c>
      <c r="B92" s="49">
        <v>28</v>
      </c>
      <c r="C92" s="54">
        <f>24000*G92</f>
        <v>479544.00000000006</v>
      </c>
      <c r="D92" s="55" t="s">
        <v>1899</v>
      </c>
      <c r="E92" s="55" t="s">
        <v>2095</v>
      </c>
      <c r="F92" s="55" t="s">
        <v>1660</v>
      </c>
      <c r="G92" s="56">
        <v>19.981000000000002</v>
      </c>
      <c r="H92" s="55"/>
      <c r="I92" s="57">
        <v>43493</v>
      </c>
      <c r="J92" s="55" t="s">
        <v>62</v>
      </c>
    </row>
    <row r="93" spans="1:10" x14ac:dyDescent="0.25">
      <c r="A93" t="s">
        <v>43</v>
      </c>
      <c r="B93" s="49">
        <v>30</v>
      </c>
      <c r="C93" s="54">
        <f>22000*G93</f>
        <v>420552</v>
      </c>
      <c r="D93" s="55" t="s">
        <v>1978</v>
      </c>
      <c r="E93" s="55"/>
      <c r="F93" s="55" t="s">
        <v>1659</v>
      </c>
      <c r="G93" s="56">
        <v>19.116</v>
      </c>
      <c r="H93" s="55"/>
      <c r="I93" s="57">
        <v>43495</v>
      </c>
      <c r="J93" s="55" t="s">
        <v>62</v>
      </c>
    </row>
    <row r="94" spans="1:10" x14ac:dyDescent="0.25">
      <c r="A94" t="s">
        <v>43</v>
      </c>
      <c r="B94" s="49">
        <v>30</v>
      </c>
      <c r="C94" s="54">
        <f>22000*G94</f>
        <v>420552</v>
      </c>
      <c r="D94" s="55" t="s">
        <v>1979</v>
      </c>
      <c r="E94" s="55"/>
      <c r="F94" s="55" t="s">
        <v>1659</v>
      </c>
      <c r="G94" s="56">
        <v>19.116</v>
      </c>
      <c r="H94" s="55"/>
      <c r="I94" s="57">
        <v>43495</v>
      </c>
      <c r="J94" s="55" t="s">
        <v>62</v>
      </c>
    </row>
    <row r="95" spans="1:10" x14ac:dyDescent="0.25">
      <c r="A95" t="s">
        <v>59</v>
      </c>
      <c r="B95" s="49">
        <v>31</v>
      </c>
      <c r="C95" s="54">
        <f>22000*G95</f>
        <v>418836</v>
      </c>
      <c r="D95" s="55" t="s">
        <v>1980</v>
      </c>
      <c r="E95" s="55"/>
      <c r="F95" s="55" t="s">
        <v>1659</v>
      </c>
      <c r="G95" s="56">
        <v>19.038</v>
      </c>
      <c r="H95" s="55"/>
      <c r="I95" s="57">
        <v>43496</v>
      </c>
      <c r="J95" s="55" t="s">
        <v>62</v>
      </c>
    </row>
    <row r="96" spans="1:10" x14ac:dyDescent="0.25">
      <c r="A96" t="s">
        <v>59</v>
      </c>
      <c r="B96" s="49">
        <v>31</v>
      </c>
      <c r="C96" s="3">
        <v>31842</v>
      </c>
      <c r="D96" t="s">
        <v>2011</v>
      </c>
      <c r="E96" t="s">
        <v>2008</v>
      </c>
      <c r="F96" t="s">
        <v>87</v>
      </c>
      <c r="G96" s="67">
        <v>18.3</v>
      </c>
      <c r="I96" s="72"/>
    </row>
    <row r="97" spans="1:9" x14ac:dyDescent="0.25">
      <c r="A97" s="61" t="s">
        <v>1772</v>
      </c>
      <c r="C97" s="3"/>
    </row>
    <row r="98" spans="1:9" x14ac:dyDescent="0.25">
      <c r="A98" t="s">
        <v>70</v>
      </c>
      <c r="B98" s="49">
        <v>1</v>
      </c>
      <c r="C98" s="3">
        <v>34023.360000000001</v>
      </c>
      <c r="D98" t="s">
        <v>2013</v>
      </c>
      <c r="E98" t="s">
        <v>2012</v>
      </c>
      <c r="F98" t="s">
        <v>87</v>
      </c>
      <c r="G98">
        <v>18.3</v>
      </c>
    </row>
    <row r="99" spans="1:9" x14ac:dyDescent="0.25">
      <c r="A99" s="61" t="s">
        <v>70</v>
      </c>
      <c r="B99" s="49">
        <v>1</v>
      </c>
      <c r="C99" s="3">
        <v>141304.46</v>
      </c>
      <c r="D99" t="s">
        <v>2010</v>
      </c>
      <c r="E99" t="s">
        <v>2106</v>
      </c>
      <c r="F99" t="s">
        <v>1798</v>
      </c>
      <c r="G99">
        <v>61.8</v>
      </c>
      <c r="I99" s="62"/>
    </row>
    <row r="100" spans="1:9" x14ac:dyDescent="0.25">
      <c r="A100" s="61" t="s">
        <v>70</v>
      </c>
      <c r="B100" s="49">
        <v>1</v>
      </c>
      <c r="C100" s="3">
        <v>34166.1</v>
      </c>
      <c r="D100" t="s">
        <v>2013</v>
      </c>
      <c r="E100" t="s">
        <v>2014</v>
      </c>
      <c r="F100" t="s">
        <v>87</v>
      </c>
      <c r="G100">
        <v>18.3</v>
      </c>
    </row>
    <row r="101" spans="1:9" x14ac:dyDescent="0.25">
      <c r="C101" s="3"/>
    </row>
    <row r="102" spans="1:9" x14ac:dyDescent="0.25">
      <c r="C102" s="3"/>
    </row>
    <row r="103" spans="1:9" x14ac:dyDescent="0.25">
      <c r="A103" s="37" t="s">
        <v>89</v>
      </c>
      <c r="B103" s="49">
        <v>2</v>
      </c>
      <c r="C103" s="3"/>
    </row>
    <row r="104" spans="1:9" x14ac:dyDescent="0.25">
      <c r="A104" s="37" t="s">
        <v>90</v>
      </c>
      <c r="B104" s="49">
        <v>3</v>
      </c>
      <c r="C104" s="3"/>
    </row>
    <row r="105" spans="1:9" x14ac:dyDescent="0.25">
      <c r="A105" t="s">
        <v>91</v>
      </c>
      <c r="B105" s="49">
        <v>4</v>
      </c>
      <c r="C105" s="51">
        <f>698490+18374.4</f>
        <v>716864.4</v>
      </c>
      <c r="D105" s="52" t="s">
        <v>1966</v>
      </c>
      <c r="E105" s="52" t="s">
        <v>1967</v>
      </c>
      <c r="F105" s="52" t="s">
        <v>52</v>
      </c>
      <c r="G105" s="53">
        <v>43496</v>
      </c>
      <c r="H105" s="52" t="s">
        <v>55</v>
      </c>
    </row>
    <row r="106" spans="1:9" x14ac:dyDescent="0.25">
      <c r="A106" t="s">
        <v>91</v>
      </c>
      <c r="B106" s="49">
        <v>4</v>
      </c>
      <c r="C106" s="51">
        <f>520830+13363.2</f>
        <v>534193.19999999995</v>
      </c>
      <c r="D106" s="52" t="s">
        <v>1966</v>
      </c>
      <c r="E106" s="52" t="s">
        <v>1908</v>
      </c>
      <c r="F106" s="52" t="s">
        <v>52</v>
      </c>
      <c r="G106" s="53">
        <v>43495</v>
      </c>
      <c r="H106" s="52" t="s">
        <v>55</v>
      </c>
    </row>
    <row r="107" spans="1:9" x14ac:dyDescent="0.25">
      <c r="A107" t="s">
        <v>91</v>
      </c>
      <c r="B107" s="49">
        <v>4</v>
      </c>
      <c r="C107" s="51">
        <f>567135+16620.48</f>
        <v>583755.48</v>
      </c>
      <c r="D107" s="52" t="s">
        <v>2018</v>
      </c>
      <c r="E107" s="52" t="s">
        <v>2019</v>
      </c>
      <c r="F107" s="52" t="s">
        <v>52</v>
      </c>
      <c r="G107" s="53">
        <v>43496</v>
      </c>
      <c r="H107" s="52" t="s">
        <v>55</v>
      </c>
    </row>
    <row r="108" spans="1:9" x14ac:dyDescent="0.25">
      <c r="A108" t="s">
        <v>91</v>
      </c>
      <c r="B108" s="49">
        <v>4</v>
      </c>
      <c r="C108" s="3">
        <f>378945+10857.6</f>
        <v>389802.6</v>
      </c>
      <c r="D108" t="s">
        <v>2021</v>
      </c>
      <c r="E108" t="s">
        <v>2020</v>
      </c>
      <c r="F108" t="s">
        <v>52</v>
      </c>
    </row>
    <row r="109" spans="1:9" x14ac:dyDescent="0.25">
      <c r="A109" t="s">
        <v>91</v>
      </c>
      <c r="B109" s="49">
        <v>4</v>
      </c>
      <c r="C109" s="3">
        <v>193512.95999999999</v>
      </c>
      <c r="D109" t="s">
        <v>2017</v>
      </c>
      <c r="E109" t="s">
        <v>2016</v>
      </c>
      <c r="F109" t="s">
        <v>1798</v>
      </c>
      <c r="G109">
        <v>64</v>
      </c>
    </row>
    <row r="110" spans="1:9" x14ac:dyDescent="0.25">
      <c r="A110" t="s">
        <v>122</v>
      </c>
      <c r="B110" s="49">
        <v>5</v>
      </c>
      <c r="C110" s="3">
        <f>573345+16704</f>
        <v>590049</v>
      </c>
      <c r="D110" t="s">
        <v>2022</v>
      </c>
      <c r="E110" t="s">
        <v>1947</v>
      </c>
      <c r="F110" t="s">
        <v>52</v>
      </c>
    </row>
    <row r="111" spans="1:9" x14ac:dyDescent="0.25">
      <c r="A111" t="s">
        <v>122</v>
      </c>
      <c r="B111" s="49">
        <v>5</v>
      </c>
      <c r="C111" s="51">
        <f>710910+18290.88</f>
        <v>729200.88</v>
      </c>
      <c r="D111" s="52" t="s">
        <v>2023</v>
      </c>
      <c r="E111" s="52" t="s">
        <v>2024</v>
      </c>
      <c r="F111" s="52" t="s">
        <v>52</v>
      </c>
      <c r="G111" s="53">
        <v>43496</v>
      </c>
      <c r="H111" s="52" t="s">
        <v>55</v>
      </c>
    </row>
    <row r="112" spans="1:9" x14ac:dyDescent="0.25">
      <c r="A112" t="s">
        <v>122</v>
      </c>
      <c r="B112" s="49">
        <v>5</v>
      </c>
      <c r="C112" s="51">
        <f>96525+2505.6</f>
        <v>99030.6</v>
      </c>
      <c r="D112" s="52" t="s">
        <v>2023</v>
      </c>
      <c r="E112" s="52" t="s">
        <v>2025</v>
      </c>
      <c r="F112" s="52" t="s">
        <v>52</v>
      </c>
      <c r="G112" s="53">
        <v>43496</v>
      </c>
      <c r="H112" s="52" t="s">
        <v>55</v>
      </c>
    </row>
    <row r="113" spans="1:7" x14ac:dyDescent="0.25">
      <c r="A113" t="s">
        <v>43</v>
      </c>
      <c r="B113" s="49">
        <v>6</v>
      </c>
      <c r="C113" s="3">
        <f>536490+16704</f>
        <v>553194</v>
      </c>
      <c r="D113" t="s">
        <v>2026</v>
      </c>
      <c r="E113" t="s">
        <v>1957</v>
      </c>
      <c r="F113" t="s">
        <v>52</v>
      </c>
    </row>
    <row r="114" spans="1:7" x14ac:dyDescent="0.25">
      <c r="A114" t="s">
        <v>43</v>
      </c>
      <c r="B114" s="49">
        <v>6</v>
      </c>
      <c r="C114" s="3">
        <f>560655+15033.6</f>
        <v>575688.6</v>
      </c>
      <c r="D114" t="s">
        <v>2027</v>
      </c>
      <c r="E114" t="s">
        <v>1958</v>
      </c>
      <c r="F114" t="s">
        <v>52</v>
      </c>
    </row>
    <row r="115" spans="1:7" x14ac:dyDescent="0.25">
      <c r="A115" t="s">
        <v>59</v>
      </c>
      <c r="B115" s="49">
        <v>7</v>
      </c>
      <c r="C115" s="3">
        <v>23116.080000000002</v>
      </c>
      <c r="D115" t="s">
        <v>2100</v>
      </c>
      <c r="E115" t="s">
        <v>2099</v>
      </c>
      <c r="F115" t="s">
        <v>2101</v>
      </c>
      <c r="G115" s="67">
        <v>186</v>
      </c>
    </row>
    <row r="116" spans="1:7" x14ac:dyDescent="0.25">
      <c r="A116" t="s">
        <v>59</v>
      </c>
      <c r="B116" s="49">
        <v>7</v>
      </c>
      <c r="C116" s="3">
        <f>378810+10857.6</f>
        <v>389667.6</v>
      </c>
      <c r="D116" t="s">
        <v>2028</v>
      </c>
      <c r="E116" t="s">
        <v>1961</v>
      </c>
      <c r="F116" t="s">
        <v>52</v>
      </c>
    </row>
    <row r="117" spans="1:7" x14ac:dyDescent="0.25">
      <c r="A117" t="s">
        <v>70</v>
      </c>
      <c r="B117" s="49">
        <v>8</v>
      </c>
      <c r="C117" s="3">
        <v>1578776.13</v>
      </c>
      <c r="D117" t="s">
        <v>1924</v>
      </c>
      <c r="E117" t="s">
        <v>1923</v>
      </c>
      <c r="F117" t="s">
        <v>1925</v>
      </c>
      <c r="G117">
        <v>92.5</v>
      </c>
    </row>
    <row r="118" spans="1:7" x14ac:dyDescent="0.25">
      <c r="A118" s="37" t="s">
        <v>89</v>
      </c>
      <c r="B118" s="49">
        <v>9</v>
      </c>
      <c r="C118" s="3"/>
    </row>
    <row r="119" spans="1:7" x14ac:dyDescent="0.25">
      <c r="A119" s="37" t="s">
        <v>90</v>
      </c>
      <c r="B119" s="49">
        <v>10</v>
      </c>
      <c r="C119" s="3"/>
    </row>
    <row r="120" spans="1:7" x14ac:dyDescent="0.25">
      <c r="A120" t="s">
        <v>91</v>
      </c>
      <c r="B120" s="49">
        <v>11</v>
      </c>
      <c r="C120" s="3">
        <f>654020+16704</f>
        <v>670724</v>
      </c>
      <c r="D120" t="s">
        <v>2029</v>
      </c>
      <c r="E120" t="s">
        <v>1990</v>
      </c>
      <c r="F120" t="s">
        <v>52</v>
      </c>
    </row>
    <row r="121" spans="1:7" x14ac:dyDescent="0.25">
      <c r="A121" t="s">
        <v>91</v>
      </c>
      <c r="B121" s="49">
        <v>11</v>
      </c>
      <c r="C121" s="3">
        <f>366627.5+10857.6</f>
        <v>377485.1</v>
      </c>
      <c r="D121" t="s">
        <v>2030</v>
      </c>
      <c r="E121" t="s">
        <v>1991</v>
      </c>
      <c r="F121" t="s">
        <v>52</v>
      </c>
    </row>
    <row r="122" spans="1:7" x14ac:dyDescent="0.25">
      <c r="A122" t="s">
        <v>91</v>
      </c>
      <c r="B122" s="49">
        <v>11</v>
      </c>
      <c r="C122" s="3">
        <f>665150+16704</f>
        <v>681854</v>
      </c>
      <c r="D122" t="s">
        <v>2031</v>
      </c>
      <c r="E122" t="s">
        <v>2032</v>
      </c>
      <c r="F122" t="s">
        <v>52</v>
      </c>
    </row>
    <row r="123" spans="1:7" x14ac:dyDescent="0.25">
      <c r="A123" t="s">
        <v>91</v>
      </c>
      <c r="B123" s="49">
        <v>11</v>
      </c>
      <c r="C123" s="3">
        <f>134885+4176</f>
        <v>139061</v>
      </c>
      <c r="D123" t="s">
        <v>2034</v>
      </c>
      <c r="E123" t="s">
        <v>2033</v>
      </c>
      <c r="F123" t="s">
        <v>52</v>
      </c>
    </row>
    <row r="124" spans="1:7" x14ac:dyDescent="0.25">
      <c r="A124" t="s">
        <v>122</v>
      </c>
      <c r="B124" s="49">
        <v>12</v>
      </c>
      <c r="C124" s="3">
        <f>614800+16620.48</f>
        <v>631420.48</v>
      </c>
      <c r="D124" t="s">
        <v>2072</v>
      </c>
      <c r="E124" t="s">
        <v>2069</v>
      </c>
      <c r="F124" t="s">
        <v>52</v>
      </c>
    </row>
    <row r="125" spans="1:7" x14ac:dyDescent="0.25">
      <c r="A125" t="s">
        <v>122</v>
      </c>
      <c r="B125" s="49">
        <v>12</v>
      </c>
      <c r="C125" s="3">
        <f>144557.5+4176</f>
        <v>148733.5</v>
      </c>
      <c r="D125" t="s">
        <v>2071</v>
      </c>
      <c r="E125" t="s">
        <v>2070</v>
      </c>
      <c r="F125" t="s">
        <v>52</v>
      </c>
    </row>
    <row r="126" spans="1:7" x14ac:dyDescent="0.25">
      <c r="A126" t="s">
        <v>122</v>
      </c>
      <c r="B126" s="49">
        <v>12</v>
      </c>
      <c r="C126" s="3">
        <f>607380+16704</f>
        <v>624084</v>
      </c>
      <c r="D126" t="s">
        <v>2073</v>
      </c>
      <c r="E126" t="s">
        <v>2051</v>
      </c>
      <c r="F126" t="s">
        <v>52</v>
      </c>
    </row>
    <row r="127" spans="1:7" x14ac:dyDescent="0.25">
      <c r="A127" t="s">
        <v>122</v>
      </c>
      <c r="B127" s="49">
        <v>23</v>
      </c>
      <c r="C127" s="3">
        <f>369807.5+10857.6</f>
        <v>380665.1</v>
      </c>
      <c r="D127" t="s">
        <v>2074</v>
      </c>
      <c r="E127" t="s">
        <v>2052</v>
      </c>
      <c r="F127" t="s">
        <v>52</v>
      </c>
    </row>
    <row r="128" spans="1:7" x14ac:dyDescent="0.25">
      <c r="A128" t="s">
        <v>43</v>
      </c>
      <c r="B128" s="49">
        <v>13</v>
      </c>
      <c r="C128" s="3">
        <f>643155+16620.48</f>
        <v>659775.48</v>
      </c>
      <c r="D128" t="s">
        <v>2077</v>
      </c>
      <c r="E128" t="s">
        <v>2078</v>
      </c>
      <c r="F128" t="s">
        <v>52</v>
      </c>
    </row>
    <row r="129" spans="1:6" x14ac:dyDescent="0.25">
      <c r="A129" t="s">
        <v>43</v>
      </c>
      <c r="B129" s="49">
        <v>13</v>
      </c>
      <c r="C129" s="3">
        <f>458052.5+15033.6</f>
        <v>473086.1</v>
      </c>
      <c r="D129" t="s">
        <v>2079</v>
      </c>
      <c r="E129" t="s">
        <v>2075</v>
      </c>
      <c r="F129" t="s">
        <v>52</v>
      </c>
    </row>
    <row r="130" spans="1:6" x14ac:dyDescent="0.25">
      <c r="A130" t="s">
        <v>70</v>
      </c>
      <c r="B130" s="49">
        <v>15</v>
      </c>
      <c r="C130" s="3"/>
    </row>
    <row r="131" spans="1:6" x14ac:dyDescent="0.25">
      <c r="A131" s="37" t="s">
        <v>89</v>
      </c>
      <c r="B131" s="49">
        <v>16</v>
      </c>
      <c r="C131" s="3"/>
    </row>
    <row r="132" spans="1:6" x14ac:dyDescent="0.25">
      <c r="A132" s="37" t="s">
        <v>90</v>
      </c>
      <c r="B132" s="49">
        <v>17</v>
      </c>
      <c r="C132" s="3"/>
    </row>
    <row r="136" spans="1:6" x14ac:dyDescent="0.25">
      <c r="C136" s="62">
        <f>C92+C93+C94+C95</f>
        <v>1739484</v>
      </c>
      <c r="D136" t="s">
        <v>2114</v>
      </c>
    </row>
    <row r="137" spans="1:6" x14ac:dyDescent="0.25">
      <c r="C137" s="62">
        <f>C109+C115+C117</f>
        <v>1795405.17</v>
      </c>
      <c r="D137" t="s">
        <v>2115</v>
      </c>
    </row>
    <row r="138" spans="1:6" x14ac:dyDescent="0.25">
      <c r="C138" s="149">
        <f>C136-C137</f>
        <v>-55921.169999999925</v>
      </c>
      <c r="D138" s="46" t="s">
        <v>2118</v>
      </c>
    </row>
    <row r="142" spans="1:6" x14ac:dyDescent="0.25">
      <c r="C142" s="62">
        <f>C108+C110+C113+C114+C116+C120+C121+C122+C123+C124+C125+C126+C127+C128+C129</f>
        <v>7285290.5600000005</v>
      </c>
      <c r="D142" t="s">
        <v>2116</v>
      </c>
    </row>
    <row r="143" spans="1:6" x14ac:dyDescent="0.25">
      <c r="C143" s="149">
        <f>C141-C142</f>
        <v>-7285290.5600000005</v>
      </c>
      <c r="D143" s="46" t="s">
        <v>2117</v>
      </c>
    </row>
    <row r="145" spans="1:15" x14ac:dyDescent="0.25">
      <c r="C145" s="54">
        <v>3302176</v>
      </c>
      <c r="D145" s="55" t="s">
        <v>2119</v>
      </c>
      <c r="E145" s="55"/>
    </row>
    <row r="146" spans="1:15" x14ac:dyDescent="0.25">
      <c r="D146" t="s">
        <v>2120</v>
      </c>
    </row>
    <row r="147" spans="1:15" x14ac:dyDescent="0.25">
      <c r="D147" t="s">
        <v>2121</v>
      </c>
    </row>
    <row r="149" spans="1:15" x14ac:dyDescent="0.25">
      <c r="D149" t="s">
        <v>2122</v>
      </c>
    </row>
    <row r="154" spans="1:15" x14ac:dyDescent="0.25">
      <c r="A154" t="s">
        <v>2523</v>
      </c>
    </row>
    <row r="155" spans="1:15" x14ac:dyDescent="0.25">
      <c r="A155" s="48" t="s">
        <v>91</v>
      </c>
      <c r="B155" s="49">
        <v>4</v>
      </c>
      <c r="C155" s="3">
        <v>1106691.93</v>
      </c>
      <c r="D155" t="s">
        <v>2369</v>
      </c>
      <c r="E155" t="s">
        <v>2366</v>
      </c>
      <c r="F155" t="s">
        <v>1798</v>
      </c>
      <c r="G155" s="67">
        <v>59.8</v>
      </c>
    </row>
    <row r="156" spans="1:15" x14ac:dyDescent="0.25">
      <c r="A156" t="s">
        <v>91</v>
      </c>
      <c r="B156" s="49">
        <v>4</v>
      </c>
      <c r="C156" s="51">
        <f>602610+16704-3013.05</f>
        <v>616300.94999999995</v>
      </c>
      <c r="D156" s="52" t="s">
        <v>2427</v>
      </c>
      <c r="E156" s="52" t="s">
        <v>2428</v>
      </c>
      <c r="F156" s="52" t="s">
        <v>52</v>
      </c>
      <c r="G156" s="53">
        <v>43524</v>
      </c>
      <c r="H156" s="52" t="s">
        <v>55</v>
      </c>
    </row>
    <row r="157" spans="1:15" x14ac:dyDescent="0.25">
      <c r="A157" t="s">
        <v>91</v>
      </c>
      <c r="B157" s="49">
        <v>4</v>
      </c>
      <c r="C157" s="51">
        <f>417905+10857.6</f>
        <v>428762.6</v>
      </c>
      <c r="D157" s="52" t="s">
        <v>2429</v>
      </c>
      <c r="E157" s="52" t="s">
        <v>2376</v>
      </c>
      <c r="F157" s="52" t="s">
        <v>52</v>
      </c>
      <c r="G157" s="53">
        <v>43524</v>
      </c>
      <c r="H157" s="52" t="s">
        <v>55</v>
      </c>
      <c r="I157" s="52"/>
      <c r="K157" s="48" t="s">
        <v>2489</v>
      </c>
      <c r="L157" s="48"/>
      <c r="M157" s="48"/>
      <c r="N157" s="48"/>
      <c r="O157" s="48"/>
    </row>
    <row r="158" spans="1:15" x14ac:dyDescent="0.25">
      <c r="A158" t="s">
        <v>91</v>
      </c>
      <c r="B158" s="49">
        <v>4</v>
      </c>
      <c r="C158" s="51">
        <f>647262.5+18374.4</f>
        <v>665636.9</v>
      </c>
      <c r="D158" s="52" t="s">
        <v>2430</v>
      </c>
      <c r="E158" s="52" t="s">
        <v>2431</v>
      </c>
      <c r="F158" s="52" t="s">
        <v>52</v>
      </c>
      <c r="G158" s="53">
        <v>43524</v>
      </c>
      <c r="H158" s="52" t="s">
        <v>55</v>
      </c>
    </row>
    <row r="159" spans="1:15" x14ac:dyDescent="0.25">
      <c r="A159" t="s">
        <v>91</v>
      </c>
      <c r="B159" s="49">
        <v>4</v>
      </c>
      <c r="C159" s="51">
        <f>92220+2505.6</f>
        <v>94725.6</v>
      </c>
      <c r="D159" s="52" t="s">
        <v>2433</v>
      </c>
      <c r="E159" s="52" t="s">
        <v>2432</v>
      </c>
      <c r="F159" s="52" t="s">
        <v>52</v>
      </c>
      <c r="G159" s="53">
        <v>43524</v>
      </c>
      <c r="H159" s="52" t="s">
        <v>55</v>
      </c>
    </row>
    <row r="160" spans="1:15" x14ac:dyDescent="0.25">
      <c r="A160" t="s">
        <v>91</v>
      </c>
      <c r="B160" s="49">
        <v>4</v>
      </c>
      <c r="C160" s="3">
        <v>59058</v>
      </c>
      <c r="D160" t="s">
        <v>2456</v>
      </c>
      <c r="E160" t="s">
        <v>2457</v>
      </c>
      <c r="F160" t="s">
        <v>87</v>
      </c>
    </row>
    <row r="161" spans="1:10" x14ac:dyDescent="0.25">
      <c r="A161" t="s">
        <v>122</v>
      </c>
      <c r="B161" s="49">
        <v>5</v>
      </c>
      <c r="C161" s="3">
        <f>605525+16704</f>
        <v>622229</v>
      </c>
      <c r="D161" t="s">
        <v>2434</v>
      </c>
      <c r="E161" t="s">
        <v>2435</v>
      </c>
      <c r="F161" t="s">
        <v>52</v>
      </c>
    </row>
    <row r="162" spans="1:10" x14ac:dyDescent="0.25">
      <c r="A162" t="s">
        <v>122</v>
      </c>
      <c r="B162" s="49">
        <v>5</v>
      </c>
      <c r="C162" s="50">
        <f>662235+18374.4</f>
        <v>680609.4</v>
      </c>
      <c r="D162" t="s">
        <v>2437</v>
      </c>
      <c r="E162" t="s">
        <v>2436</v>
      </c>
      <c r="F162" t="s">
        <v>52</v>
      </c>
    </row>
    <row r="163" spans="1:10" x14ac:dyDescent="0.25">
      <c r="A163" t="s">
        <v>122</v>
      </c>
      <c r="B163" s="49">
        <v>5</v>
      </c>
      <c r="C163" s="3">
        <f>102820+2505.6-3418.5</f>
        <v>101907.1</v>
      </c>
      <c r="D163" t="s">
        <v>2438</v>
      </c>
      <c r="E163" t="s">
        <v>2439</v>
      </c>
      <c r="F163" t="s">
        <v>52</v>
      </c>
    </row>
    <row r="164" spans="1:10" x14ac:dyDescent="0.25">
      <c r="A164" t="s">
        <v>43</v>
      </c>
      <c r="B164" s="49">
        <v>6</v>
      </c>
      <c r="C164" s="63"/>
      <c r="D164" s="64"/>
      <c r="E164" s="64"/>
      <c r="F164" s="64"/>
      <c r="G164" s="65">
        <v>19.5</v>
      </c>
      <c r="H164" s="64"/>
      <c r="I164" s="64"/>
      <c r="J164" s="64"/>
    </row>
    <row r="165" spans="1:10" x14ac:dyDescent="0.25">
      <c r="A165" t="s">
        <v>43</v>
      </c>
      <c r="B165" s="49">
        <v>6</v>
      </c>
      <c r="C165" s="63"/>
      <c r="D165" s="64"/>
      <c r="E165" s="64"/>
      <c r="F165" s="64"/>
      <c r="G165" s="65">
        <v>19.5</v>
      </c>
      <c r="H165" s="64"/>
      <c r="I165" s="64"/>
      <c r="J165" s="64"/>
    </row>
    <row r="166" spans="1:10" x14ac:dyDescent="0.25">
      <c r="A166" t="s">
        <v>43</v>
      </c>
      <c r="B166" s="49">
        <v>6</v>
      </c>
      <c r="C166" s="3"/>
      <c r="D166" t="s">
        <v>2518</v>
      </c>
      <c r="G166" s="67"/>
    </row>
    <row r="167" spans="1:10" x14ac:dyDescent="0.25">
      <c r="A167" t="s">
        <v>43</v>
      </c>
      <c r="B167" s="49">
        <v>6</v>
      </c>
      <c r="C167" s="50">
        <f>599430+16787.52</f>
        <v>616217.52</v>
      </c>
      <c r="D167" t="s">
        <v>2440</v>
      </c>
      <c r="E167" t="s">
        <v>2403</v>
      </c>
      <c r="F167" t="s">
        <v>52</v>
      </c>
    </row>
    <row r="168" spans="1:10" x14ac:dyDescent="0.25">
      <c r="A168" t="s">
        <v>43</v>
      </c>
      <c r="B168" s="49">
        <v>6</v>
      </c>
      <c r="C168" s="3">
        <f>446657.5+10857.6</f>
        <v>457515.1</v>
      </c>
      <c r="D168" t="s">
        <v>2441</v>
      </c>
      <c r="E168" t="s">
        <v>2404</v>
      </c>
      <c r="F168" t="s">
        <v>52</v>
      </c>
    </row>
    <row r="169" spans="1:10" x14ac:dyDescent="0.25">
      <c r="A169" t="s">
        <v>59</v>
      </c>
      <c r="B169" s="49">
        <v>7</v>
      </c>
      <c r="C169" s="63"/>
      <c r="D169" s="64"/>
      <c r="E169" s="64"/>
      <c r="F169" s="64"/>
      <c r="G169" s="65">
        <v>19.5</v>
      </c>
      <c r="H169" s="64"/>
      <c r="I169" s="64"/>
      <c r="J169" s="64"/>
    </row>
    <row r="170" spans="1:10" x14ac:dyDescent="0.25">
      <c r="A170" t="s">
        <v>59</v>
      </c>
      <c r="B170" s="49">
        <v>7</v>
      </c>
      <c r="C170" s="3">
        <f>407967.5+10857.6</f>
        <v>418825.1</v>
      </c>
      <c r="D170" t="s">
        <v>2442</v>
      </c>
      <c r="E170" t="s">
        <v>2405</v>
      </c>
      <c r="F170" t="s">
        <v>52</v>
      </c>
    </row>
    <row r="171" spans="1:10" x14ac:dyDescent="0.25">
      <c r="A171" t="s">
        <v>59</v>
      </c>
      <c r="B171" s="49">
        <v>7</v>
      </c>
      <c r="C171" s="3">
        <v>44200</v>
      </c>
      <c r="D171" t="s">
        <v>2550</v>
      </c>
      <c r="E171" t="s">
        <v>2562</v>
      </c>
      <c r="F171" t="s">
        <v>87</v>
      </c>
      <c r="G171" s="67">
        <v>17</v>
      </c>
    </row>
    <row r="172" spans="1:10" x14ac:dyDescent="0.25">
      <c r="A172" t="s">
        <v>59</v>
      </c>
      <c r="B172" s="49">
        <v>7</v>
      </c>
      <c r="C172" s="3">
        <v>673297.92000000004</v>
      </c>
      <c r="D172" t="s">
        <v>2560</v>
      </c>
      <c r="E172" t="s">
        <v>2561</v>
      </c>
      <c r="F172" t="s">
        <v>1804</v>
      </c>
      <c r="G172">
        <v>96</v>
      </c>
    </row>
    <row r="173" spans="1:10" x14ac:dyDescent="0.25">
      <c r="A173" t="s">
        <v>70</v>
      </c>
      <c r="B173" s="49">
        <v>8</v>
      </c>
      <c r="C173" s="3"/>
      <c r="G173" s="65">
        <v>19.5</v>
      </c>
    </row>
    <row r="174" spans="1:10" x14ac:dyDescent="0.25">
      <c r="A174" t="s">
        <v>70</v>
      </c>
      <c r="B174" s="49">
        <v>8</v>
      </c>
      <c r="C174" s="3"/>
      <c r="D174" t="s">
        <v>2156</v>
      </c>
    </row>
    <row r="175" spans="1:10" x14ac:dyDescent="0.25">
      <c r="A175" s="37" t="s">
        <v>89</v>
      </c>
      <c r="B175" s="49">
        <v>9</v>
      </c>
      <c r="C175" s="3"/>
    </row>
    <row r="176" spans="1:10" x14ac:dyDescent="0.25">
      <c r="A176" s="37" t="s">
        <v>90</v>
      </c>
      <c r="B176" s="49">
        <v>10</v>
      </c>
      <c r="C176" s="3"/>
      <c r="F176" s="64"/>
      <c r="G176" s="65">
        <v>19.5</v>
      </c>
      <c r="H176" s="64"/>
      <c r="I176" s="64"/>
      <c r="J176" s="64"/>
    </row>
    <row r="177" spans="1:6" x14ac:dyDescent="0.25">
      <c r="A177" t="s">
        <v>91</v>
      </c>
      <c r="B177" s="49">
        <v>11</v>
      </c>
      <c r="C177" s="63"/>
      <c r="D177" s="64"/>
      <c r="E177" s="64"/>
      <c r="F177" t="s">
        <v>52</v>
      </c>
    </row>
    <row r="178" spans="1:6" x14ac:dyDescent="0.25">
      <c r="A178" t="s">
        <v>91</v>
      </c>
      <c r="B178" s="49">
        <v>11</v>
      </c>
      <c r="C178" s="3">
        <f>603007.5+16620.48</f>
        <v>619627.98</v>
      </c>
      <c r="D178" t="s">
        <v>2470</v>
      </c>
      <c r="E178" t="s">
        <v>2469</v>
      </c>
      <c r="F178" t="s">
        <v>52</v>
      </c>
    </row>
    <row r="179" spans="1:6" x14ac:dyDescent="0.25">
      <c r="A179" t="s">
        <v>91</v>
      </c>
      <c r="B179" s="49">
        <v>11</v>
      </c>
      <c r="C179" s="3">
        <f>155687.5+4176</f>
        <v>159863.5</v>
      </c>
      <c r="D179" t="s">
        <v>2471</v>
      </c>
      <c r="E179" t="s">
        <v>2472</v>
      </c>
      <c r="F179" t="s">
        <v>52</v>
      </c>
    </row>
    <row r="180" spans="1:6" x14ac:dyDescent="0.25">
      <c r="A180" t="s">
        <v>91</v>
      </c>
      <c r="B180" s="49">
        <v>11</v>
      </c>
      <c r="C180" s="3">
        <f>617317.5+16620.48</f>
        <v>633937.98</v>
      </c>
      <c r="D180" t="s">
        <v>2473</v>
      </c>
      <c r="E180" t="s">
        <v>2468</v>
      </c>
      <c r="F180" t="s">
        <v>52</v>
      </c>
    </row>
    <row r="181" spans="1:6" x14ac:dyDescent="0.25">
      <c r="A181" t="s">
        <v>122</v>
      </c>
      <c r="B181" s="49">
        <v>12</v>
      </c>
      <c r="C181" s="3">
        <f>575315+16704</f>
        <v>592019</v>
      </c>
      <c r="D181" t="s">
        <v>2478</v>
      </c>
      <c r="E181" t="s">
        <v>2520</v>
      </c>
      <c r="F181" t="s">
        <v>52</v>
      </c>
    </row>
    <row r="182" spans="1:6" x14ac:dyDescent="0.25">
      <c r="A182" t="s">
        <v>43</v>
      </c>
      <c r="B182" s="49">
        <v>13</v>
      </c>
      <c r="C182" s="3">
        <f>616757.5+16704</f>
        <v>633461.5</v>
      </c>
      <c r="D182" t="s">
        <v>2479</v>
      </c>
      <c r="E182" t="s">
        <v>2477</v>
      </c>
      <c r="F182" t="s">
        <v>52</v>
      </c>
    </row>
    <row r="183" spans="1:6" x14ac:dyDescent="0.25">
      <c r="A183" t="s">
        <v>59</v>
      </c>
      <c r="B183" s="49">
        <v>14</v>
      </c>
      <c r="C183" s="50">
        <f>567232.5+16620.48</f>
        <v>583852.98</v>
      </c>
      <c r="D183" t="s">
        <v>2484</v>
      </c>
      <c r="E183" t="s">
        <v>2483</v>
      </c>
      <c r="F183" t="s">
        <v>52</v>
      </c>
    </row>
    <row r="184" spans="1:6" x14ac:dyDescent="0.25">
      <c r="A184" t="s">
        <v>59</v>
      </c>
      <c r="B184" s="49">
        <v>14</v>
      </c>
      <c r="C184" s="50">
        <f>401607.5+10774.08</f>
        <v>412381.58</v>
      </c>
      <c r="D184" t="s">
        <v>2486</v>
      </c>
      <c r="E184" t="s">
        <v>2485</v>
      </c>
      <c r="F184" t="s">
        <v>52</v>
      </c>
    </row>
    <row r="185" spans="1:6" x14ac:dyDescent="0.25">
      <c r="A185" t="s">
        <v>59</v>
      </c>
      <c r="B185" s="49">
        <v>14</v>
      </c>
      <c r="C185" s="3">
        <f>158072.5+4176</f>
        <v>162248.5</v>
      </c>
      <c r="D185" t="s">
        <v>2521</v>
      </c>
      <c r="E185" t="s">
        <v>2522</v>
      </c>
    </row>
    <row r="186" spans="1:6" x14ac:dyDescent="0.25">
      <c r="A186" t="s">
        <v>70</v>
      </c>
      <c r="B186" s="49">
        <v>15</v>
      </c>
      <c r="C186" s="3"/>
    </row>
    <row r="200" spans="1:10" x14ac:dyDescent="0.25">
      <c r="A200" t="s">
        <v>3018</v>
      </c>
    </row>
    <row r="201" spans="1:10" x14ac:dyDescent="0.25">
      <c r="A201" s="48" t="s">
        <v>43</v>
      </c>
      <c r="B201" s="49">
        <v>27</v>
      </c>
      <c r="C201" s="3">
        <f>597740+17504.4</f>
        <v>615244.4</v>
      </c>
      <c r="D201" t="s">
        <v>2773</v>
      </c>
      <c r="E201" t="s">
        <v>2774</v>
      </c>
      <c r="F201" t="s">
        <v>52</v>
      </c>
      <c r="G201" s="72">
        <v>43556</v>
      </c>
      <c r="H201" s="52" t="s">
        <v>55</v>
      </c>
    </row>
    <row r="202" spans="1:10" x14ac:dyDescent="0.25">
      <c r="A202" t="s">
        <v>43</v>
      </c>
      <c r="B202" s="49">
        <v>27</v>
      </c>
      <c r="C202" s="3">
        <f>515450+15753.96</f>
        <v>531203.96</v>
      </c>
      <c r="D202" t="s">
        <v>2776</v>
      </c>
      <c r="E202" t="s">
        <v>2775</v>
      </c>
      <c r="F202" t="s">
        <v>52</v>
      </c>
      <c r="G202" s="72">
        <v>43556</v>
      </c>
      <c r="H202" s="52" t="s">
        <v>55</v>
      </c>
    </row>
    <row r="203" spans="1:10" x14ac:dyDescent="0.25">
      <c r="A203" t="s">
        <v>59</v>
      </c>
      <c r="B203" s="49">
        <v>28</v>
      </c>
      <c r="C203" s="54">
        <f>36000*G203</f>
        <v>698760</v>
      </c>
      <c r="D203" s="55" t="s">
        <v>2832</v>
      </c>
      <c r="E203" s="55"/>
      <c r="F203" s="55" t="s">
        <v>2947</v>
      </c>
      <c r="G203" s="56">
        <v>19.41</v>
      </c>
      <c r="H203" s="55"/>
      <c r="I203" s="57">
        <v>43552</v>
      </c>
      <c r="J203" s="55" t="s">
        <v>62</v>
      </c>
    </row>
    <row r="204" spans="1:10" x14ac:dyDescent="0.25">
      <c r="A204" t="s">
        <v>59</v>
      </c>
      <c r="B204" s="49">
        <v>28</v>
      </c>
      <c r="C204" s="3">
        <f>387010+11290.34</f>
        <v>398300.34</v>
      </c>
      <c r="D204" t="s">
        <v>2777</v>
      </c>
      <c r="E204" t="s">
        <v>2733</v>
      </c>
      <c r="F204" t="s">
        <v>52</v>
      </c>
    </row>
    <row r="205" spans="1:10" x14ac:dyDescent="0.25">
      <c r="A205" t="s">
        <v>70</v>
      </c>
      <c r="B205" s="49">
        <v>29</v>
      </c>
      <c r="C205" s="51">
        <v>62950.7</v>
      </c>
      <c r="D205" s="52" t="s">
        <v>2971</v>
      </c>
      <c r="E205" s="52" t="s">
        <v>2972</v>
      </c>
      <c r="F205" s="52" t="s">
        <v>120</v>
      </c>
      <c r="G205" s="53">
        <v>43553</v>
      </c>
      <c r="H205" s="52" t="s">
        <v>55</v>
      </c>
    </row>
    <row r="206" spans="1:10" x14ac:dyDescent="0.25">
      <c r="A206" t="s">
        <v>70</v>
      </c>
      <c r="B206" s="49">
        <v>29</v>
      </c>
      <c r="C206" s="54">
        <f>37000*G206</f>
        <v>706330</v>
      </c>
      <c r="D206" s="55" t="s">
        <v>2970</v>
      </c>
      <c r="E206" s="55"/>
      <c r="F206" s="55" t="s">
        <v>2831</v>
      </c>
      <c r="G206" s="56">
        <v>19.09</v>
      </c>
      <c r="H206" s="55"/>
      <c r="I206" s="57">
        <v>43549</v>
      </c>
      <c r="J206" s="55" t="s">
        <v>62</v>
      </c>
    </row>
    <row r="207" spans="1:10" x14ac:dyDescent="0.25">
      <c r="A207" t="s">
        <v>70</v>
      </c>
      <c r="B207" s="49">
        <v>29</v>
      </c>
      <c r="C207" s="51">
        <f>33589.24*G207</f>
        <v>651967.14839999995</v>
      </c>
      <c r="D207" s="52" t="s">
        <v>2836</v>
      </c>
      <c r="E207" s="52" t="s">
        <v>2837</v>
      </c>
      <c r="F207" s="52" t="s">
        <v>2838</v>
      </c>
      <c r="G207" s="58">
        <v>19.41</v>
      </c>
      <c r="H207" s="52">
        <v>45.5</v>
      </c>
      <c r="I207" s="53">
        <v>43553</v>
      </c>
      <c r="J207" s="52" t="s">
        <v>62</v>
      </c>
    </row>
    <row r="208" spans="1:10" x14ac:dyDescent="0.25">
      <c r="A208" t="s">
        <v>70</v>
      </c>
      <c r="B208" s="49">
        <v>29</v>
      </c>
      <c r="C208" s="51">
        <f>35578.32*G208</f>
        <v>691108.86600000004</v>
      </c>
      <c r="D208" s="52" t="s">
        <v>2841</v>
      </c>
      <c r="E208" s="52" t="s">
        <v>2965</v>
      </c>
      <c r="F208" s="52" t="s">
        <v>2966</v>
      </c>
      <c r="G208" s="58">
        <v>19.425000000000001</v>
      </c>
      <c r="H208" s="52">
        <v>45.73</v>
      </c>
      <c r="I208" s="53">
        <v>43553</v>
      </c>
      <c r="J208" s="52" t="s">
        <v>62</v>
      </c>
    </row>
    <row r="209" spans="1:10" x14ac:dyDescent="0.25">
      <c r="A209" s="37" t="s">
        <v>89</v>
      </c>
      <c r="B209" s="49">
        <v>30</v>
      </c>
      <c r="C209" s="3"/>
    </row>
    <row r="210" spans="1:10" x14ac:dyDescent="0.25">
      <c r="A210" s="37" t="s">
        <v>90</v>
      </c>
      <c r="B210" s="49">
        <v>31</v>
      </c>
      <c r="C210" s="3"/>
    </row>
    <row r="211" spans="1:10" x14ac:dyDescent="0.25">
      <c r="A211" s="61" t="s">
        <v>2770</v>
      </c>
      <c r="C211" s="3"/>
    </row>
    <row r="212" spans="1:10" x14ac:dyDescent="0.25">
      <c r="A212" t="s">
        <v>91</v>
      </c>
      <c r="B212" s="49">
        <v>1</v>
      </c>
      <c r="C212" s="54">
        <f>34000*G212</f>
        <v>660960</v>
      </c>
      <c r="D212" s="55" t="s">
        <v>2839</v>
      </c>
      <c r="E212" s="55"/>
      <c r="F212" s="55" t="s">
        <v>2967</v>
      </c>
      <c r="G212" s="56">
        <v>19.440000000000001</v>
      </c>
      <c r="H212" s="55"/>
      <c r="I212" s="57">
        <v>43553</v>
      </c>
      <c r="J212" s="55" t="s">
        <v>62</v>
      </c>
    </row>
    <row r="213" spans="1:10" x14ac:dyDescent="0.25">
      <c r="A213" t="s">
        <v>91</v>
      </c>
      <c r="B213" s="49">
        <v>1</v>
      </c>
      <c r="C213" s="3">
        <f>620230+17329.36</f>
        <v>637559.36</v>
      </c>
      <c r="D213" t="s">
        <v>2792</v>
      </c>
      <c r="E213" t="s">
        <v>2793</v>
      </c>
      <c r="F213" t="s">
        <v>52</v>
      </c>
    </row>
    <row r="214" spans="1:10" x14ac:dyDescent="0.25">
      <c r="A214" t="s">
        <v>91</v>
      </c>
      <c r="B214" s="49">
        <v>1</v>
      </c>
      <c r="C214" s="3">
        <f>390130+11552.9</f>
        <v>401682.9</v>
      </c>
      <c r="D214" t="s">
        <v>2794</v>
      </c>
      <c r="E214" t="s">
        <v>2750</v>
      </c>
      <c r="F214" t="s">
        <v>52</v>
      </c>
    </row>
    <row r="215" spans="1:10" x14ac:dyDescent="0.25">
      <c r="A215" t="s">
        <v>91</v>
      </c>
      <c r="B215" s="49">
        <v>1</v>
      </c>
      <c r="C215" s="3">
        <f>587210+17504.4</f>
        <v>604714.4</v>
      </c>
      <c r="D215" t="s">
        <v>2795</v>
      </c>
      <c r="E215" t="s">
        <v>2751</v>
      </c>
      <c r="F215" t="s">
        <v>52</v>
      </c>
    </row>
    <row r="216" spans="1:10" x14ac:dyDescent="0.25">
      <c r="A216" t="s">
        <v>122</v>
      </c>
      <c r="B216" s="49">
        <v>2</v>
      </c>
      <c r="C216" s="63">
        <f>35000*G216</f>
        <v>673330</v>
      </c>
      <c r="D216" s="64" t="s">
        <v>3007</v>
      </c>
      <c r="E216" s="64"/>
      <c r="F216" s="64" t="s">
        <v>2738</v>
      </c>
      <c r="G216" s="55">
        <v>19.238</v>
      </c>
      <c r="H216" s="55"/>
      <c r="I216" s="57">
        <v>43557</v>
      </c>
      <c r="J216" s="64"/>
    </row>
    <row r="217" spans="1:10" x14ac:dyDescent="0.25">
      <c r="A217" t="s">
        <v>122</v>
      </c>
      <c r="B217" s="49">
        <v>2</v>
      </c>
      <c r="C217" s="3">
        <f>598650+17504.4</f>
        <v>616154.4</v>
      </c>
      <c r="D217" t="s">
        <v>2796</v>
      </c>
      <c r="E217" t="s">
        <v>2759</v>
      </c>
      <c r="F217" t="s">
        <v>52</v>
      </c>
    </row>
    <row r="218" spans="1:10" x14ac:dyDescent="0.25">
      <c r="A218" t="s">
        <v>122</v>
      </c>
      <c r="B218" s="49">
        <v>2</v>
      </c>
      <c r="C218" s="3">
        <f>588380+17504.4-2938</f>
        <v>602946.4</v>
      </c>
      <c r="D218" t="s">
        <v>2797</v>
      </c>
      <c r="E218" t="s">
        <v>2760</v>
      </c>
      <c r="F218" t="s">
        <v>52</v>
      </c>
    </row>
    <row r="219" spans="1:10" x14ac:dyDescent="0.25">
      <c r="A219" t="s">
        <v>43</v>
      </c>
      <c r="B219" s="49">
        <v>3</v>
      </c>
      <c r="C219" s="3">
        <f>649870+19342.36-8814</f>
        <v>660398.36</v>
      </c>
      <c r="D219" t="s">
        <v>2843</v>
      </c>
      <c r="E219" t="s">
        <v>2817</v>
      </c>
      <c r="F219" t="s">
        <v>52</v>
      </c>
    </row>
    <row r="220" spans="1:10" x14ac:dyDescent="0.25">
      <c r="A220" t="s">
        <v>43</v>
      </c>
      <c r="B220" s="49">
        <v>3</v>
      </c>
      <c r="C220" s="3">
        <f>434850+14003.52</f>
        <v>448853.52</v>
      </c>
      <c r="D220" t="s">
        <v>2845</v>
      </c>
      <c r="E220" t="s">
        <v>2844</v>
      </c>
      <c r="F220" t="s">
        <v>52</v>
      </c>
    </row>
    <row r="221" spans="1:10" x14ac:dyDescent="0.25">
      <c r="A221" t="s">
        <v>59</v>
      </c>
      <c r="B221" s="49">
        <v>4</v>
      </c>
      <c r="C221" s="63">
        <f>35000*G221</f>
        <v>675500</v>
      </c>
      <c r="D221" s="64" t="s">
        <v>3008</v>
      </c>
      <c r="E221" s="64"/>
      <c r="F221" s="64" t="s">
        <v>2738</v>
      </c>
      <c r="G221" s="37">
        <v>19.3</v>
      </c>
      <c r="H221" s="64"/>
      <c r="I221" s="64"/>
      <c r="J221" s="64"/>
    </row>
    <row r="222" spans="1:10" x14ac:dyDescent="0.25">
      <c r="B222" s="49"/>
      <c r="C222" s="63"/>
      <c r="D222" s="64" t="s">
        <v>3009</v>
      </c>
      <c r="E222" s="64"/>
      <c r="F222" s="64"/>
      <c r="G222" s="37">
        <v>19.399999999999999</v>
      </c>
      <c r="H222" s="64"/>
      <c r="I222" s="64"/>
      <c r="J222" s="64"/>
    </row>
    <row r="223" spans="1:10" x14ac:dyDescent="0.25">
      <c r="A223" t="s">
        <v>59</v>
      </c>
      <c r="B223" s="49">
        <v>4</v>
      </c>
      <c r="C223" s="3">
        <f>434265+11290.34</f>
        <v>445555.34</v>
      </c>
      <c r="D223" t="s">
        <v>2846</v>
      </c>
      <c r="E223" t="s">
        <v>2827</v>
      </c>
      <c r="F223" t="s">
        <v>52</v>
      </c>
    </row>
    <row r="224" spans="1:10" x14ac:dyDescent="0.25">
      <c r="A224" t="s">
        <v>59</v>
      </c>
      <c r="B224" s="49">
        <v>4</v>
      </c>
      <c r="C224" s="50">
        <f>19670*33.7</f>
        <v>662879</v>
      </c>
      <c r="D224" t="s">
        <v>2988</v>
      </c>
      <c r="E224" s="37" t="s">
        <v>2989</v>
      </c>
      <c r="F224" t="s">
        <v>73</v>
      </c>
    </row>
    <row r="225" spans="1:10" x14ac:dyDescent="0.25">
      <c r="A225" t="s">
        <v>70</v>
      </c>
      <c r="B225" s="49">
        <v>5</v>
      </c>
      <c r="C225" s="3"/>
    </row>
    <row r="226" spans="1:10" x14ac:dyDescent="0.25">
      <c r="A226" s="37" t="s">
        <v>89</v>
      </c>
      <c r="B226" s="49">
        <v>6</v>
      </c>
      <c r="C226" s="3"/>
    </row>
    <row r="227" spans="1:10" x14ac:dyDescent="0.25">
      <c r="A227" s="37" t="s">
        <v>90</v>
      </c>
      <c r="B227" s="49">
        <v>7</v>
      </c>
      <c r="C227" s="3"/>
    </row>
    <row r="228" spans="1:10" x14ac:dyDescent="0.25">
      <c r="A228" t="s">
        <v>91</v>
      </c>
      <c r="B228" s="49">
        <v>8</v>
      </c>
      <c r="C228" s="63"/>
      <c r="D228" s="64"/>
      <c r="E228" s="64"/>
      <c r="F228" s="64"/>
      <c r="G228" s="37"/>
      <c r="H228" s="64"/>
      <c r="I228" s="64"/>
      <c r="J228" s="64"/>
    </row>
    <row r="229" spans="1:10" x14ac:dyDescent="0.25">
      <c r="A229" t="s">
        <v>91</v>
      </c>
      <c r="B229" s="49">
        <v>8</v>
      </c>
    </row>
    <row r="230" spans="1:10" x14ac:dyDescent="0.25">
      <c r="A230" t="s">
        <v>91</v>
      </c>
      <c r="B230" s="49">
        <v>8</v>
      </c>
    </row>
    <row r="231" spans="1:10" x14ac:dyDescent="0.25">
      <c r="A231" t="s">
        <v>91</v>
      </c>
      <c r="B231" s="49">
        <v>8</v>
      </c>
      <c r="C231" s="3">
        <f>590707.5+17416.88</f>
        <v>608124.38</v>
      </c>
      <c r="D231" t="s">
        <v>2982</v>
      </c>
      <c r="E231" t="s">
        <v>2851</v>
      </c>
      <c r="F231" t="s">
        <v>52</v>
      </c>
    </row>
    <row r="232" spans="1:10" x14ac:dyDescent="0.25">
      <c r="A232" t="s">
        <v>91</v>
      </c>
      <c r="B232" s="49">
        <v>8</v>
      </c>
      <c r="C232" s="3">
        <f>382372.5+11377.86</f>
        <v>393750.36</v>
      </c>
      <c r="D232" t="s">
        <v>2983</v>
      </c>
      <c r="E232" t="s">
        <v>2852</v>
      </c>
      <c r="F232" t="s">
        <v>52</v>
      </c>
    </row>
    <row r="233" spans="1:10" x14ac:dyDescent="0.25">
      <c r="A233" t="s">
        <v>91</v>
      </c>
      <c r="B233" s="49">
        <v>8</v>
      </c>
      <c r="C233" s="3">
        <f>597082.5</f>
        <v>597082.5</v>
      </c>
      <c r="D233" t="s">
        <v>2994</v>
      </c>
      <c r="E233" t="s">
        <v>2984</v>
      </c>
      <c r="F233" t="s">
        <v>52</v>
      </c>
    </row>
    <row r="234" spans="1:10" x14ac:dyDescent="0.25">
      <c r="A234" t="s">
        <v>91</v>
      </c>
      <c r="B234" s="49">
        <v>8</v>
      </c>
      <c r="C234" s="3"/>
    </row>
    <row r="235" spans="1:10" x14ac:dyDescent="0.25">
      <c r="A235" t="s">
        <v>122</v>
      </c>
      <c r="B235" s="49">
        <v>9</v>
      </c>
      <c r="C235" s="3">
        <v>672356.16</v>
      </c>
      <c r="D235" t="s">
        <v>2981</v>
      </c>
      <c r="E235" t="s">
        <v>2980</v>
      </c>
      <c r="F235" t="s">
        <v>1804</v>
      </c>
      <c r="G235">
        <v>96</v>
      </c>
    </row>
    <row r="236" spans="1:10" x14ac:dyDescent="0.25">
      <c r="A236" t="s">
        <v>122</v>
      </c>
      <c r="B236" s="49">
        <v>9</v>
      </c>
      <c r="C236" s="50">
        <f>564570+17504.4</f>
        <v>582074.4</v>
      </c>
      <c r="D236" t="s">
        <v>2985</v>
      </c>
      <c r="E236" t="s">
        <v>2986</v>
      </c>
      <c r="F236" t="s">
        <v>52</v>
      </c>
    </row>
    <row r="237" spans="1:10" x14ac:dyDescent="0.25">
      <c r="A237" t="s">
        <v>122</v>
      </c>
      <c r="B237" s="49">
        <v>9</v>
      </c>
      <c r="C237" s="50">
        <f>565972.5+17504.4</f>
        <v>583476.9</v>
      </c>
      <c r="D237" t="s">
        <v>2987</v>
      </c>
      <c r="E237" t="s">
        <v>2950</v>
      </c>
      <c r="F237" t="s">
        <v>52</v>
      </c>
    </row>
    <row r="238" spans="1:10" x14ac:dyDescent="0.25">
      <c r="A238" t="s">
        <v>43</v>
      </c>
      <c r="B238" s="49">
        <v>10</v>
      </c>
      <c r="C238" s="3">
        <f>589050+17416.88</f>
        <v>606466.88</v>
      </c>
      <c r="D238" t="s">
        <v>2990</v>
      </c>
      <c r="E238" t="s">
        <v>2991</v>
      </c>
      <c r="F238" t="s">
        <v>52</v>
      </c>
    </row>
    <row r="239" spans="1:10" x14ac:dyDescent="0.25">
      <c r="A239" t="s">
        <v>43</v>
      </c>
      <c r="B239" s="49">
        <v>10</v>
      </c>
      <c r="C239" s="3">
        <f>483735+15753.96</f>
        <v>499488.96</v>
      </c>
      <c r="D239" t="s">
        <v>2992</v>
      </c>
      <c r="E239" t="s">
        <v>2974</v>
      </c>
      <c r="F239" t="s">
        <v>52</v>
      </c>
    </row>
    <row r="240" spans="1:10" x14ac:dyDescent="0.25">
      <c r="A240" t="s">
        <v>59</v>
      </c>
      <c r="B240" s="49">
        <v>11</v>
      </c>
      <c r="C240" s="3">
        <f>417945+11377.86</f>
        <v>429322.86</v>
      </c>
      <c r="D240" t="s">
        <v>2993</v>
      </c>
      <c r="E240" t="s">
        <v>2975</v>
      </c>
      <c r="F240" t="s">
        <v>52</v>
      </c>
    </row>
    <row r="241" spans="1:6" x14ac:dyDescent="0.25">
      <c r="A241" t="s">
        <v>59</v>
      </c>
      <c r="B241" s="49">
        <v>11</v>
      </c>
      <c r="C241" s="3"/>
    </row>
    <row r="242" spans="1:6" x14ac:dyDescent="0.25">
      <c r="A242" t="s">
        <v>70</v>
      </c>
      <c r="B242" s="49">
        <v>12</v>
      </c>
      <c r="C242" s="3"/>
    </row>
    <row r="243" spans="1:6" x14ac:dyDescent="0.25">
      <c r="A243" s="37" t="s">
        <v>89</v>
      </c>
      <c r="B243" s="49">
        <v>13</v>
      </c>
      <c r="C243" s="3"/>
    </row>
    <row r="244" spans="1:6" x14ac:dyDescent="0.25">
      <c r="A244" s="37" t="s">
        <v>90</v>
      </c>
      <c r="B244" s="49">
        <v>14</v>
      </c>
      <c r="C244" s="3"/>
    </row>
    <row r="245" spans="1:6" x14ac:dyDescent="0.25">
      <c r="A245" t="s">
        <v>91</v>
      </c>
      <c r="B245" s="49">
        <v>15</v>
      </c>
      <c r="C245" s="3"/>
    </row>
    <row r="246" spans="1:6" x14ac:dyDescent="0.25">
      <c r="A246" t="s">
        <v>91</v>
      </c>
      <c r="B246" s="49">
        <v>15</v>
      </c>
      <c r="C246" s="3">
        <f>587775+17504.4</f>
        <v>605279.4</v>
      </c>
      <c r="D246" t="s">
        <v>3011</v>
      </c>
      <c r="E246" t="s">
        <v>3012</v>
      </c>
      <c r="F246" t="s">
        <v>52</v>
      </c>
    </row>
    <row r="247" spans="1:6" x14ac:dyDescent="0.25">
      <c r="A247" t="s">
        <v>91</v>
      </c>
      <c r="B247" s="49">
        <v>15</v>
      </c>
      <c r="C247" s="3">
        <f>359677.5+11377.86</f>
        <v>371055.35999999999</v>
      </c>
      <c r="D247" t="s">
        <v>3013</v>
      </c>
      <c r="E247" t="s">
        <v>3004</v>
      </c>
      <c r="F247" t="s">
        <v>52</v>
      </c>
    </row>
    <row r="248" spans="1:6" x14ac:dyDescent="0.25">
      <c r="A248" t="s">
        <v>91</v>
      </c>
      <c r="B248" s="49">
        <v>15</v>
      </c>
      <c r="C248" s="3"/>
    </row>
    <row r="249" spans="1:6" x14ac:dyDescent="0.25">
      <c r="A249" t="s">
        <v>122</v>
      </c>
      <c r="B249" s="49">
        <v>16</v>
      </c>
      <c r="C249" s="3"/>
    </row>
    <row r="250" spans="1:6" x14ac:dyDescent="0.25">
      <c r="A250" t="s">
        <v>43</v>
      </c>
      <c r="B250" s="49">
        <v>17</v>
      </c>
      <c r="C250" s="3"/>
    </row>
    <row r="251" spans="1:6" x14ac:dyDescent="0.25">
      <c r="A251" t="s">
        <v>59</v>
      </c>
      <c r="B251" s="49">
        <v>18</v>
      </c>
      <c r="C251" s="3"/>
    </row>
    <row r="252" spans="1:6" x14ac:dyDescent="0.25">
      <c r="A252" t="s">
        <v>70</v>
      </c>
      <c r="B252" s="49">
        <v>19</v>
      </c>
      <c r="C252" s="3"/>
    </row>
    <row r="262" spans="1:10" x14ac:dyDescent="0.25">
      <c r="A262" t="s">
        <v>3334</v>
      </c>
    </row>
    <row r="263" spans="1:10" x14ac:dyDescent="0.25">
      <c r="A263" s="48" t="s">
        <v>43</v>
      </c>
      <c r="B263" s="49">
        <v>24</v>
      </c>
      <c r="C263" s="193">
        <f>594787.5+19254.84</f>
        <v>614042.34</v>
      </c>
      <c r="D263" s="191" t="s">
        <v>3193</v>
      </c>
      <c r="E263" s="191" t="s">
        <v>3194</v>
      </c>
      <c r="F263" s="191" t="s">
        <v>52</v>
      </c>
      <c r="G263" s="210">
        <v>43587</v>
      </c>
      <c r="H263" s="191" t="s">
        <v>55</v>
      </c>
    </row>
    <row r="264" spans="1:10" x14ac:dyDescent="0.25">
      <c r="A264" t="s">
        <v>43</v>
      </c>
      <c r="B264" s="49">
        <v>24</v>
      </c>
      <c r="C264" s="193">
        <f>514207.5+14003.52</f>
        <v>528211.02</v>
      </c>
      <c r="D264" s="191" t="s">
        <v>3195</v>
      </c>
      <c r="E264" s="191" t="s">
        <v>3112</v>
      </c>
      <c r="F264" s="191" t="s">
        <v>52</v>
      </c>
      <c r="G264" s="210">
        <v>43587</v>
      </c>
      <c r="H264" s="191" t="s">
        <v>55</v>
      </c>
    </row>
    <row r="265" spans="1:10" x14ac:dyDescent="0.25">
      <c r="A265" t="s">
        <v>59</v>
      </c>
      <c r="B265" s="49">
        <v>25</v>
      </c>
      <c r="C265" s="54">
        <f>36000*G265</f>
        <v>688140</v>
      </c>
      <c r="D265" s="55" t="s">
        <v>3206</v>
      </c>
      <c r="E265" s="55" t="s">
        <v>3305</v>
      </c>
      <c r="F265" s="55" t="s">
        <v>2947</v>
      </c>
      <c r="G265" s="55">
        <v>19.114999999999998</v>
      </c>
      <c r="H265" s="55">
        <v>43.88</v>
      </c>
      <c r="I265" s="57">
        <v>43579</v>
      </c>
      <c r="J265" s="55" t="s">
        <v>62</v>
      </c>
    </row>
    <row r="266" spans="1:10" x14ac:dyDescent="0.25">
      <c r="A266" t="s">
        <v>59</v>
      </c>
      <c r="B266" s="49">
        <v>25</v>
      </c>
      <c r="C266" s="54">
        <f>35000*G266</f>
        <v>669025</v>
      </c>
      <c r="D266" s="55" t="s">
        <v>3205</v>
      </c>
      <c r="E266" s="55" t="s">
        <v>3320</v>
      </c>
      <c r="F266" s="55" t="s">
        <v>2738</v>
      </c>
      <c r="G266" s="55">
        <v>19.114999999999998</v>
      </c>
      <c r="H266" s="55">
        <v>42.94</v>
      </c>
      <c r="I266" s="57">
        <v>43580</v>
      </c>
      <c r="J266" s="55" t="s">
        <v>62</v>
      </c>
    </row>
    <row r="267" spans="1:10" x14ac:dyDescent="0.25">
      <c r="A267" t="s">
        <v>59</v>
      </c>
      <c r="B267" s="49">
        <v>25</v>
      </c>
      <c r="C267" s="51">
        <f>31410.35*G267</f>
        <v>599937.68500000006</v>
      </c>
      <c r="D267" s="52" t="s">
        <v>3210</v>
      </c>
      <c r="E267" s="52" t="s">
        <v>3211</v>
      </c>
      <c r="F267" s="52" t="s">
        <v>3212</v>
      </c>
      <c r="G267" s="52">
        <v>19.100000000000001</v>
      </c>
      <c r="H267" s="52">
        <v>39.81</v>
      </c>
      <c r="I267" s="53">
        <v>43579</v>
      </c>
      <c r="J267" s="52" t="s">
        <v>62</v>
      </c>
    </row>
    <row r="268" spans="1:10" x14ac:dyDescent="0.25">
      <c r="A268" s="191" t="s">
        <v>59</v>
      </c>
      <c r="B268" s="49">
        <v>25</v>
      </c>
      <c r="C268" s="3">
        <f>389257.5+11377.86</f>
        <v>400635.36</v>
      </c>
      <c r="D268" t="s">
        <v>3196</v>
      </c>
      <c r="E268" t="s">
        <v>3197</v>
      </c>
      <c r="F268" t="s">
        <v>52</v>
      </c>
    </row>
    <row r="269" spans="1:10" x14ac:dyDescent="0.25">
      <c r="A269" t="s">
        <v>70</v>
      </c>
      <c r="B269" s="49">
        <v>26</v>
      </c>
      <c r="C269" s="193"/>
      <c r="D269" s="191"/>
      <c r="E269" s="191"/>
      <c r="F269" s="191"/>
      <c r="G269" s="191"/>
    </row>
    <row r="270" spans="1:10" x14ac:dyDescent="0.25">
      <c r="A270" s="37" t="s">
        <v>89</v>
      </c>
      <c r="B270" s="49">
        <v>27</v>
      </c>
      <c r="C270" s="3"/>
    </row>
    <row r="271" spans="1:10" x14ac:dyDescent="0.25">
      <c r="A271" s="37" t="s">
        <v>90</v>
      </c>
      <c r="B271" s="49">
        <v>28</v>
      </c>
      <c r="C271" s="3"/>
    </row>
    <row r="272" spans="1:10" x14ac:dyDescent="0.25">
      <c r="A272" t="s">
        <v>91</v>
      </c>
      <c r="B272" s="49">
        <v>29</v>
      </c>
      <c r="C272" s="54">
        <f>37000*G272</f>
        <v>702593</v>
      </c>
      <c r="D272" s="55" t="s">
        <v>3249</v>
      </c>
      <c r="E272" s="55" t="s">
        <v>3318</v>
      </c>
      <c r="F272" s="55" t="s">
        <v>2831</v>
      </c>
      <c r="G272" s="55">
        <v>18.989000000000001</v>
      </c>
      <c r="H272" s="55"/>
      <c r="I272" s="57">
        <v>43584</v>
      </c>
      <c r="J272" s="55" t="s">
        <v>62</v>
      </c>
    </row>
    <row r="273" spans="1:10" s="191" customFormat="1" x14ac:dyDescent="0.25">
      <c r="A273" s="191" t="s">
        <v>91</v>
      </c>
      <c r="B273" s="192">
        <v>29</v>
      </c>
      <c r="C273" s="51">
        <f>35477.18*G273</f>
        <v>673676.17102000001</v>
      </c>
      <c r="D273" s="52" t="s">
        <v>3250</v>
      </c>
      <c r="E273" s="52" t="s">
        <v>3251</v>
      </c>
      <c r="F273" s="52" t="s">
        <v>3252</v>
      </c>
      <c r="G273" s="52">
        <v>18.989000000000001</v>
      </c>
      <c r="H273" s="52"/>
      <c r="I273" s="53">
        <v>43584</v>
      </c>
      <c r="J273" s="52" t="s">
        <v>62</v>
      </c>
    </row>
    <row r="274" spans="1:10" x14ac:dyDescent="0.25">
      <c r="A274" t="s">
        <v>91</v>
      </c>
      <c r="B274" s="49">
        <v>29</v>
      </c>
      <c r="C274" s="3">
        <v>29500</v>
      </c>
      <c r="D274" t="s">
        <v>3241</v>
      </c>
      <c r="E274" t="s">
        <v>3239</v>
      </c>
      <c r="F274" t="s">
        <v>1918</v>
      </c>
      <c r="G274">
        <v>29.5</v>
      </c>
    </row>
    <row r="275" spans="1:10" x14ac:dyDescent="0.25">
      <c r="A275" t="s">
        <v>91</v>
      </c>
      <c r="B275" s="49">
        <v>29</v>
      </c>
      <c r="C275" s="3">
        <v>26708.82</v>
      </c>
      <c r="D275" t="s">
        <v>3241</v>
      </c>
      <c r="E275" t="s">
        <v>3240</v>
      </c>
      <c r="F275" t="s">
        <v>3242</v>
      </c>
      <c r="G275">
        <v>53</v>
      </c>
    </row>
    <row r="276" spans="1:10" x14ac:dyDescent="0.25">
      <c r="A276" t="s">
        <v>91</v>
      </c>
      <c r="B276" s="49">
        <v>29</v>
      </c>
      <c r="C276" s="51">
        <f>22970*33.7</f>
        <v>774089.00000000012</v>
      </c>
      <c r="D276" s="52" t="s">
        <v>3198</v>
      </c>
      <c r="E276" s="52" t="s">
        <v>3284</v>
      </c>
      <c r="F276" s="52" t="s">
        <v>73</v>
      </c>
      <c r="G276" s="53">
        <v>43584</v>
      </c>
      <c r="H276" s="52" t="s">
        <v>55</v>
      </c>
    </row>
    <row r="277" spans="1:10" x14ac:dyDescent="0.25">
      <c r="A277" t="s">
        <v>122</v>
      </c>
      <c r="B277" s="49">
        <v>30</v>
      </c>
      <c r="C277" s="51">
        <f>22860*33.7</f>
        <v>770382.00000000012</v>
      </c>
      <c r="D277" s="52" t="s">
        <v>3202</v>
      </c>
      <c r="E277" s="52" t="s">
        <v>3285</v>
      </c>
      <c r="F277" s="52" t="s">
        <v>73</v>
      </c>
      <c r="G277" s="53">
        <v>43584</v>
      </c>
      <c r="H277" s="52" t="s">
        <v>55</v>
      </c>
    </row>
    <row r="278" spans="1:10" x14ac:dyDescent="0.25">
      <c r="A278" t="s">
        <v>122</v>
      </c>
      <c r="B278" s="49">
        <v>30</v>
      </c>
      <c r="C278" s="193">
        <f>22640*34.7</f>
        <v>785608.00000000012</v>
      </c>
      <c r="D278" t="s">
        <v>3202</v>
      </c>
      <c r="E278" s="191" t="s">
        <v>3298</v>
      </c>
      <c r="F278" t="s">
        <v>73</v>
      </c>
    </row>
    <row r="279" spans="1:10" x14ac:dyDescent="0.25">
      <c r="A279" t="s">
        <v>122</v>
      </c>
      <c r="B279" s="49">
        <v>30</v>
      </c>
      <c r="C279" s="54">
        <f>37000*G279</f>
        <v>702482</v>
      </c>
      <c r="D279" s="55" t="s">
        <v>3278</v>
      </c>
      <c r="E279" s="55"/>
      <c r="F279" s="55" t="s">
        <v>2831</v>
      </c>
      <c r="G279" s="55">
        <v>18.986000000000001</v>
      </c>
      <c r="H279" s="55"/>
      <c r="I279" s="57">
        <v>43578</v>
      </c>
      <c r="J279" s="55" t="s">
        <v>62</v>
      </c>
    </row>
    <row r="280" spans="1:10" x14ac:dyDescent="0.25">
      <c r="A280" t="s">
        <v>122</v>
      </c>
      <c r="B280" s="49">
        <v>30</v>
      </c>
      <c r="C280" s="54">
        <f>32000*G280</f>
        <v>609248</v>
      </c>
      <c r="D280" s="55" t="s">
        <v>3279</v>
      </c>
      <c r="E280" s="55"/>
      <c r="F280" s="55" t="s">
        <v>3291</v>
      </c>
      <c r="G280" s="55">
        <v>19.039000000000001</v>
      </c>
      <c r="H280" s="55"/>
      <c r="I280" s="57">
        <v>43585</v>
      </c>
      <c r="J280" s="55" t="s">
        <v>62</v>
      </c>
    </row>
    <row r="281" spans="1:10" s="191" customFormat="1" x14ac:dyDescent="0.25">
      <c r="A281" t="s">
        <v>122</v>
      </c>
      <c r="B281" s="49">
        <v>30</v>
      </c>
      <c r="C281" s="51">
        <f>35642.25*G281</f>
        <v>678806.65125000011</v>
      </c>
      <c r="D281" s="52" t="s">
        <v>3295</v>
      </c>
      <c r="E281" s="52" t="s">
        <v>3287</v>
      </c>
      <c r="F281" s="52" t="s">
        <v>3288</v>
      </c>
      <c r="G281" s="52">
        <v>19.045000000000002</v>
      </c>
      <c r="H281" s="52">
        <v>45.48</v>
      </c>
      <c r="I281" s="53">
        <v>43585</v>
      </c>
      <c r="J281" s="52" t="s">
        <v>62</v>
      </c>
    </row>
    <row r="282" spans="1:10" s="191" customFormat="1" x14ac:dyDescent="0.25">
      <c r="A282" t="s">
        <v>122</v>
      </c>
      <c r="B282" s="49">
        <v>30</v>
      </c>
      <c r="C282" s="51">
        <f>34245.46*G282</f>
        <v>652204.78570000001</v>
      </c>
      <c r="D282" s="52" t="s">
        <v>3292</v>
      </c>
      <c r="E282" s="52" t="s">
        <v>3293</v>
      </c>
      <c r="F282" s="52" t="s">
        <v>3294</v>
      </c>
      <c r="G282" s="52">
        <v>19.045000000000002</v>
      </c>
      <c r="H282" s="52">
        <v>43.78</v>
      </c>
      <c r="I282" s="53">
        <v>43585</v>
      </c>
      <c r="J282" s="52" t="s">
        <v>62</v>
      </c>
    </row>
    <row r="283" spans="1:10" x14ac:dyDescent="0.25">
      <c r="A283" s="61" t="s">
        <v>3201</v>
      </c>
      <c r="C283" s="3"/>
    </row>
    <row r="284" spans="1:10" x14ac:dyDescent="0.25">
      <c r="A284" t="s">
        <v>43</v>
      </c>
      <c r="B284" s="49">
        <v>1</v>
      </c>
      <c r="C284" s="3"/>
    </row>
    <row r="285" spans="1:10" x14ac:dyDescent="0.25">
      <c r="A285" t="s">
        <v>59</v>
      </c>
      <c r="B285" s="49">
        <v>2</v>
      </c>
      <c r="C285" s="54">
        <f>33000*G285</f>
        <v>631587</v>
      </c>
      <c r="D285" s="55" t="s">
        <v>3296</v>
      </c>
      <c r="E285" s="55"/>
      <c r="F285" s="55" t="s">
        <v>2739</v>
      </c>
      <c r="G285" s="55">
        <v>19.138999999999999</v>
      </c>
      <c r="H285" s="55"/>
      <c r="I285" s="57">
        <v>43587</v>
      </c>
      <c r="J285" s="55" t="s">
        <v>62</v>
      </c>
    </row>
    <row r="286" spans="1:10" x14ac:dyDescent="0.25">
      <c r="A286" t="s">
        <v>59</v>
      </c>
      <c r="B286" s="49">
        <v>2</v>
      </c>
      <c r="C286" s="51">
        <v>294724.43</v>
      </c>
      <c r="D286" s="52" t="s">
        <v>3269</v>
      </c>
      <c r="E286" s="52" t="s">
        <v>3286</v>
      </c>
      <c r="F286" s="52" t="s">
        <v>3188</v>
      </c>
      <c r="G286" s="52">
        <v>91</v>
      </c>
      <c r="H286" s="53">
        <v>43585</v>
      </c>
      <c r="I286" s="52" t="s">
        <v>62</v>
      </c>
    </row>
    <row r="287" spans="1:10" x14ac:dyDescent="0.25">
      <c r="A287" t="s">
        <v>70</v>
      </c>
      <c r="B287" s="49">
        <v>3</v>
      </c>
      <c r="C287" s="3">
        <v>60147.5</v>
      </c>
      <c r="D287" t="s">
        <v>3267</v>
      </c>
      <c r="E287" t="s">
        <v>3266</v>
      </c>
      <c r="F287" t="s">
        <v>87</v>
      </c>
      <c r="G287">
        <v>17.5</v>
      </c>
    </row>
    <row r="288" spans="1:10" x14ac:dyDescent="0.25">
      <c r="A288" t="s">
        <v>70</v>
      </c>
      <c r="B288" s="49">
        <v>3</v>
      </c>
      <c r="C288" s="193">
        <f>22930*34.6</f>
        <v>793378</v>
      </c>
      <c r="D288" t="s">
        <v>3265</v>
      </c>
      <c r="E288" s="191" t="s">
        <v>3299</v>
      </c>
      <c r="F288" t="s">
        <v>73</v>
      </c>
    </row>
    <row r="289" spans="1:6" x14ac:dyDescent="0.25">
      <c r="A289" s="37" t="s">
        <v>89</v>
      </c>
      <c r="B289" s="49">
        <v>4</v>
      </c>
      <c r="C289" s="3"/>
    </row>
    <row r="290" spans="1:6" x14ac:dyDescent="0.25">
      <c r="A290" s="37" t="s">
        <v>90</v>
      </c>
      <c r="B290" s="49">
        <v>5</v>
      </c>
      <c r="C290" s="3"/>
    </row>
    <row r="291" spans="1:6" x14ac:dyDescent="0.25">
      <c r="A291" t="s">
        <v>91</v>
      </c>
      <c r="B291" s="49">
        <v>6</v>
      </c>
      <c r="C291" s="3"/>
    </row>
    <row r="292" spans="1:6" x14ac:dyDescent="0.25">
      <c r="A292" t="s">
        <v>91</v>
      </c>
      <c r="B292" s="49">
        <v>6</v>
      </c>
      <c r="C292" s="3">
        <f>684930+21880.5</f>
        <v>706810.5</v>
      </c>
      <c r="D292" t="s">
        <v>3231</v>
      </c>
      <c r="E292" t="s">
        <v>3223</v>
      </c>
      <c r="F292" t="s">
        <v>52</v>
      </c>
    </row>
    <row r="293" spans="1:6" x14ac:dyDescent="0.25">
      <c r="A293" t="s">
        <v>91</v>
      </c>
      <c r="B293" s="49">
        <v>6</v>
      </c>
      <c r="C293" s="3">
        <f>587520+19167.32</f>
        <v>606687.31999999995</v>
      </c>
      <c r="D293" t="s">
        <v>3232</v>
      </c>
      <c r="E293" t="s">
        <v>3224</v>
      </c>
      <c r="F293" t="s">
        <v>52</v>
      </c>
    </row>
    <row r="294" spans="1:6" x14ac:dyDescent="0.25">
      <c r="A294" t="s">
        <v>122</v>
      </c>
      <c r="B294" s="49">
        <v>7</v>
      </c>
      <c r="C294" s="3">
        <f>661087.5+19254.84</f>
        <v>680342.34</v>
      </c>
      <c r="D294" t="s">
        <v>3236</v>
      </c>
      <c r="E294" t="s">
        <v>3237</v>
      </c>
      <c r="F294" t="s">
        <v>52</v>
      </c>
    </row>
    <row r="295" spans="1:6" x14ac:dyDescent="0.25">
      <c r="A295" t="s">
        <v>122</v>
      </c>
      <c r="B295" s="49">
        <v>7</v>
      </c>
      <c r="C295" s="3">
        <f>752440+19254.84</f>
        <v>771694.84</v>
      </c>
      <c r="D295" t="s">
        <v>3244</v>
      </c>
      <c r="E295" t="s">
        <v>3243</v>
      </c>
      <c r="F295" t="s">
        <v>52</v>
      </c>
    </row>
    <row r="296" spans="1:6" x14ac:dyDescent="0.25">
      <c r="A296" t="s">
        <v>43</v>
      </c>
      <c r="B296" s="49">
        <v>8</v>
      </c>
      <c r="C296" s="3">
        <f>652340+17504.4</f>
        <v>669844.4</v>
      </c>
      <c r="D296" t="s">
        <v>3261</v>
      </c>
      <c r="E296" t="s">
        <v>3262</v>
      </c>
      <c r="F296" t="s">
        <v>52</v>
      </c>
    </row>
    <row r="297" spans="1:6" x14ac:dyDescent="0.25">
      <c r="A297" t="s">
        <v>43</v>
      </c>
      <c r="B297" s="49">
        <v>8</v>
      </c>
      <c r="C297" s="3">
        <f>435630+11377.86</f>
        <v>447007.86</v>
      </c>
      <c r="D297" t="s">
        <v>3261</v>
      </c>
      <c r="E297" t="s">
        <v>3254</v>
      </c>
      <c r="F297" t="s">
        <v>52</v>
      </c>
    </row>
    <row r="298" spans="1:6" x14ac:dyDescent="0.25">
      <c r="A298" t="s">
        <v>59</v>
      </c>
      <c r="B298" s="49">
        <v>9</v>
      </c>
      <c r="C298" s="3">
        <f>440180+11377.86</f>
        <v>451557.86</v>
      </c>
      <c r="D298" t="s">
        <v>3263</v>
      </c>
      <c r="E298" t="s">
        <v>3264</v>
      </c>
      <c r="F298" t="s">
        <v>52</v>
      </c>
    </row>
    <row r="299" spans="1:6" x14ac:dyDescent="0.25">
      <c r="A299" t="s">
        <v>70</v>
      </c>
      <c r="B299" s="49">
        <v>10</v>
      </c>
      <c r="C299" s="3"/>
    </row>
    <row r="300" spans="1:6" x14ac:dyDescent="0.25">
      <c r="A300" s="37" t="s">
        <v>89</v>
      </c>
      <c r="B300" s="49">
        <v>11</v>
      </c>
    </row>
    <row r="301" spans="1:6" x14ac:dyDescent="0.25">
      <c r="A301" s="37" t="s">
        <v>90</v>
      </c>
      <c r="B301" s="49">
        <v>12</v>
      </c>
    </row>
    <row r="302" spans="1:6" x14ac:dyDescent="0.25">
      <c r="A302" t="s">
        <v>91</v>
      </c>
      <c r="B302" s="49">
        <v>13</v>
      </c>
      <c r="C302" s="3">
        <f>603840+17504.4</f>
        <v>621344.4</v>
      </c>
      <c r="D302" t="s">
        <v>3335</v>
      </c>
      <c r="E302" t="s">
        <v>3336</v>
      </c>
      <c r="F302" t="s">
        <v>52</v>
      </c>
    </row>
    <row r="303" spans="1:6" x14ac:dyDescent="0.25">
      <c r="A303" t="s">
        <v>91</v>
      </c>
      <c r="B303">
        <v>13</v>
      </c>
      <c r="C303" s="3">
        <f>445332.5+11377.86</f>
        <v>456710.36</v>
      </c>
      <c r="D303" t="s">
        <v>3338</v>
      </c>
      <c r="E303" t="s">
        <v>3281</v>
      </c>
      <c r="F303" t="s">
        <v>52</v>
      </c>
    </row>
    <row r="304" spans="1:6" x14ac:dyDescent="0.25">
      <c r="A304" t="s">
        <v>91</v>
      </c>
      <c r="B304">
        <v>13</v>
      </c>
      <c r="C304" s="3">
        <f>661650+17504.4</f>
        <v>679154.4</v>
      </c>
      <c r="D304" t="s">
        <v>3337</v>
      </c>
      <c r="E304" t="s">
        <v>3301</v>
      </c>
      <c r="F304" t="s">
        <v>52</v>
      </c>
    </row>
    <row r="305" spans="1:6" x14ac:dyDescent="0.25">
      <c r="A305" t="s">
        <v>91</v>
      </c>
      <c r="B305">
        <v>13</v>
      </c>
      <c r="C305" s="3">
        <f>386925+11377.86</f>
        <v>398302.86</v>
      </c>
      <c r="D305" t="s">
        <v>3339</v>
      </c>
      <c r="E305" t="s">
        <v>3302</v>
      </c>
      <c r="F305" t="s">
        <v>52</v>
      </c>
    </row>
    <row r="306" spans="1:6" x14ac:dyDescent="0.25">
      <c r="A306" t="s">
        <v>122</v>
      </c>
      <c r="B306">
        <v>14</v>
      </c>
      <c r="C306" s="3">
        <f>650375+17504.4</f>
        <v>667879.4</v>
      </c>
      <c r="D306" t="s">
        <v>3340</v>
      </c>
      <c r="E306" t="s">
        <v>3341</v>
      </c>
      <c r="F306" t="s">
        <v>52</v>
      </c>
    </row>
    <row r="307" spans="1:6" x14ac:dyDescent="0.25">
      <c r="A307" t="s">
        <v>122</v>
      </c>
      <c r="B307">
        <v>14</v>
      </c>
      <c r="C307" s="3">
        <f>365475+11552.9</f>
        <v>377027.9</v>
      </c>
      <c r="D307" t="s">
        <v>3343</v>
      </c>
      <c r="E307" t="s">
        <v>3342</v>
      </c>
      <c r="F307" t="s">
        <v>52</v>
      </c>
    </row>
    <row r="321" spans="1:10" x14ac:dyDescent="0.25">
      <c r="A321" t="s">
        <v>3754</v>
      </c>
    </row>
    <row r="322" spans="1:10" x14ac:dyDescent="0.25">
      <c r="A322" s="48" t="s">
        <v>91</v>
      </c>
      <c r="B322" s="49">
        <v>3</v>
      </c>
      <c r="C322" s="3">
        <f>729865+17504.4</f>
        <v>747369.4</v>
      </c>
      <c r="D322" t="s">
        <v>3614</v>
      </c>
      <c r="E322" t="s">
        <v>3615</v>
      </c>
      <c r="F322" t="s">
        <v>52</v>
      </c>
    </row>
    <row r="323" spans="1:10" x14ac:dyDescent="0.25">
      <c r="A323" t="s">
        <v>91</v>
      </c>
      <c r="B323" s="49">
        <v>3</v>
      </c>
      <c r="C323" s="51">
        <f>466955+11377.86</f>
        <v>478332.86</v>
      </c>
      <c r="D323" s="52" t="s">
        <v>3614</v>
      </c>
      <c r="E323" s="52" t="s">
        <v>3559</v>
      </c>
      <c r="F323" s="52" t="s">
        <v>52</v>
      </c>
      <c r="G323" s="53">
        <v>43616</v>
      </c>
      <c r="H323" s="52" t="s">
        <v>55</v>
      </c>
    </row>
    <row r="324" spans="1:10" x14ac:dyDescent="0.25">
      <c r="A324" t="s">
        <v>122</v>
      </c>
      <c r="B324" s="49">
        <v>4</v>
      </c>
      <c r="C324" s="63">
        <f>40000*G324</f>
        <v>800000</v>
      </c>
      <c r="D324" s="64" t="s">
        <v>3745</v>
      </c>
      <c r="E324" s="64"/>
      <c r="F324" s="64" t="s">
        <v>3669</v>
      </c>
      <c r="G324" s="50">
        <v>20</v>
      </c>
      <c r="H324" s="64"/>
      <c r="I324" s="64"/>
      <c r="J324" s="64"/>
    </row>
    <row r="325" spans="1:10" s="191" customFormat="1" x14ac:dyDescent="0.25">
      <c r="A325" s="191" t="s">
        <v>122</v>
      </c>
      <c r="B325" s="192">
        <v>4</v>
      </c>
      <c r="C325" s="193">
        <f>39118.91*G325</f>
        <v>774163.22889999999</v>
      </c>
      <c r="D325" s="191" t="s">
        <v>3747</v>
      </c>
      <c r="E325" s="191" t="s">
        <v>3749</v>
      </c>
      <c r="F325" s="191" t="s">
        <v>3748</v>
      </c>
      <c r="G325" s="51">
        <v>19.79</v>
      </c>
      <c r="H325" s="52">
        <v>43.11</v>
      </c>
      <c r="I325" s="53">
        <v>43620</v>
      </c>
    </row>
    <row r="326" spans="1:10" x14ac:dyDescent="0.25">
      <c r="A326" t="s">
        <v>122</v>
      </c>
      <c r="B326" s="49">
        <v>4</v>
      </c>
      <c r="C326" s="3">
        <f>783850+19254.84</f>
        <v>803104.84</v>
      </c>
      <c r="D326" t="s">
        <v>3616</v>
      </c>
      <c r="E326" t="s">
        <v>3617</v>
      </c>
      <c r="F326" t="s">
        <v>52</v>
      </c>
    </row>
    <row r="327" spans="1:10" x14ac:dyDescent="0.25">
      <c r="A327" t="s">
        <v>122</v>
      </c>
      <c r="B327" s="49">
        <v>4</v>
      </c>
      <c r="C327" s="3">
        <f>109800+2625.66</f>
        <v>112425.66</v>
      </c>
      <c r="D327" t="s">
        <v>3619</v>
      </c>
      <c r="E327" t="s">
        <v>3618</v>
      </c>
      <c r="F327" t="s">
        <v>52</v>
      </c>
    </row>
    <row r="328" spans="1:10" x14ac:dyDescent="0.25">
      <c r="A328" t="s">
        <v>122</v>
      </c>
      <c r="B328" s="49">
        <v>4</v>
      </c>
      <c r="C328" s="3">
        <f>777902.5+19079.8</f>
        <v>796982.3</v>
      </c>
      <c r="D328" t="s">
        <v>3620</v>
      </c>
      <c r="E328" t="s">
        <v>3621</v>
      </c>
      <c r="F328" t="s">
        <v>52</v>
      </c>
    </row>
    <row r="329" spans="1:10" x14ac:dyDescent="0.25">
      <c r="A329" t="s">
        <v>122</v>
      </c>
      <c r="B329" s="49">
        <v>4</v>
      </c>
      <c r="C329" s="3">
        <f>102022.5+2625.66</f>
        <v>104648.16</v>
      </c>
      <c r="D329" t="s">
        <v>3623</v>
      </c>
      <c r="E329" t="s">
        <v>3622</v>
      </c>
      <c r="F329" t="s">
        <v>52</v>
      </c>
    </row>
    <row r="330" spans="1:10" x14ac:dyDescent="0.25">
      <c r="A330" t="s">
        <v>43</v>
      </c>
      <c r="B330" s="49">
        <v>5</v>
      </c>
      <c r="C330" s="3">
        <f>760517.5+20130.06-300000</f>
        <v>480647.56000000006</v>
      </c>
      <c r="D330" t="s">
        <v>3625</v>
      </c>
      <c r="E330" t="s">
        <v>3626</v>
      </c>
      <c r="F330" t="s">
        <v>52</v>
      </c>
      <c r="G330" t="s">
        <v>3631</v>
      </c>
    </row>
    <row r="331" spans="1:10" x14ac:dyDescent="0.25">
      <c r="A331" t="s">
        <v>43</v>
      </c>
      <c r="B331" s="49">
        <v>5</v>
      </c>
      <c r="C331" s="3">
        <f>504622.5+13128.3</f>
        <v>517750.8</v>
      </c>
      <c r="D331" t="s">
        <v>3625</v>
      </c>
      <c r="E331" t="s">
        <v>3627</v>
      </c>
      <c r="F331" t="s">
        <v>52</v>
      </c>
    </row>
    <row r="332" spans="1:10" x14ac:dyDescent="0.25">
      <c r="A332" t="s">
        <v>43</v>
      </c>
      <c r="B332" s="49">
        <v>5</v>
      </c>
      <c r="C332" s="3">
        <v>62262</v>
      </c>
      <c r="D332" t="s">
        <v>3719</v>
      </c>
      <c r="E332" t="s">
        <v>3718</v>
      </c>
      <c r="F332" t="s">
        <v>87</v>
      </c>
      <c r="G332">
        <v>18</v>
      </c>
    </row>
    <row r="333" spans="1:10" x14ac:dyDescent="0.25">
      <c r="A333" t="s">
        <v>59</v>
      </c>
      <c r="B333" s="49">
        <v>6</v>
      </c>
      <c r="C333" s="63"/>
      <c r="D333" s="64" t="s">
        <v>3744</v>
      </c>
      <c r="E333" s="64"/>
      <c r="F333" s="64"/>
      <c r="G333" s="50">
        <v>20</v>
      </c>
      <c r="H333" s="64"/>
      <c r="I333" s="64"/>
      <c r="J333" s="64"/>
    </row>
    <row r="334" spans="1:10" x14ac:dyDescent="0.25">
      <c r="A334" t="s">
        <v>59</v>
      </c>
      <c r="B334" s="49">
        <v>6</v>
      </c>
      <c r="C334" s="3">
        <f>853542.5+19955.02</f>
        <v>873497.52</v>
      </c>
      <c r="D334" t="s">
        <v>3628</v>
      </c>
      <c r="E334" t="s">
        <v>3629</v>
      </c>
      <c r="F334" t="s">
        <v>52</v>
      </c>
    </row>
    <row r="335" spans="1:10" x14ac:dyDescent="0.25">
      <c r="A335" t="s">
        <v>59</v>
      </c>
      <c r="B335" s="49">
        <v>6</v>
      </c>
      <c r="C335" s="3">
        <f>550525+13128.3</f>
        <v>563653.30000000005</v>
      </c>
      <c r="D335" t="s">
        <v>3628</v>
      </c>
      <c r="E335" t="s">
        <v>3630</v>
      </c>
      <c r="F335" t="s">
        <v>52</v>
      </c>
    </row>
    <row r="336" spans="1:10" x14ac:dyDescent="0.25">
      <c r="A336" t="s">
        <v>70</v>
      </c>
      <c r="B336" s="49">
        <v>7</v>
      </c>
      <c r="C336" s="3"/>
      <c r="D336" t="s">
        <v>3750</v>
      </c>
      <c r="G336" s="50">
        <v>20</v>
      </c>
    </row>
    <row r="337" spans="1:10" x14ac:dyDescent="0.25">
      <c r="A337" t="s">
        <v>70</v>
      </c>
      <c r="B337" s="49">
        <v>7</v>
      </c>
      <c r="C337" s="3"/>
      <c r="D337" t="s">
        <v>3751</v>
      </c>
      <c r="G337" s="50">
        <v>20</v>
      </c>
    </row>
    <row r="338" spans="1:10" x14ac:dyDescent="0.25">
      <c r="A338" t="s">
        <v>70</v>
      </c>
      <c r="B338" s="49">
        <v>7</v>
      </c>
      <c r="C338" s="3">
        <v>1618429.01</v>
      </c>
      <c r="D338" t="s">
        <v>3640</v>
      </c>
      <c r="E338" t="s">
        <v>3641</v>
      </c>
      <c r="F338" t="s">
        <v>2802</v>
      </c>
      <c r="G338">
        <v>86</v>
      </c>
    </row>
    <row r="339" spans="1:10" x14ac:dyDescent="0.25">
      <c r="A339" t="s">
        <v>70</v>
      </c>
      <c r="B339" s="49">
        <v>7</v>
      </c>
      <c r="C339" s="3">
        <v>285230.40000000002</v>
      </c>
      <c r="D339" t="s">
        <v>3731</v>
      </c>
      <c r="E339" s="191" t="s">
        <v>3743</v>
      </c>
      <c r="F339" t="s">
        <v>1804</v>
      </c>
      <c r="G339">
        <v>96</v>
      </c>
    </row>
    <row r="340" spans="1:10" x14ac:dyDescent="0.25">
      <c r="A340" s="37" t="s">
        <v>89</v>
      </c>
      <c r="B340" s="49">
        <v>8</v>
      </c>
      <c r="C340" s="3"/>
    </row>
    <row r="341" spans="1:10" x14ac:dyDescent="0.25">
      <c r="A341" s="37" t="s">
        <v>90</v>
      </c>
      <c r="B341" s="49">
        <v>9</v>
      </c>
      <c r="C341" s="3"/>
    </row>
    <row r="342" spans="1:10" x14ac:dyDescent="0.25">
      <c r="A342" t="s">
        <v>91</v>
      </c>
      <c r="B342" s="49">
        <v>10</v>
      </c>
      <c r="C342" s="63"/>
      <c r="D342" s="64" t="s">
        <v>3746</v>
      </c>
      <c r="E342" s="64"/>
      <c r="F342" s="64"/>
      <c r="G342" s="50">
        <v>20</v>
      </c>
      <c r="H342" s="64"/>
      <c r="I342" s="64"/>
      <c r="J342" s="64"/>
    </row>
    <row r="343" spans="1:10" x14ac:dyDescent="0.25">
      <c r="A343" t="s">
        <v>91</v>
      </c>
      <c r="B343" s="49">
        <v>10</v>
      </c>
      <c r="C343" s="3">
        <f>830667.5+20130.06</f>
        <v>850797.56</v>
      </c>
      <c r="D343" s="3" t="s">
        <v>3685</v>
      </c>
      <c r="E343" t="s">
        <v>3684</v>
      </c>
      <c r="F343" t="s">
        <v>52</v>
      </c>
    </row>
    <row r="344" spans="1:10" x14ac:dyDescent="0.25">
      <c r="A344" t="s">
        <v>91</v>
      </c>
      <c r="B344" s="49">
        <v>10</v>
      </c>
      <c r="C344" s="3">
        <f>92567.5+2625.66</f>
        <v>95193.16</v>
      </c>
      <c r="D344" s="3" t="s">
        <v>3687</v>
      </c>
      <c r="E344" t="s">
        <v>3686</v>
      </c>
      <c r="F344" t="s">
        <v>52</v>
      </c>
    </row>
    <row r="345" spans="1:10" x14ac:dyDescent="0.25">
      <c r="A345" t="s">
        <v>91</v>
      </c>
      <c r="B345" s="49">
        <v>10</v>
      </c>
      <c r="C345" s="3">
        <f>695330+17416.88</f>
        <v>712746.88</v>
      </c>
      <c r="D345" s="3" t="s">
        <v>3703</v>
      </c>
      <c r="E345" t="s">
        <v>3704</v>
      </c>
      <c r="F345" t="s">
        <v>52</v>
      </c>
    </row>
    <row r="346" spans="1:10" x14ac:dyDescent="0.25">
      <c r="A346" t="s">
        <v>122</v>
      </c>
      <c r="B346" s="49">
        <v>11</v>
      </c>
      <c r="C346" s="63"/>
      <c r="D346" s="64"/>
      <c r="E346" s="64"/>
      <c r="F346" s="64"/>
      <c r="G346" s="50">
        <v>20</v>
      </c>
      <c r="H346" s="64"/>
      <c r="I346" s="64"/>
      <c r="J346" s="64"/>
    </row>
    <row r="347" spans="1:10" x14ac:dyDescent="0.25">
      <c r="A347" s="191" t="s">
        <v>122</v>
      </c>
      <c r="B347" s="192">
        <v>11</v>
      </c>
      <c r="C347" s="63"/>
      <c r="D347" s="64"/>
      <c r="E347" s="64"/>
      <c r="F347" s="64"/>
      <c r="G347" s="50">
        <v>20</v>
      </c>
      <c r="H347" s="64"/>
      <c r="I347" s="64"/>
      <c r="J347" s="64"/>
    </row>
    <row r="348" spans="1:10" x14ac:dyDescent="0.25">
      <c r="A348" t="s">
        <v>122</v>
      </c>
      <c r="B348" s="49">
        <v>11</v>
      </c>
      <c r="C348" s="193">
        <f>693470+17504.4-3467.35</f>
        <v>707507.05</v>
      </c>
      <c r="D348" s="3" t="s">
        <v>3707</v>
      </c>
      <c r="E348" t="s">
        <v>3708</v>
      </c>
      <c r="F348" t="s">
        <v>52</v>
      </c>
      <c r="G348" t="s">
        <v>3709</v>
      </c>
    </row>
    <row r="349" spans="1:10" s="191" customFormat="1" x14ac:dyDescent="0.25">
      <c r="A349" s="191" t="s">
        <v>122</v>
      </c>
      <c r="B349" s="192">
        <v>11</v>
      </c>
      <c r="C349" s="193">
        <f>768490+19254.84</f>
        <v>787744.84</v>
      </c>
      <c r="D349" s="193" t="s">
        <v>3712</v>
      </c>
      <c r="E349" s="191" t="s">
        <v>3713</v>
      </c>
      <c r="F349" s="191" t="s">
        <v>52</v>
      </c>
    </row>
    <row r="350" spans="1:10" x14ac:dyDescent="0.25">
      <c r="A350" t="s">
        <v>43</v>
      </c>
      <c r="B350" s="49">
        <v>12</v>
      </c>
      <c r="C350" s="3">
        <f>671305+17416.88</f>
        <v>688721.88</v>
      </c>
      <c r="D350" s="193" t="s">
        <v>3738</v>
      </c>
      <c r="E350" s="191" t="s">
        <v>3740</v>
      </c>
      <c r="F350" s="191" t="s">
        <v>52</v>
      </c>
    </row>
    <row r="351" spans="1:10" x14ac:dyDescent="0.25">
      <c r="A351" t="s">
        <v>43</v>
      </c>
      <c r="B351" s="49">
        <v>12</v>
      </c>
      <c r="C351" s="3">
        <f>466705+11377.86</f>
        <v>478082.86</v>
      </c>
      <c r="D351" s="193" t="s">
        <v>3738</v>
      </c>
      <c r="E351" s="191" t="s">
        <v>3741</v>
      </c>
      <c r="F351" s="191" t="s">
        <v>52</v>
      </c>
    </row>
    <row r="352" spans="1:10" x14ac:dyDescent="0.25">
      <c r="A352" t="s">
        <v>59</v>
      </c>
      <c r="B352" s="49">
        <v>13</v>
      </c>
      <c r="C352" s="3">
        <f>790807.5+20130.06</f>
        <v>810937.56</v>
      </c>
      <c r="D352" s="193" t="s">
        <v>3739</v>
      </c>
      <c r="E352" s="191" t="s">
        <v>3742</v>
      </c>
      <c r="F352" s="191" t="s">
        <v>52</v>
      </c>
    </row>
    <row r="353" spans="1:6" x14ac:dyDescent="0.25">
      <c r="A353" t="s">
        <v>59</v>
      </c>
      <c r="B353" s="49">
        <v>13</v>
      </c>
      <c r="C353" s="3">
        <f>526837.5+13128.3</f>
        <v>539965.80000000005</v>
      </c>
      <c r="D353" s="193" t="s">
        <v>3739</v>
      </c>
      <c r="E353" s="191" t="s">
        <v>3733</v>
      </c>
      <c r="F353" s="191" t="s">
        <v>52</v>
      </c>
    </row>
    <row r="354" spans="1:6" x14ac:dyDescent="0.25">
      <c r="A354" t="s">
        <v>70</v>
      </c>
      <c r="B354" s="49">
        <v>14</v>
      </c>
      <c r="C354" s="3"/>
    </row>
    <row r="355" spans="1:6" x14ac:dyDescent="0.25">
      <c r="A355" s="37" t="s">
        <v>89</v>
      </c>
      <c r="B355" s="49">
        <v>15</v>
      </c>
      <c r="C355" s="3"/>
    </row>
    <row r="356" spans="1:6" x14ac:dyDescent="0.25">
      <c r="A356" s="37" t="s">
        <v>90</v>
      </c>
      <c r="B356" s="49">
        <v>16</v>
      </c>
      <c r="C356" s="3"/>
    </row>
    <row r="357" spans="1:6" x14ac:dyDescent="0.25">
      <c r="A357" t="s">
        <v>91</v>
      </c>
      <c r="B357" s="49">
        <v>17</v>
      </c>
      <c r="C357" s="3"/>
    </row>
    <row r="358" spans="1:6" x14ac:dyDescent="0.25">
      <c r="A358" t="s">
        <v>122</v>
      </c>
      <c r="B358" s="49">
        <v>18</v>
      </c>
      <c r="C358" s="3"/>
    </row>
    <row r="368" spans="1:6" x14ac:dyDescent="0.25">
      <c r="A368" t="s">
        <v>4147</v>
      </c>
    </row>
    <row r="369" spans="1:10" x14ac:dyDescent="0.25">
      <c r="A369" s="48" t="s">
        <v>59</v>
      </c>
      <c r="B369" s="49">
        <v>27</v>
      </c>
      <c r="C369" s="51">
        <f>817902.5+19254.84</f>
        <v>837157.34</v>
      </c>
      <c r="D369" s="52" t="s">
        <v>3938</v>
      </c>
      <c r="E369" s="52" t="s">
        <v>3939</v>
      </c>
      <c r="F369" s="52" t="s">
        <v>52</v>
      </c>
      <c r="G369" s="53">
        <v>43643</v>
      </c>
      <c r="H369" s="52" t="s">
        <v>55</v>
      </c>
    </row>
    <row r="370" spans="1:10" x14ac:dyDescent="0.25">
      <c r="A370" t="s">
        <v>59</v>
      </c>
      <c r="B370" s="49">
        <v>27</v>
      </c>
      <c r="C370" s="3">
        <f>649900+14091.04</f>
        <v>663991.04000000004</v>
      </c>
      <c r="D370" t="s">
        <v>3938</v>
      </c>
      <c r="E370" t="s">
        <v>3923</v>
      </c>
      <c r="F370" t="s">
        <v>52</v>
      </c>
      <c r="G370" s="59"/>
    </row>
    <row r="371" spans="1:10" x14ac:dyDescent="0.25">
      <c r="A371" t="s">
        <v>70</v>
      </c>
      <c r="B371" s="49">
        <v>28</v>
      </c>
      <c r="C371" s="51">
        <f>29587.12*G371</f>
        <v>567806.4199199999</v>
      </c>
      <c r="D371" s="52" t="s">
        <v>4025</v>
      </c>
      <c r="E371" s="52" t="s">
        <v>4043</v>
      </c>
      <c r="F371" s="52" t="s">
        <v>4044</v>
      </c>
      <c r="G371" s="58">
        <v>19.190999999999999</v>
      </c>
      <c r="H371" s="52">
        <v>32.5</v>
      </c>
      <c r="I371" s="53">
        <v>43644</v>
      </c>
      <c r="J371" s="52" t="s">
        <v>62</v>
      </c>
    </row>
    <row r="372" spans="1:10" x14ac:dyDescent="0.25">
      <c r="A372" t="s">
        <v>70</v>
      </c>
      <c r="B372" s="49">
        <v>28</v>
      </c>
      <c r="C372" s="51">
        <f>28449.57*G372</f>
        <v>545947.24829999998</v>
      </c>
      <c r="D372" s="52" t="s">
        <v>4026</v>
      </c>
      <c r="E372" s="52" t="s">
        <v>4039</v>
      </c>
      <c r="F372" s="52" t="s">
        <v>4040</v>
      </c>
      <c r="G372" s="58">
        <v>19.190000000000001</v>
      </c>
      <c r="H372" s="52">
        <v>32.47</v>
      </c>
      <c r="I372" s="53">
        <v>43644</v>
      </c>
      <c r="J372" s="52" t="s">
        <v>62</v>
      </c>
    </row>
    <row r="373" spans="1:10" x14ac:dyDescent="0.25">
      <c r="A373" t="s">
        <v>70</v>
      </c>
      <c r="B373" s="49">
        <v>28</v>
      </c>
      <c r="C373" s="51">
        <f>29570.63*G373</f>
        <v>568258.79671000002</v>
      </c>
      <c r="D373" s="52" t="s">
        <v>4088</v>
      </c>
      <c r="E373" s="52" t="s">
        <v>4089</v>
      </c>
      <c r="F373" s="52" t="s">
        <v>4090</v>
      </c>
      <c r="G373" s="58">
        <v>19.216999999999999</v>
      </c>
      <c r="H373" s="52">
        <v>32.65</v>
      </c>
      <c r="I373" s="53">
        <v>43644</v>
      </c>
      <c r="J373" s="52" t="s">
        <v>62</v>
      </c>
    </row>
    <row r="374" spans="1:10" x14ac:dyDescent="0.25">
      <c r="A374" t="s">
        <v>70</v>
      </c>
      <c r="B374" s="49">
        <v>28</v>
      </c>
      <c r="C374" s="51">
        <v>65987</v>
      </c>
      <c r="D374" s="52" t="s">
        <v>4102</v>
      </c>
      <c r="E374" s="52" t="s">
        <v>4101</v>
      </c>
      <c r="F374" s="52" t="s">
        <v>87</v>
      </c>
      <c r="G374" s="51">
        <v>19</v>
      </c>
      <c r="H374" s="53">
        <v>43644</v>
      </c>
      <c r="I374" s="52" t="s">
        <v>62</v>
      </c>
      <c r="J374" s="52"/>
    </row>
    <row r="375" spans="1:10" x14ac:dyDescent="0.25">
      <c r="A375" s="37" t="s">
        <v>89</v>
      </c>
      <c r="B375" s="49">
        <v>29</v>
      </c>
      <c r="C375" s="3"/>
    </row>
    <row r="376" spans="1:10" x14ac:dyDescent="0.25">
      <c r="A376" s="37" t="s">
        <v>90</v>
      </c>
      <c r="B376" s="49">
        <v>30</v>
      </c>
      <c r="C376" s="3"/>
    </row>
    <row r="377" spans="1:10" x14ac:dyDescent="0.25">
      <c r="A377" s="61" t="s">
        <v>3948</v>
      </c>
      <c r="C377" s="3"/>
    </row>
    <row r="378" spans="1:10" x14ac:dyDescent="0.25">
      <c r="A378" t="s">
        <v>91</v>
      </c>
      <c r="B378" s="49">
        <v>1</v>
      </c>
      <c r="C378" s="54">
        <f>29000*G378</f>
        <v>557293</v>
      </c>
      <c r="D378" s="55" t="s">
        <v>4004</v>
      </c>
      <c r="E378" s="55"/>
      <c r="F378" s="55" t="s">
        <v>2659</v>
      </c>
      <c r="G378" s="54">
        <v>19.216999999999999</v>
      </c>
      <c r="H378" s="55"/>
      <c r="I378" s="57">
        <v>43644</v>
      </c>
      <c r="J378" s="55" t="s">
        <v>62</v>
      </c>
    </row>
    <row r="379" spans="1:10" s="191" customFormat="1" x14ac:dyDescent="0.25">
      <c r="A379" s="191" t="s">
        <v>91</v>
      </c>
      <c r="B379" s="192">
        <v>1</v>
      </c>
      <c r="C379" s="193">
        <f>779042.5+17504.4</f>
        <v>796546.9</v>
      </c>
      <c r="D379" s="191" t="s">
        <v>3960</v>
      </c>
      <c r="E379" s="191" t="s">
        <v>3949</v>
      </c>
      <c r="F379" s="191" t="s">
        <v>52</v>
      </c>
      <c r="G379" s="193"/>
    </row>
    <row r="380" spans="1:10" s="191" customFormat="1" x14ac:dyDescent="0.25">
      <c r="A380" s="191" t="s">
        <v>91</v>
      </c>
      <c r="B380" s="192">
        <v>1</v>
      </c>
      <c r="C380" s="193">
        <f>507190+11377.86</f>
        <v>518567.86</v>
      </c>
      <c r="D380" s="191" t="s">
        <v>3962</v>
      </c>
      <c r="E380" s="191" t="s">
        <v>3961</v>
      </c>
      <c r="F380" s="191" t="s">
        <v>52</v>
      </c>
      <c r="G380" s="193"/>
    </row>
    <row r="381" spans="1:10" s="191" customFormat="1" x14ac:dyDescent="0.25">
      <c r="A381" s="191" t="s">
        <v>91</v>
      </c>
      <c r="B381" s="192">
        <v>1</v>
      </c>
      <c r="C381" s="193">
        <f>840012.5+20130.06</f>
        <v>860142.56</v>
      </c>
      <c r="D381" s="191" t="s">
        <v>3963</v>
      </c>
      <c r="E381" s="191" t="s">
        <v>3964</v>
      </c>
      <c r="F381" s="191" t="s">
        <v>52</v>
      </c>
      <c r="G381" s="193"/>
    </row>
    <row r="382" spans="1:10" x14ac:dyDescent="0.25">
      <c r="A382" t="s">
        <v>91</v>
      </c>
      <c r="B382" s="49">
        <v>1</v>
      </c>
      <c r="C382" s="3">
        <f>75710+1750.44</f>
        <v>77460.44</v>
      </c>
      <c r="D382" s="191" t="s">
        <v>3966</v>
      </c>
      <c r="E382" s="191" t="s">
        <v>3965</v>
      </c>
      <c r="F382" s="191" t="s">
        <v>52</v>
      </c>
    </row>
    <row r="383" spans="1:10" x14ac:dyDescent="0.25">
      <c r="A383" t="s">
        <v>122</v>
      </c>
      <c r="B383" s="49">
        <v>2</v>
      </c>
      <c r="C383" s="54">
        <f>27000*G383</f>
        <v>520262.99999999994</v>
      </c>
      <c r="D383" s="55" t="s">
        <v>4071</v>
      </c>
      <c r="E383" s="55"/>
      <c r="F383" s="55" t="s">
        <v>2516</v>
      </c>
      <c r="G383" s="56">
        <v>19.268999999999998</v>
      </c>
      <c r="H383" s="55"/>
      <c r="I383" s="57">
        <v>43640</v>
      </c>
      <c r="J383" s="55" t="s">
        <v>62</v>
      </c>
    </row>
    <row r="384" spans="1:10" x14ac:dyDescent="0.25">
      <c r="A384" t="s">
        <v>122</v>
      </c>
      <c r="B384" s="49">
        <v>2</v>
      </c>
      <c r="C384" s="63">
        <f>30000*G384</f>
        <v>573900</v>
      </c>
      <c r="D384" s="64" t="s">
        <v>4072</v>
      </c>
      <c r="E384" s="64"/>
      <c r="F384" s="64" t="s">
        <v>2685</v>
      </c>
      <c r="G384" s="50">
        <v>19.13</v>
      </c>
      <c r="H384" s="64"/>
      <c r="I384" s="257">
        <v>43648</v>
      </c>
      <c r="J384" s="55" t="s">
        <v>62</v>
      </c>
    </row>
    <row r="385" spans="1:10" s="191" customFormat="1" x14ac:dyDescent="0.25">
      <c r="A385" s="191" t="s">
        <v>122</v>
      </c>
      <c r="B385" s="192">
        <v>2</v>
      </c>
      <c r="C385" s="193">
        <f>23350.16*G385</f>
        <v>446688.56079999998</v>
      </c>
      <c r="D385" s="191" t="s">
        <v>4120</v>
      </c>
      <c r="E385" s="191" t="s">
        <v>4121</v>
      </c>
      <c r="F385" s="191" t="s">
        <v>4122</v>
      </c>
      <c r="G385" s="50">
        <v>19.13</v>
      </c>
      <c r="I385" s="210">
        <v>43648</v>
      </c>
      <c r="J385" s="55" t="s">
        <v>62</v>
      </c>
    </row>
    <row r="386" spans="1:10" x14ac:dyDescent="0.25">
      <c r="A386" t="s">
        <v>122</v>
      </c>
      <c r="B386" s="49">
        <v>2</v>
      </c>
      <c r="C386" s="3">
        <f>923092.5+19955.02</f>
        <v>943047.52</v>
      </c>
      <c r="D386" s="191" t="s">
        <v>3985</v>
      </c>
      <c r="E386" s="191" t="s">
        <v>3986</v>
      </c>
      <c r="F386" s="191" t="s">
        <v>52</v>
      </c>
    </row>
    <row r="387" spans="1:10" x14ac:dyDescent="0.25">
      <c r="A387" t="s">
        <v>122</v>
      </c>
      <c r="B387" s="49">
        <v>2</v>
      </c>
      <c r="C387" s="3">
        <f>77552.5+1750.44</f>
        <v>79302.94</v>
      </c>
      <c r="D387" s="191" t="s">
        <v>3988</v>
      </c>
      <c r="E387" s="191" t="s">
        <v>3987</v>
      </c>
      <c r="F387" s="191" t="s">
        <v>52</v>
      </c>
    </row>
    <row r="388" spans="1:10" x14ac:dyDescent="0.25">
      <c r="A388" t="s">
        <v>122</v>
      </c>
      <c r="B388" s="49">
        <v>2</v>
      </c>
      <c r="C388" s="3">
        <f>968652.5+20130.06</f>
        <v>988782.56</v>
      </c>
      <c r="D388" s="191" t="s">
        <v>3991</v>
      </c>
      <c r="E388" s="191" t="s">
        <v>4011</v>
      </c>
      <c r="F388" s="191" t="s">
        <v>52</v>
      </c>
    </row>
    <row r="389" spans="1:10" x14ac:dyDescent="0.25">
      <c r="A389" t="s">
        <v>122</v>
      </c>
      <c r="B389" s="49">
        <v>2</v>
      </c>
      <c r="C389" s="3">
        <f>82912.5+1750.44</f>
        <v>84662.94</v>
      </c>
      <c r="D389" s="191" t="s">
        <v>4012</v>
      </c>
      <c r="E389" s="191" t="s">
        <v>4013</v>
      </c>
      <c r="F389" s="191" t="s">
        <v>52</v>
      </c>
    </row>
    <row r="390" spans="1:10" x14ac:dyDescent="0.25">
      <c r="A390" t="s">
        <v>43</v>
      </c>
      <c r="B390" s="49">
        <v>3</v>
      </c>
      <c r="C390" s="3">
        <f>948050+20042.54</f>
        <v>968092.54</v>
      </c>
      <c r="D390" s="191" t="s">
        <v>4014</v>
      </c>
      <c r="E390" s="191" t="s">
        <v>4015</v>
      </c>
      <c r="F390" s="191" t="s">
        <v>52</v>
      </c>
    </row>
    <row r="391" spans="1:10" x14ac:dyDescent="0.25">
      <c r="A391" t="s">
        <v>43</v>
      </c>
      <c r="B391" s="49">
        <v>3</v>
      </c>
      <c r="C391" s="3">
        <f>560622.5+13128.3</f>
        <v>573750.80000000005</v>
      </c>
      <c r="D391" s="191" t="s">
        <v>4017</v>
      </c>
      <c r="E391" s="191" t="s">
        <v>4016</v>
      </c>
      <c r="F391" s="191" t="s">
        <v>52</v>
      </c>
    </row>
    <row r="392" spans="1:10" x14ac:dyDescent="0.25">
      <c r="A392" t="s">
        <v>43</v>
      </c>
      <c r="B392" s="49">
        <v>3</v>
      </c>
      <c r="C392" s="63">
        <f>30000*G392</f>
        <v>573000</v>
      </c>
      <c r="D392" s="64" t="s">
        <v>4073</v>
      </c>
      <c r="E392" s="64"/>
      <c r="F392" s="64" t="s">
        <v>2685</v>
      </c>
      <c r="G392" s="50">
        <v>19.100000000000001</v>
      </c>
      <c r="H392" s="64"/>
      <c r="I392" s="257">
        <v>43649</v>
      </c>
      <c r="J392" s="64"/>
    </row>
    <row r="393" spans="1:10" x14ac:dyDescent="0.25">
      <c r="A393" t="s">
        <v>59</v>
      </c>
      <c r="B393" s="49">
        <v>4</v>
      </c>
      <c r="C393" s="3">
        <f>970997.5+20130.06</f>
        <v>991127.56</v>
      </c>
      <c r="D393" s="191" t="s">
        <v>4020</v>
      </c>
      <c r="E393" s="191" t="s">
        <v>4021</v>
      </c>
      <c r="F393" s="191" t="s">
        <v>52</v>
      </c>
    </row>
    <row r="394" spans="1:10" x14ac:dyDescent="0.25">
      <c r="A394" t="s">
        <v>59</v>
      </c>
      <c r="B394" s="49">
        <v>4</v>
      </c>
      <c r="C394" s="193">
        <f>549902.5+13128.3</f>
        <v>563030.80000000005</v>
      </c>
      <c r="D394" s="191" t="s">
        <v>4022</v>
      </c>
      <c r="E394" s="191" t="s">
        <v>4019</v>
      </c>
      <c r="F394" s="191" t="s">
        <v>52</v>
      </c>
    </row>
    <row r="395" spans="1:10" x14ac:dyDescent="0.25">
      <c r="A395" t="s">
        <v>59</v>
      </c>
      <c r="B395" s="49">
        <v>4</v>
      </c>
      <c r="C395" s="193">
        <v>42750</v>
      </c>
      <c r="D395" s="191" t="s">
        <v>4105</v>
      </c>
      <c r="E395" s="191" t="s">
        <v>4104</v>
      </c>
      <c r="F395" s="191" t="s">
        <v>1918</v>
      </c>
      <c r="G395">
        <v>28.5</v>
      </c>
    </row>
    <row r="396" spans="1:10" x14ac:dyDescent="0.25">
      <c r="A396" t="s">
        <v>70</v>
      </c>
      <c r="B396" s="49">
        <v>5</v>
      </c>
      <c r="C396" s="3"/>
    </row>
    <row r="397" spans="1:10" x14ac:dyDescent="0.25">
      <c r="A397" s="37" t="s">
        <v>89</v>
      </c>
      <c r="B397" s="49">
        <v>6</v>
      </c>
      <c r="C397" s="3"/>
    </row>
    <row r="398" spans="1:10" x14ac:dyDescent="0.25">
      <c r="A398" s="37" t="s">
        <v>90</v>
      </c>
      <c r="B398" s="49">
        <v>7</v>
      </c>
      <c r="C398" s="3"/>
    </row>
    <row r="399" spans="1:10" x14ac:dyDescent="0.25">
      <c r="A399" t="s">
        <v>91</v>
      </c>
      <c r="B399" s="49">
        <v>8</v>
      </c>
      <c r="C399" s="63"/>
      <c r="D399" s="64" t="s">
        <v>4074</v>
      </c>
      <c r="E399" s="64"/>
      <c r="F399" s="64"/>
      <c r="G399" s="50">
        <v>19.3</v>
      </c>
      <c r="H399" s="64"/>
      <c r="I399" s="64"/>
      <c r="J399" s="64"/>
    </row>
    <row r="400" spans="1:10" x14ac:dyDescent="0.25">
      <c r="A400" t="s">
        <v>91</v>
      </c>
      <c r="B400" s="49">
        <v>8</v>
      </c>
      <c r="C400" s="3">
        <f>738675+17504.4</f>
        <v>756179.4</v>
      </c>
      <c r="D400" t="s">
        <v>4045</v>
      </c>
      <c r="E400" t="s">
        <v>4046</v>
      </c>
      <c r="F400" t="s">
        <v>52</v>
      </c>
    </row>
    <row r="401" spans="1:6" x14ac:dyDescent="0.25">
      <c r="A401" t="s">
        <v>91</v>
      </c>
      <c r="B401" s="49">
        <v>8</v>
      </c>
      <c r="C401" s="3">
        <f>191117.5+4376.1</f>
        <v>195493.6</v>
      </c>
      <c r="D401" t="s">
        <v>4048</v>
      </c>
      <c r="E401" t="s">
        <v>4047</v>
      </c>
      <c r="F401" t="s">
        <v>52</v>
      </c>
    </row>
    <row r="402" spans="1:6" x14ac:dyDescent="0.25">
      <c r="A402" t="s">
        <v>91</v>
      </c>
      <c r="B402" s="49">
        <v>8</v>
      </c>
      <c r="C402" s="3">
        <f>724270+17504.4-4023.35</f>
        <v>737751.05</v>
      </c>
      <c r="D402" t="s">
        <v>4128</v>
      </c>
      <c r="E402" t="s">
        <v>4129</v>
      </c>
      <c r="F402" t="s">
        <v>52</v>
      </c>
    </row>
    <row r="403" spans="1:6" x14ac:dyDescent="0.25">
      <c r="A403" t="s">
        <v>91</v>
      </c>
      <c r="B403" s="49">
        <v>8</v>
      </c>
      <c r="C403" s="3">
        <f>197147.5+4288.58</f>
        <v>201436.08</v>
      </c>
      <c r="D403" t="s">
        <v>4131</v>
      </c>
      <c r="E403" t="s">
        <v>4130</v>
      </c>
      <c r="F403" t="s">
        <v>52</v>
      </c>
    </row>
    <row r="404" spans="1:6" x14ac:dyDescent="0.25">
      <c r="A404" t="s">
        <v>122</v>
      </c>
      <c r="B404" s="49">
        <v>9</v>
      </c>
      <c r="C404" s="3">
        <f>778540+17591.92+187097.5+4376.1-115000</f>
        <v>872605.52</v>
      </c>
      <c r="D404" t="s">
        <v>4132</v>
      </c>
      <c r="E404" t="s">
        <v>4042</v>
      </c>
      <c r="F404" t="s">
        <v>52</v>
      </c>
    </row>
    <row r="405" spans="1:6" x14ac:dyDescent="0.25">
      <c r="A405" t="s">
        <v>122</v>
      </c>
      <c r="B405" s="49">
        <v>9</v>
      </c>
      <c r="C405" s="3">
        <f>784402.5+17504.4-3922.18</f>
        <v>797984.72</v>
      </c>
      <c r="D405" t="s">
        <v>4141</v>
      </c>
      <c r="E405" t="s">
        <v>4133</v>
      </c>
      <c r="F405" t="s">
        <v>52</v>
      </c>
    </row>
    <row r="406" spans="1:6" x14ac:dyDescent="0.25">
      <c r="A406" t="s">
        <v>122</v>
      </c>
      <c r="B406" s="49">
        <v>9</v>
      </c>
      <c r="C406" s="3">
        <f>198655+4376.1</f>
        <v>203031.1</v>
      </c>
      <c r="D406" t="s">
        <v>4141</v>
      </c>
      <c r="E406" t="s">
        <v>4134</v>
      </c>
      <c r="F406" t="s">
        <v>52</v>
      </c>
    </row>
    <row r="407" spans="1:6" x14ac:dyDescent="0.25">
      <c r="A407" t="s">
        <v>43</v>
      </c>
      <c r="B407" s="49">
        <v>10</v>
      </c>
      <c r="C407" s="3">
        <f>914550+20130.06</f>
        <v>934680.06</v>
      </c>
      <c r="D407" t="s">
        <v>4135</v>
      </c>
      <c r="E407" t="s">
        <v>4136</v>
      </c>
      <c r="F407" t="s">
        <v>52</v>
      </c>
    </row>
    <row r="408" spans="1:6" x14ac:dyDescent="0.25">
      <c r="A408" t="s">
        <v>43</v>
      </c>
      <c r="B408" s="49">
        <v>10</v>
      </c>
      <c r="C408" s="3">
        <f>576870+13128.3-3845.8</f>
        <v>586152.5</v>
      </c>
      <c r="D408" t="s">
        <v>4137</v>
      </c>
      <c r="E408" t="s">
        <v>4087</v>
      </c>
      <c r="F408" t="s">
        <v>52</v>
      </c>
    </row>
    <row r="409" spans="1:6" x14ac:dyDescent="0.25">
      <c r="A409" t="s">
        <v>59</v>
      </c>
      <c r="B409" s="49">
        <v>11</v>
      </c>
      <c r="C409" s="3">
        <f>900312.5+20042.54</f>
        <v>920355.04</v>
      </c>
      <c r="D409" t="s">
        <v>4142</v>
      </c>
      <c r="E409" t="s">
        <v>4143</v>
      </c>
      <c r="F409" t="s">
        <v>52</v>
      </c>
    </row>
    <row r="410" spans="1:6" x14ac:dyDescent="0.25">
      <c r="A410" t="s">
        <v>59</v>
      </c>
      <c r="B410" s="49">
        <v>11</v>
      </c>
      <c r="C410" s="3">
        <f>542365+11242.05</f>
        <v>553607.05000000005</v>
      </c>
      <c r="D410" t="s">
        <v>4144</v>
      </c>
      <c r="E410" t="s">
        <v>4093</v>
      </c>
      <c r="F410" t="s">
        <v>52</v>
      </c>
    </row>
    <row r="411" spans="1:6" x14ac:dyDescent="0.25">
      <c r="A411" t="s">
        <v>70</v>
      </c>
      <c r="B411" s="49">
        <v>12</v>
      </c>
      <c r="C411" s="3"/>
    </row>
    <row r="412" spans="1:6" x14ac:dyDescent="0.25">
      <c r="A412" s="37" t="s">
        <v>89</v>
      </c>
      <c r="B412" s="49">
        <v>13</v>
      </c>
      <c r="C412" s="3"/>
    </row>
    <row r="413" spans="1:6" x14ac:dyDescent="0.25">
      <c r="A413" s="37" t="s">
        <v>90</v>
      </c>
      <c r="B413" s="49">
        <v>14</v>
      </c>
      <c r="C413" s="3"/>
    </row>
    <row r="414" spans="1:6" x14ac:dyDescent="0.25">
      <c r="A414" t="s">
        <v>91</v>
      </c>
      <c r="B414" s="49">
        <v>15</v>
      </c>
      <c r="C414" s="3"/>
    </row>
    <row r="415" spans="1:6" x14ac:dyDescent="0.25">
      <c r="A415" t="s">
        <v>91</v>
      </c>
      <c r="B415" s="49">
        <v>15</v>
      </c>
      <c r="C415" s="3">
        <f>885907.5+20130.06</f>
        <v>906037.56</v>
      </c>
      <c r="D415" t="s">
        <v>4145</v>
      </c>
      <c r="E415" t="s">
        <v>4108</v>
      </c>
      <c r="F415" t="s">
        <v>52</v>
      </c>
    </row>
    <row r="416" spans="1:6" x14ac:dyDescent="0.25">
      <c r="A416" t="s">
        <v>91</v>
      </c>
      <c r="B416" s="49">
        <v>15</v>
      </c>
      <c r="C416" s="3">
        <f>514392.5+13128.3</f>
        <v>527520.80000000005</v>
      </c>
      <c r="D416" t="s">
        <v>4146</v>
      </c>
      <c r="E416" t="s">
        <v>4107</v>
      </c>
      <c r="F416" t="s">
        <v>52</v>
      </c>
    </row>
    <row r="417" spans="1:10" x14ac:dyDescent="0.25">
      <c r="A417" t="s">
        <v>91</v>
      </c>
      <c r="B417" s="49">
        <v>15</v>
      </c>
      <c r="C417" s="3"/>
    </row>
    <row r="427" spans="1:10" x14ac:dyDescent="0.25">
      <c r="A427" t="s">
        <v>4581</v>
      </c>
    </row>
    <row r="428" spans="1:10" x14ac:dyDescent="0.25">
      <c r="A428" s="48" t="s">
        <v>59</v>
      </c>
      <c r="B428" s="49">
        <v>1</v>
      </c>
      <c r="C428" s="3">
        <v>157760</v>
      </c>
      <c r="D428" t="s">
        <v>4445</v>
      </c>
      <c r="E428" t="s">
        <v>4468</v>
      </c>
      <c r="F428" t="s">
        <v>4467</v>
      </c>
    </row>
    <row r="429" spans="1:10" x14ac:dyDescent="0.25">
      <c r="A429" t="s">
        <v>59</v>
      </c>
      <c r="B429" s="49">
        <v>1</v>
      </c>
      <c r="C429" s="3">
        <f>15194.97+15194.97+7994.87</f>
        <v>38384.81</v>
      </c>
      <c r="D429" t="s">
        <v>4487</v>
      </c>
      <c r="E429" t="s">
        <v>4488</v>
      </c>
      <c r="F429" t="s">
        <v>4489</v>
      </c>
      <c r="G429" s="72">
        <v>43678</v>
      </c>
      <c r="H429" s="52" t="s">
        <v>55</v>
      </c>
    </row>
    <row r="430" spans="1:10" x14ac:dyDescent="0.25">
      <c r="A430" t="s">
        <v>59</v>
      </c>
      <c r="B430" s="49">
        <v>1</v>
      </c>
      <c r="C430" s="3">
        <f>40195.66*G430</f>
        <v>783815.37000000011</v>
      </c>
      <c r="D430" t="s">
        <v>4570</v>
      </c>
      <c r="E430" t="s">
        <v>4571</v>
      </c>
      <c r="F430" t="s">
        <v>4572</v>
      </c>
      <c r="G430" s="37">
        <v>19.5</v>
      </c>
    </row>
    <row r="431" spans="1:10" x14ac:dyDescent="0.25">
      <c r="A431" t="s">
        <v>70</v>
      </c>
      <c r="B431" s="49">
        <v>2</v>
      </c>
      <c r="C431" s="63"/>
      <c r="D431" s="64" t="s">
        <v>4492</v>
      </c>
      <c r="E431" s="64"/>
      <c r="F431" s="64" t="s">
        <v>2738</v>
      </c>
      <c r="G431" s="55">
        <v>19.172999999999998</v>
      </c>
      <c r="H431" s="55"/>
      <c r="I431" s="57">
        <v>43679</v>
      </c>
      <c r="J431" s="64"/>
    </row>
    <row r="432" spans="1:10" x14ac:dyDescent="0.25">
      <c r="A432" t="s">
        <v>70</v>
      </c>
      <c r="B432" s="49">
        <v>2</v>
      </c>
      <c r="C432" s="3"/>
    </row>
    <row r="433" spans="1:10" x14ac:dyDescent="0.25">
      <c r="A433" s="37" t="s">
        <v>89</v>
      </c>
      <c r="B433" s="49">
        <v>3</v>
      </c>
      <c r="C433" s="3"/>
    </row>
    <row r="434" spans="1:10" x14ac:dyDescent="0.25">
      <c r="A434" s="37" t="s">
        <v>90</v>
      </c>
      <c r="B434" s="49">
        <v>4</v>
      </c>
      <c r="C434" s="3"/>
    </row>
    <row r="435" spans="1:10" s="191" customFormat="1" x14ac:dyDescent="0.25">
      <c r="A435" s="191" t="s">
        <v>91</v>
      </c>
      <c r="B435" s="192">
        <v>5</v>
      </c>
      <c r="C435" s="63"/>
      <c r="D435" s="64" t="s">
        <v>4493</v>
      </c>
      <c r="E435" s="64"/>
      <c r="F435" s="64"/>
      <c r="G435" s="37">
        <v>19.5</v>
      </c>
      <c r="H435" s="64"/>
      <c r="I435" s="64"/>
      <c r="J435" s="64"/>
    </row>
    <row r="436" spans="1:10" x14ac:dyDescent="0.25">
      <c r="A436" t="s">
        <v>91</v>
      </c>
      <c r="B436" s="49">
        <v>5</v>
      </c>
      <c r="C436" s="193">
        <v>694720</v>
      </c>
      <c r="D436" t="s">
        <v>4446</v>
      </c>
      <c r="E436" s="191" t="s">
        <v>4412</v>
      </c>
      <c r="F436" t="s">
        <v>4467</v>
      </c>
      <c r="H436" s="52" t="s">
        <v>55</v>
      </c>
    </row>
    <row r="437" spans="1:10" x14ac:dyDescent="0.25">
      <c r="A437" t="s">
        <v>91</v>
      </c>
      <c r="B437" s="49">
        <v>5</v>
      </c>
      <c r="C437" s="193">
        <v>778240</v>
      </c>
      <c r="D437" t="s">
        <v>4447</v>
      </c>
      <c r="E437" s="191" t="s">
        <v>4411</v>
      </c>
      <c r="F437" t="s">
        <v>4467</v>
      </c>
    </row>
    <row r="438" spans="1:10" x14ac:dyDescent="0.25">
      <c r="A438" t="s">
        <v>91</v>
      </c>
      <c r="B438" s="49">
        <v>5</v>
      </c>
      <c r="C438" s="3">
        <f>815680+17504.4</f>
        <v>833184.4</v>
      </c>
      <c r="D438" t="s">
        <v>4449</v>
      </c>
      <c r="E438" t="s">
        <v>4415</v>
      </c>
      <c r="F438" t="s">
        <v>52</v>
      </c>
    </row>
    <row r="439" spans="1:10" x14ac:dyDescent="0.25">
      <c r="A439" t="s">
        <v>91</v>
      </c>
      <c r="B439" s="49">
        <v>5</v>
      </c>
      <c r="C439" s="3">
        <f>679200+15753.96</f>
        <v>694953.96</v>
      </c>
      <c r="D439" t="s">
        <v>4450</v>
      </c>
      <c r="E439" t="s">
        <v>4416</v>
      </c>
      <c r="F439" t="s">
        <v>52</v>
      </c>
    </row>
    <row r="440" spans="1:10" x14ac:dyDescent="0.25">
      <c r="A440" t="s">
        <v>91</v>
      </c>
      <c r="B440" s="49">
        <v>5</v>
      </c>
      <c r="C440" s="51">
        <v>26500</v>
      </c>
      <c r="D440" s="52" t="s">
        <v>4539</v>
      </c>
      <c r="E440" s="52" t="s">
        <v>4529</v>
      </c>
      <c r="F440" s="52" t="s">
        <v>1918</v>
      </c>
      <c r="G440" s="53">
        <v>43677</v>
      </c>
      <c r="H440" s="53" t="s">
        <v>62</v>
      </c>
    </row>
    <row r="441" spans="1:10" x14ac:dyDescent="0.25">
      <c r="A441" t="s">
        <v>91</v>
      </c>
      <c r="B441" s="49">
        <v>5</v>
      </c>
      <c r="C441" s="51">
        <v>36501.519999999997</v>
      </c>
      <c r="D441" s="52" t="s">
        <v>4532</v>
      </c>
      <c r="E441" s="52" t="s">
        <v>4533</v>
      </c>
      <c r="F441" s="52" t="s">
        <v>4525</v>
      </c>
      <c r="G441" s="53">
        <v>43677</v>
      </c>
      <c r="H441" s="53" t="s">
        <v>62</v>
      </c>
    </row>
    <row r="442" spans="1:10" x14ac:dyDescent="0.25">
      <c r="A442" t="s">
        <v>122</v>
      </c>
      <c r="B442" s="49">
        <v>6</v>
      </c>
      <c r="C442" s="3">
        <f>718672.5+17329.36-7259.49</f>
        <v>728742.37</v>
      </c>
      <c r="D442" t="s">
        <v>4452</v>
      </c>
      <c r="E442" t="s">
        <v>4453</v>
      </c>
      <c r="F442" t="s">
        <v>52</v>
      </c>
    </row>
    <row r="443" spans="1:10" x14ac:dyDescent="0.25">
      <c r="A443" t="s">
        <v>122</v>
      </c>
      <c r="B443" s="49">
        <v>6</v>
      </c>
      <c r="C443" s="3">
        <f>170887.5+4376.1</f>
        <v>175263.6</v>
      </c>
      <c r="D443" t="s">
        <v>4454</v>
      </c>
      <c r="E443" t="s">
        <v>4455</v>
      </c>
      <c r="F443" t="s">
        <v>52</v>
      </c>
    </row>
    <row r="444" spans="1:10" x14ac:dyDescent="0.25">
      <c r="A444" t="s">
        <v>122</v>
      </c>
      <c r="B444" s="49">
        <v>6</v>
      </c>
      <c r="C444" s="50">
        <f>22302.9*40.4</f>
        <v>901037.16</v>
      </c>
      <c r="D444" t="s">
        <v>4524</v>
      </c>
      <c r="E444" s="37"/>
      <c r="F444" t="s">
        <v>73</v>
      </c>
    </row>
    <row r="445" spans="1:10" x14ac:dyDescent="0.25">
      <c r="A445" t="s">
        <v>122</v>
      </c>
      <c r="B445" s="49">
        <v>6</v>
      </c>
      <c r="C445" s="3"/>
    </row>
    <row r="446" spans="1:10" x14ac:dyDescent="0.25">
      <c r="A446" t="s">
        <v>43</v>
      </c>
      <c r="B446" s="49">
        <v>7</v>
      </c>
      <c r="C446" s="3">
        <v>1573100.62</v>
      </c>
      <c r="D446" t="s">
        <v>4377</v>
      </c>
      <c r="E446" t="s">
        <v>4376</v>
      </c>
      <c r="F446" t="s">
        <v>3188</v>
      </c>
      <c r="G446">
        <v>85.8</v>
      </c>
    </row>
    <row r="447" spans="1:10" x14ac:dyDescent="0.25">
      <c r="A447" t="s">
        <v>43</v>
      </c>
      <c r="B447" s="49">
        <v>7</v>
      </c>
      <c r="C447" s="3">
        <f>722767.5+17416.88</f>
        <v>740184.38</v>
      </c>
      <c r="D447" t="s">
        <v>4472</v>
      </c>
      <c r="E447" t="s">
        <v>4474</v>
      </c>
      <c r="F447" t="s">
        <v>52</v>
      </c>
    </row>
    <row r="448" spans="1:10" x14ac:dyDescent="0.25">
      <c r="A448" t="s">
        <v>43</v>
      </c>
      <c r="B448" s="49">
        <v>7</v>
      </c>
      <c r="C448" s="3">
        <f>675045+15753.96</f>
        <v>690798.96</v>
      </c>
      <c r="D448" t="s">
        <v>4473</v>
      </c>
      <c r="E448" t="s">
        <v>4475</v>
      </c>
      <c r="F448" t="s">
        <v>52</v>
      </c>
    </row>
    <row r="449" spans="1:10" x14ac:dyDescent="0.25">
      <c r="A449" t="s">
        <v>59</v>
      </c>
      <c r="B449" s="49">
        <v>8</v>
      </c>
      <c r="C449" s="50">
        <f>820260+17504.4-4101.3</f>
        <v>833663.1</v>
      </c>
      <c r="D449" t="s">
        <v>4476</v>
      </c>
      <c r="E449" t="s">
        <v>4509</v>
      </c>
      <c r="F449" t="s">
        <v>52</v>
      </c>
      <c r="G449" s="37" t="s">
        <v>4506</v>
      </c>
      <c r="H449" s="37" t="s">
        <v>4517</v>
      </c>
      <c r="I449" s="37"/>
      <c r="J449" s="37"/>
    </row>
    <row r="450" spans="1:10" x14ac:dyDescent="0.25">
      <c r="A450" t="s">
        <v>59</v>
      </c>
      <c r="B450" s="49">
        <v>8</v>
      </c>
      <c r="C450" s="50">
        <f>611572.5+15753.96</f>
        <v>627326.46</v>
      </c>
      <c r="D450" t="s">
        <v>4477</v>
      </c>
      <c r="E450" t="s">
        <v>4471</v>
      </c>
      <c r="F450" t="s">
        <v>52</v>
      </c>
    </row>
    <row r="451" spans="1:10" x14ac:dyDescent="0.25">
      <c r="A451" t="s">
        <v>70</v>
      </c>
      <c r="B451" s="49">
        <v>9</v>
      </c>
      <c r="C451" s="3"/>
    </row>
    <row r="452" spans="1:10" x14ac:dyDescent="0.25">
      <c r="A452" s="37" t="s">
        <v>89</v>
      </c>
      <c r="B452" s="49">
        <v>10</v>
      </c>
      <c r="C452" s="3"/>
    </row>
    <row r="453" spans="1:10" x14ac:dyDescent="0.25">
      <c r="A453" s="37" t="s">
        <v>90</v>
      </c>
      <c r="B453" s="49">
        <v>11</v>
      </c>
      <c r="C453" s="3"/>
    </row>
    <row r="454" spans="1:10" s="191" customFormat="1" x14ac:dyDescent="0.25">
      <c r="A454" t="s">
        <v>91</v>
      </c>
      <c r="B454" s="49">
        <v>12</v>
      </c>
      <c r="C454" s="193">
        <f>787185+17504.4</f>
        <v>804689.4</v>
      </c>
      <c r="D454" s="191" t="s">
        <v>4512</v>
      </c>
      <c r="E454" s="191" t="s">
        <v>4498</v>
      </c>
      <c r="F454" s="191" t="s">
        <v>52</v>
      </c>
    </row>
    <row r="455" spans="1:10" x14ac:dyDescent="0.25">
      <c r="A455" t="s">
        <v>91</v>
      </c>
      <c r="B455" s="49">
        <v>12</v>
      </c>
      <c r="C455" s="3">
        <f>525892.5+11377.86</f>
        <v>537270.36</v>
      </c>
      <c r="D455" t="s">
        <v>4512</v>
      </c>
      <c r="E455" t="s">
        <v>4499</v>
      </c>
      <c r="F455" t="s">
        <v>52</v>
      </c>
    </row>
    <row r="456" spans="1:10" s="191" customFormat="1" x14ac:dyDescent="0.25">
      <c r="A456" t="s">
        <v>91</v>
      </c>
      <c r="B456" s="49">
        <v>12</v>
      </c>
    </row>
    <row r="457" spans="1:10" x14ac:dyDescent="0.25">
      <c r="A457" t="s">
        <v>91</v>
      </c>
      <c r="B457" s="49">
        <v>12</v>
      </c>
      <c r="C457" s="3"/>
    </row>
    <row r="458" spans="1:10" x14ac:dyDescent="0.25">
      <c r="A458" t="s">
        <v>122</v>
      </c>
      <c r="B458" s="49">
        <v>13</v>
      </c>
      <c r="C458" s="3">
        <f>70215+1750.44</f>
        <v>71965.440000000002</v>
      </c>
      <c r="D458" t="s">
        <v>4520</v>
      </c>
      <c r="E458" t="s">
        <v>4521</v>
      </c>
      <c r="F458" t="s">
        <v>52</v>
      </c>
    </row>
    <row r="459" spans="1:10" x14ac:dyDescent="0.25">
      <c r="A459" t="s">
        <v>122</v>
      </c>
      <c r="B459" s="49">
        <v>13</v>
      </c>
      <c r="C459" s="3">
        <f>691300+17504.4</f>
        <v>708804.4</v>
      </c>
      <c r="D459" t="s">
        <v>4522</v>
      </c>
      <c r="E459" t="s">
        <v>4523</v>
      </c>
      <c r="F459" t="s">
        <v>52</v>
      </c>
    </row>
    <row r="460" spans="1:10" x14ac:dyDescent="0.25">
      <c r="A460" t="s">
        <v>43</v>
      </c>
      <c r="B460" s="49">
        <v>14</v>
      </c>
      <c r="C460" s="3">
        <v>464991.63</v>
      </c>
      <c r="D460" t="s">
        <v>4505</v>
      </c>
      <c r="E460" t="s">
        <v>4504</v>
      </c>
      <c r="F460" t="s">
        <v>1804</v>
      </c>
      <c r="G460">
        <v>93</v>
      </c>
    </row>
    <row r="461" spans="1:10" x14ac:dyDescent="0.25">
      <c r="A461" t="s">
        <v>43</v>
      </c>
      <c r="B461" s="49">
        <v>14</v>
      </c>
      <c r="C461" s="3">
        <f>720750+17504.4</f>
        <v>738254.4</v>
      </c>
      <c r="D461" t="s">
        <v>4567</v>
      </c>
      <c r="E461" t="s">
        <v>4565</v>
      </c>
      <c r="F461" t="s">
        <v>52</v>
      </c>
    </row>
    <row r="462" spans="1:10" x14ac:dyDescent="0.25">
      <c r="A462" t="s">
        <v>43</v>
      </c>
      <c r="B462" s="49">
        <v>14</v>
      </c>
      <c r="C462" s="3">
        <f>453065+11552.9</f>
        <v>464617.9</v>
      </c>
      <c r="D462" t="s">
        <v>4568</v>
      </c>
      <c r="E462" t="s">
        <v>4566</v>
      </c>
      <c r="F462" t="s">
        <v>52</v>
      </c>
    </row>
    <row r="463" spans="1:10" x14ac:dyDescent="0.25">
      <c r="A463" t="s">
        <v>59</v>
      </c>
      <c r="B463" s="49">
        <v>15</v>
      </c>
      <c r="C463" s="3"/>
    </row>
    <row r="464" spans="1:10" x14ac:dyDescent="0.25">
      <c r="A464" t="s">
        <v>70</v>
      </c>
      <c r="B464" s="49">
        <v>16</v>
      </c>
      <c r="C464" s="3"/>
    </row>
    <row r="465" spans="1:3" x14ac:dyDescent="0.25">
      <c r="A465" s="37" t="s">
        <v>89</v>
      </c>
      <c r="B465" s="49">
        <v>17</v>
      </c>
      <c r="C465" s="3"/>
    </row>
    <row r="466" spans="1:3" x14ac:dyDescent="0.25">
      <c r="A466" s="37" t="s">
        <v>90</v>
      </c>
      <c r="B466" s="49">
        <v>18</v>
      </c>
      <c r="C466" s="3"/>
    </row>
    <row r="467" spans="1:3" x14ac:dyDescent="0.25">
      <c r="A467" t="s">
        <v>91</v>
      </c>
      <c r="B467" s="49">
        <v>19</v>
      </c>
      <c r="C467" s="3"/>
    </row>
    <row r="468" spans="1:3" x14ac:dyDescent="0.25">
      <c r="A468" t="s">
        <v>122</v>
      </c>
      <c r="B468" s="49">
        <v>20</v>
      </c>
      <c r="C468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363"/>
  <sheetViews>
    <sheetView topLeftCell="A340" workbookViewId="0">
      <selection activeCell="B356" sqref="B356"/>
    </sheetView>
  </sheetViews>
  <sheetFormatPr baseColWidth="10" defaultRowHeight="15" x14ac:dyDescent="0.25"/>
  <cols>
    <col min="1" max="1" width="12.7109375" customWidth="1"/>
    <col min="2" max="2" width="12.5703125" style="3" bestFit="1" customWidth="1"/>
    <col min="3" max="3" width="4.42578125" style="3" customWidth="1"/>
    <col min="6" max="6" width="15.42578125" style="3" customWidth="1"/>
    <col min="7" max="7" width="12.140625" style="3" customWidth="1"/>
    <col min="8" max="9" width="12.5703125" style="70" customWidth="1"/>
  </cols>
  <sheetData>
    <row r="2" spans="1:19" x14ac:dyDescent="0.25">
      <c r="A2" t="s">
        <v>207</v>
      </c>
      <c r="F2" s="3" t="s">
        <v>208</v>
      </c>
    </row>
    <row r="3" spans="1:19" x14ac:dyDescent="0.25">
      <c r="G3" s="71" t="s">
        <v>209</v>
      </c>
    </row>
    <row r="4" spans="1:19" x14ac:dyDescent="0.25">
      <c r="A4" t="s">
        <v>210</v>
      </c>
      <c r="B4" s="3" t="s">
        <v>211</v>
      </c>
      <c r="C4" s="3" t="s">
        <v>12</v>
      </c>
      <c r="D4" t="s">
        <v>212</v>
      </c>
      <c r="E4" t="s">
        <v>213</v>
      </c>
      <c r="F4" s="3" t="s">
        <v>214</v>
      </c>
      <c r="G4" s="71" t="s">
        <v>215</v>
      </c>
      <c r="H4" s="70" t="s">
        <v>216</v>
      </c>
      <c r="I4" s="70" t="s">
        <v>217</v>
      </c>
      <c r="J4" s="3"/>
    </row>
    <row r="5" spans="1:19" x14ac:dyDescent="0.25">
      <c r="A5" t="s">
        <v>218</v>
      </c>
      <c r="B5" s="3">
        <v>35000</v>
      </c>
      <c r="C5" s="3" t="s">
        <v>41</v>
      </c>
      <c r="D5" s="72">
        <v>42726</v>
      </c>
      <c r="E5">
        <v>1323951</v>
      </c>
      <c r="F5" s="3">
        <v>32362.44</v>
      </c>
      <c r="G5" s="73">
        <v>42733</v>
      </c>
      <c r="H5" s="70">
        <f t="shared" ref="H5:H68" si="0">B5-F5</f>
        <v>2637.5600000000013</v>
      </c>
      <c r="I5" s="70" t="e">
        <f>#REF!+H5</f>
        <v>#REF!</v>
      </c>
      <c r="J5" t="s">
        <v>219</v>
      </c>
      <c r="M5" s="74" t="s">
        <v>220</v>
      </c>
      <c r="N5" s="74"/>
      <c r="O5" s="74"/>
      <c r="P5" s="74"/>
      <c r="Q5" s="74"/>
      <c r="R5" s="74"/>
      <c r="S5" s="74"/>
    </row>
    <row r="6" spans="1:19" x14ac:dyDescent="0.25">
      <c r="A6" t="s">
        <v>221</v>
      </c>
      <c r="D6" s="72"/>
      <c r="G6" s="73"/>
      <c r="H6" s="70">
        <f t="shared" si="0"/>
        <v>0</v>
      </c>
      <c r="I6" s="70">
        <v>18159.939999999999</v>
      </c>
    </row>
    <row r="7" spans="1:19" x14ac:dyDescent="0.25">
      <c r="A7" t="s">
        <v>222</v>
      </c>
      <c r="B7" s="3">
        <v>10000</v>
      </c>
      <c r="C7" s="3" t="s">
        <v>45</v>
      </c>
      <c r="D7" s="72">
        <v>42734</v>
      </c>
      <c r="E7">
        <v>1325778</v>
      </c>
      <c r="F7" s="3">
        <v>30377.919999999998</v>
      </c>
      <c r="G7" s="73">
        <v>42740</v>
      </c>
      <c r="H7" s="70">
        <f t="shared" si="0"/>
        <v>-20377.919999999998</v>
      </c>
      <c r="I7" s="70">
        <f t="shared" ref="I7:I70" si="1">I6+H7</f>
        <v>-2217.9799999999996</v>
      </c>
    </row>
    <row r="8" spans="1:19" x14ac:dyDescent="0.25">
      <c r="A8" t="s">
        <v>223</v>
      </c>
      <c r="B8" s="3">
        <v>35000</v>
      </c>
      <c r="C8" s="3" t="s">
        <v>48</v>
      </c>
      <c r="D8" s="72">
        <v>42738</v>
      </c>
      <c r="E8">
        <v>1327059</v>
      </c>
      <c r="F8" s="3">
        <v>29286.47</v>
      </c>
      <c r="G8" s="73">
        <v>42741</v>
      </c>
      <c r="H8" s="70">
        <f t="shared" si="0"/>
        <v>5713.5299999999988</v>
      </c>
      <c r="I8" s="70">
        <f t="shared" si="1"/>
        <v>3495.5499999999993</v>
      </c>
    </row>
    <row r="9" spans="1:19" x14ac:dyDescent="0.25">
      <c r="A9" t="s">
        <v>224</v>
      </c>
      <c r="B9" s="3">
        <v>33000</v>
      </c>
      <c r="C9" s="3" t="s">
        <v>33</v>
      </c>
      <c r="D9" s="72">
        <v>42373</v>
      </c>
      <c r="E9">
        <v>1326576</v>
      </c>
      <c r="F9" s="3">
        <v>27101.8</v>
      </c>
      <c r="G9" s="73">
        <v>42744</v>
      </c>
      <c r="H9" s="70">
        <f t="shared" si="0"/>
        <v>5898.2000000000007</v>
      </c>
      <c r="I9" s="70">
        <f t="shared" si="1"/>
        <v>9393.75</v>
      </c>
    </row>
    <row r="10" spans="1:19" x14ac:dyDescent="0.25">
      <c r="A10" t="s">
        <v>225</v>
      </c>
      <c r="B10" s="3">
        <v>33000</v>
      </c>
      <c r="C10" s="3" t="s">
        <v>33</v>
      </c>
      <c r="D10" s="72">
        <v>42373</v>
      </c>
      <c r="E10">
        <v>1326577</v>
      </c>
      <c r="F10" s="3">
        <v>27288.69</v>
      </c>
      <c r="G10" s="73">
        <v>42745</v>
      </c>
      <c r="H10" s="70">
        <f t="shared" si="0"/>
        <v>5711.3100000000013</v>
      </c>
      <c r="I10" s="70">
        <f t="shared" si="1"/>
        <v>15105.060000000001</v>
      </c>
    </row>
    <row r="11" spans="1:19" x14ac:dyDescent="0.25">
      <c r="A11" t="s">
        <v>226</v>
      </c>
      <c r="B11" s="3">
        <v>20000</v>
      </c>
      <c r="C11" s="3" t="s">
        <v>41</v>
      </c>
      <c r="D11" s="72">
        <v>42740</v>
      </c>
      <c r="E11">
        <v>1328016</v>
      </c>
      <c r="F11" s="3">
        <v>25895.23</v>
      </c>
      <c r="G11" s="73">
        <v>42746</v>
      </c>
      <c r="H11" s="70">
        <f t="shared" si="0"/>
        <v>-5895.23</v>
      </c>
      <c r="I11" s="70">
        <f t="shared" si="1"/>
        <v>9209.8300000000017</v>
      </c>
    </row>
    <row r="12" spans="1:19" x14ac:dyDescent="0.25">
      <c r="A12" t="s">
        <v>227</v>
      </c>
      <c r="B12" s="3">
        <v>25000</v>
      </c>
      <c r="C12" s="3" t="s">
        <v>228</v>
      </c>
      <c r="D12" s="72">
        <v>42744</v>
      </c>
      <c r="E12">
        <v>1328399</v>
      </c>
      <c r="F12" s="3">
        <v>25541.63</v>
      </c>
      <c r="G12" s="73">
        <v>42748</v>
      </c>
      <c r="H12" s="70">
        <f t="shared" si="0"/>
        <v>-541.63000000000102</v>
      </c>
      <c r="I12" s="70">
        <f t="shared" si="1"/>
        <v>8668.2000000000007</v>
      </c>
    </row>
    <row r="13" spans="1:19" x14ac:dyDescent="0.25">
      <c r="A13" t="s">
        <v>229</v>
      </c>
      <c r="C13" s="3" t="s">
        <v>228</v>
      </c>
      <c r="D13" s="72">
        <v>42744</v>
      </c>
      <c r="E13" s="48" t="s">
        <v>230</v>
      </c>
      <c r="G13" s="73">
        <v>42748</v>
      </c>
      <c r="H13" s="70">
        <f t="shared" si="0"/>
        <v>0</v>
      </c>
      <c r="I13" s="70">
        <f t="shared" si="1"/>
        <v>8668.2000000000007</v>
      </c>
      <c r="J13" t="s">
        <v>231</v>
      </c>
    </row>
    <row r="14" spans="1:19" x14ac:dyDescent="0.25">
      <c r="A14" t="s">
        <v>232</v>
      </c>
      <c r="B14" s="3">
        <v>26500</v>
      </c>
      <c r="C14" s="3" t="s">
        <v>33</v>
      </c>
      <c r="D14" s="72">
        <v>42746</v>
      </c>
      <c r="E14">
        <v>1329282</v>
      </c>
      <c r="F14" s="3">
        <v>25531.99</v>
      </c>
      <c r="G14" s="73">
        <v>42752</v>
      </c>
      <c r="H14" s="70">
        <f t="shared" si="0"/>
        <v>968.0099999999984</v>
      </c>
      <c r="I14" s="70">
        <f t="shared" si="1"/>
        <v>9636.2099999999991</v>
      </c>
    </row>
    <row r="15" spans="1:19" x14ac:dyDescent="0.25">
      <c r="A15" t="s">
        <v>233</v>
      </c>
      <c r="B15" s="3">
        <v>26500</v>
      </c>
      <c r="C15" s="3" t="s">
        <v>33</v>
      </c>
      <c r="D15" s="72">
        <v>42746</v>
      </c>
      <c r="E15">
        <v>1329760</v>
      </c>
      <c r="F15" s="3">
        <v>26241.05</v>
      </c>
      <c r="G15" s="73">
        <v>42752</v>
      </c>
      <c r="H15" s="70">
        <f t="shared" si="0"/>
        <v>258.95000000000073</v>
      </c>
      <c r="I15" s="70">
        <f t="shared" si="1"/>
        <v>9895.16</v>
      </c>
    </row>
    <row r="16" spans="1:19" x14ac:dyDescent="0.25">
      <c r="A16" t="s">
        <v>234</v>
      </c>
      <c r="B16" s="3">
        <v>25000</v>
      </c>
      <c r="C16" s="3" t="s">
        <v>41</v>
      </c>
      <c r="D16" s="72">
        <v>42747</v>
      </c>
      <c r="E16">
        <v>1329840</v>
      </c>
      <c r="F16" s="3">
        <v>26279.08</v>
      </c>
      <c r="G16" s="73">
        <v>42753</v>
      </c>
      <c r="H16" s="70">
        <f t="shared" si="0"/>
        <v>-1279.0800000000017</v>
      </c>
      <c r="I16" s="70">
        <f t="shared" si="1"/>
        <v>8616.0799999999981</v>
      </c>
    </row>
    <row r="17" spans="1:9" x14ac:dyDescent="0.25">
      <c r="A17" t="s">
        <v>235</v>
      </c>
      <c r="B17" s="3">
        <v>25000</v>
      </c>
      <c r="C17" s="3" t="s">
        <v>228</v>
      </c>
      <c r="D17" s="72">
        <v>42744</v>
      </c>
      <c r="E17">
        <v>1330464</v>
      </c>
      <c r="F17" s="3">
        <v>27980.3</v>
      </c>
      <c r="G17" s="73">
        <v>42755</v>
      </c>
      <c r="H17" s="70">
        <f t="shared" si="0"/>
        <v>-2980.2999999999993</v>
      </c>
      <c r="I17" s="70">
        <f t="shared" si="1"/>
        <v>5635.7799999999988</v>
      </c>
    </row>
    <row r="18" spans="1:9" x14ac:dyDescent="0.25">
      <c r="A18" t="s">
        <v>236</v>
      </c>
      <c r="B18" s="3">
        <v>23000</v>
      </c>
      <c r="C18" s="3" t="s">
        <v>48</v>
      </c>
      <c r="D18" s="72">
        <v>42752</v>
      </c>
      <c r="E18">
        <v>1330465</v>
      </c>
      <c r="F18" s="3">
        <v>27622.76</v>
      </c>
      <c r="G18" s="73">
        <v>42755</v>
      </c>
      <c r="H18" s="70">
        <f t="shared" si="0"/>
        <v>-4622.7599999999984</v>
      </c>
      <c r="I18" s="70">
        <f t="shared" si="1"/>
        <v>1013.0200000000004</v>
      </c>
    </row>
    <row r="19" spans="1:9" x14ac:dyDescent="0.25">
      <c r="A19" t="s">
        <v>237</v>
      </c>
      <c r="B19" s="3">
        <v>28000</v>
      </c>
      <c r="C19" s="3" t="s">
        <v>33</v>
      </c>
      <c r="D19" s="72">
        <v>42753</v>
      </c>
      <c r="E19">
        <v>1331390</v>
      </c>
      <c r="F19" s="3">
        <v>27553.46</v>
      </c>
      <c r="G19" s="73">
        <v>42758</v>
      </c>
      <c r="H19" s="70">
        <f t="shared" si="0"/>
        <v>446.54000000000087</v>
      </c>
      <c r="I19" s="70">
        <f t="shared" si="1"/>
        <v>1459.5600000000013</v>
      </c>
    </row>
    <row r="20" spans="1:9" x14ac:dyDescent="0.25">
      <c r="A20" t="s">
        <v>238</v>
      </c>
      <c r="B20" s="3">
        <v>28000</v>
      </c>
      <c r="C20" s="3" t="s">
        <v>33</v>
      </c>
      <c r="D20" s="72">
        <v>42753</v>
      </c>
      <c r="E20">
        <v>1330954</v>
      </c>
      <c r="F20" s="3">
        <v>27916.91</v>
      </c>
      <c r="G20" s="73">
        <v>42759</v>
      </c>
      <c r="H20" s="70">
        <f t="shared" si="0"/>
        <v>83.090000000000146</v>
      </c>
      <c r="I20" s="70">
        <f t="shared" si="1"/>
        <v>1542.6500000000015</v>
      </c>
    </row>
    <row r="21" spans="1:9" x14ac:dyDescent="0.25">
      <c r="A21" t="s">
        <v>239</v>
      </c>
      <c r="B21" s="3">
        <v>28000</v>
      </c>
      <c r="C21" s="3" t="s">
        <v>41</v>
      </c>
      <c r="D21" s="72">
        <v>42754</v>
      </c>
      <c r="E21">
        <v>1332066</v>
      </c>
      <c r="F21" s="3">
        <v>28177.52</v>
      </c>
      <c r="G21" s="73">
        <v>42760</v>
      </c>
      <c r="H21" s="70">
        <f t="shared" si="0"/>
        <v>-177.52000000000044</v>
      </c>
      <c r="I21" s="70">
        <f t="shared" si="1"/>
        <v>1365.130000000001</v>
      </c>
    </row>
    <row r="22" spans="1:9" x14ac:dyDescent="0.25">
      <c r="A22" t="s">
        <v>240</v>
      </c>
      <c r="B22" s="3">
        <v>28000</v>
      </c>
      <c r="C22" s="3" t="s">
        <v>29</v>
      </c>
      <c r="D22" s="72">
        <v>42758</v>
      </c>
      <c r="E22">
        <v>1332357</v>
      </c>
      <c r="F22" s="3">
        <v>31343.88</v>
      </c>
      <c r="G22" s="73">
        <v>42762</v>
      </c>
      <c r="H22" s="70">
        <f t="shared" si="0"/>
        <v>-3343.880000000001</v>
      </c>
      <c r="I22" s="70">
        <f t="shared" si="1"/>
        <v>-1978.75</v>
      </c>
    </row>
    <row r="23" spans="1:9" x14ac:dyDescent="0.25">
      <c r="A23" t="s">
        <v>241</v>
      </c>
      <c r="B23" s="3">
        <v>28000</v>
      </c>
      <c r="C23" s="3" t="s">
        <v>29</v>
      </c>
      <c r="D23" s="72">
        <v>42758</v>
      </c>
      <c r="E23">
        <v>1332519</v>
      </c>
      <c r="F23" s="3">
        <v>30939.67</v>
      </c>
      <c r="G23" s="73">
        <v>42762</v>
      </c>
      <c r="H23" s="70">
        <f t="shared" si="0"/>
        <v>-2939.6699999999983</v>
      </c>
      <c r="I23" s="70">
        <f t="shared" si="1"/>
        <v>-4918.4199999999983</v>
      </c>
    </row>
    <row r="24" spans="1:9" x14ac:dyDescent="0.25">
      <c r="A24" t="s">
        <v>242</v>
      </c>
      <c r="B24" s="3">
        <v>28000</v>
      </c>
      <c r="C24" s="3" t="s">
        <v>33</v>
      </c>
      <c r="D24" s="72">
        <v>42760</v>
      </c>
      <c r="E24">
        <v>1333024</v>
      </c>
      <c r="F24" s="3">
        <v>30788.959999999999</v>
      </c>
      <c r="G24" s="73">
        <v>42765</v>
      </c>
      <c r="H24" s="70">
        <f t="shared" si="0"/>
        <v>-2788.9599999999991</v>
      </c>
      <c r="I24" s="70">
        <f t="shared" si="1"/>
        <v>-7707.3799999999974</v>
      </c>
    </row>
    <row r="25" spans="1:9" x14ac:dyDescent="0.25">
      <c r="A25" t="s">
        <v>243</v>
      </c>
      <c r="B25" s="3">
        <v>28000</v>
      </c>
      <c r="C25" s="3" t="s">
        <v>33</v>
      </c>
      <c r="D25" s="72">
        <v>42760</v>
      </c>
      <c r="E25">
        <v>1333554</v>
      </c>
      <c r="F25" s="3">
        <v>30781</v>
      </c>
      <c r="G25" s="73">
        <v>42766</v>
      </c>
      <c r="H25" s="70">
        <f t="shared" si="0"/>
        <v>-2781</v>
      </c>
      <c r="I25" s="70">
        <f t="shared" si="1"/>
        <v>-10488.379999999997</v>
      </c>
    </row>
    <row r="26" spans="1:9" x14ac:dyDescent="0.25">
      <c r="A26" t="s">
        <v>244</v>
      </c>
      <c r="B26" s="3">
        <v>28000</v>
      </c>
      <c r="C26" s="3" t="s">
        <v>41</v>
      </c>
      <c r="D26" s="72">
        <v>42761</v>
      </c>
      <c r="E26">
        <v>1334296</v>
      </c>
      <c r="F26" s="3">
        <v>30444.21</v>
      </c>
      <c r="G26" s="73">
        <v>42767</v>
      </c>
      <c r="H26" s="70">
        <f t="shared" si="0"/>
        <v>-2444.2099999999991</v>
      </c>
      <c r="I26" s="70">
        <f t="shared" si="1"/>
        <v>-12932.589999999997</v>
      </c>
    </row>
    <row r="27" spans="1:9" x14ac:dyDescent="0.25">
      <c r="A27" t="s">
        <v>245</v>
      </c>
      <c r="B27" s="3">
        <v>28000</v>
      </c>
      <c r="C27" s="3" t="s">
        <v>29</v>
      </c>
      <c r="D27" s="72">
        <v>42765</v>
      </c>
      <c r="E27">
        <v>1334425</v>
      </c>
      <c r="F27" s="3">
        <v>29560.51</v>
      </c>
      <c r="G27" s="73">
        <v>42769</v>
      </c>
      <c r="H27" s="70">
        <f t="shared" si="0"/>
        <v>-1560.5099999999984</v>
      </c>
      <c r="I27" s="70">
        <f t="shared" si="1"/>
        <v>-14493.099999999995</v>
      </c>
    </row>
    <row r="28" spans="1:9" x14ac:dyDescent="0.25">
      <c r="A28" t="s">
        <v>246</v>
      </c>
      <c r="B28" s="3">
        <v>28000</v>
      </c>
      <c r="C28" s="3" t="s">
        <v>29</v>
      </c>
      <c r="D28" s="72">
        <v>42765</v>
      </c>
      <c r="E28">
        <v>1334426</v>
      </c>
      <c r="F28" s="3">
        <v>29736.61</v>
      </c>
      <c r="G28" s="73">
        <v>42769</v>
      </c>
      <c r="H28" s="70">
        <f t="shared" si="0"/>
        <v>-1736.6100000000006</v>
      </c>
      <c r="I28" s="70">
        <f t="shared" si="1"/>
        <v>-16229.709999999995</v>
      </c>
    </row>
    <row r="29" spans="1:9" x14ac:dyDescent="0.25">
      <c r="A29" t="s">
        <v>247</v>
      </c>
      <c r="B29" s="3">
        <v>28500</v>
      </c>
      <c r="C29" s="3" t="s">
        <v>33</v>
      </c>
      <c r="D29" s="72">
        <v>42767</v>
      </c>
      <c r="E29">
        <v>1335510</v>
      </c>
      <c r="F29" s="3">
        <v>29471.11</v>
      </c>
      <c r="G29" s="73">
        <v>42773</v>
      </c>
      <c r="H29" s="70">
        <f t="shared" si="0"/>
        <v>-971.11000000000058</v>
      </c>
      <c r="I29" s="70">
        <f t="shared" si="1"/>
        <v>-17200.819999999996</v>
      </c>
    </row>
    <row r="30" spans="1:9" x14ac:dyDescent="0.25">
      <c r="A30" t="s">
        <v>248</v>
      </c>
      <c r="B30" s="3">
        <v>28500</v>
      </c>
      <c r="C30" s="3" t="s">
        <v>33</v>
      </c>
      <c r="D30" s="72">
        <v>42767</v>
      </c>
      <c r="E30">
        <v>1336468</v>
      </c>
      <c r="F30" s="3">
        <v>29447.279999999999</v>
      </c>
      <c r="G30" s="73">
        <v>42774</v>
      </c>
      <c r="H30" s="70">
        <f t="shared" si="0"/>
        <v>-947.27999999999884</v>
      </c>
      <c r="I30" s="70">
        <f t="shared" si="1"/>
        <v>-18148.099999999995</v>
      </c>
    </row>
    <row r="31" spans="1:9" x14ac:dyDescent="0.25">
      <c r="A31" t="s">
        <v>249</v>
      </c>
      <c r="B31" s="3">
        <v>40000</v>
      </c>
      <c r="C31" s="3" t="s">
        <v>45</v>
      </c>
      <c r="D31" s="72">
        <v>42769</v>
      </c>
      <c r="E31">
        <v>1336672</v>
      </c>
      <c r="F31" s="3">
        <v>30043.19</v>
      </c>
      <c r="G31" s="73">
        <v>42776</v>
      </c>
      <c r="H31" s="70">
        <f t="shared" si="0"/>
        <v>9956.8100000000013</v>
      </c>
      <c r="I31" s="70">
        <f t="shared" si="1"/>
        <v>-8191.2899999999936</v>
      </c>
    </row>
    <row r="32" spans="1:9" x14ac:dyDescent="0.25">
      <c r="A32" t="s">
        <v>250</v>
      </c>
      <c r="B32" s="3">
        <v>40000</v>
      </c>
      <c r="C32" s="3" t="s">
        <v>48</v>
      </c>
      <c r="D32" s="72">
        <v>42773</v>
      </c>
      <c r="E32">
        <v>1336971</v>
      </c>
      <c r="F32" s="3">
        <v>29687.16</v>
      </c>
      <c r="G32" s="73">
        <v>42776</v>
      </c>
      <c r="H32" s="70">
        <f t="shared" si="0"/>
        <v>10312.84</v>
      </c>
      <c r="I32" s="70">
        <f t="shared" si="1"/>
        <v>2121.5500000000065</v>
      </c>
    </row>
    <row r="33" spans="1:9" x14ac:dyDescent="0.25">
      <c r="A33" t="s">
        <v>251</v>
      </c>
      <c r="B33" s="3">
        <v>30000</v>
      </c>
      <c r="C33" s="3" t="s">
        <v>33</v>
      </c>
      <c r="D33" s="72">
        <v>42774</v>
      </c>
      <c r="E33">
        <v>1337636</v>
      </c>
      <c r="F33" s="3">
        <v>30404.09</v>
      </c>
      <c r="G33" s="73">
        <v>42779</v>
      </c>
      <c r="H33" s="70">
        <f t="shared" si="0"/>
        <v>-404.09000000000015</v>
      </c>
      <c r="I33" s="70">
        <f t="shared" si="1"/>
        <v>1717.4600000000064</v>
      </c>
    </row>
    <row r="34" spans="1:9" x14ac:dyDescent="0.25">
      <c r="A34" t="s">
        <v>252</v>
      </c>
      <c r="B34" s="3">
        <v>30000</v>
      </c>
      <c r="C34" s="3" t="s">
        <v>41</v>
      </c>
      <c r="D34" s="72">
        <v>42775</v>
      </c>
      <c r="E34">
        <v>1338571</v>
      </c>
      <c r="F34" s="3">
        <v>31650.11</v>
      </c>
      <c r="G34" s="73">
        <v>42781</v>
      </c>
      <c r="H34" s="70">
        <f t="shared" si="0"/>
        <v>-1650.1100000000006</v>
      </c>
      <c r="I34" s="70">
        <f t="shared" si="1"/>
        <v>67.350000000005821</v>
      </c>
    </row>
    <row r="35" spans="1:9" x14ac:dyDescent="0.25">
      <c r="A35" t="s">
        <v>253</v>
      </c>
      <c r="B35" s="3">
        <v>31000</v>
      </c>
      <c r="C35" s="3" t="s">
        <v>29</v>
      </c>
      <c r="D35" s="72">
        <v>42779</v>
      </c>
      <c r="E35">
        <v>1338847</v>
      </c>
      <c r="F35" s="3">
        <v>30801.31</v>
      </c>
      <c r="G35" s="73">
        <v>42783</v>
      </c>
      <c r="H35" s="70">
        <f t="shared" si="0"/>
        <v>198.68999999999869</v>
      </c>
      <c r="I35" s="70">
        <f t="shared" si="1"/>
        <v>266.04000000000451</v>
      </c>
    </row>
    <row r="36" spans="1:9" x14ac:dyDescent="0.25">
      <c r="A36" t="s">
        <v>254</v>
      </c>
      <c r="B36" s="3">
        <v>31000</v>
      </c>
      <c r="C36" s="3" t="s">
        <v>29</v>
      </c>
      <c r="D36" s="72">
        <v>42779</v>
      </c>
      <c r="E36">
        <v>1338724</v>
      </c>
      <c r="F36" s="3">
        <v>31252.240000000002</v>
      </c>
      <c r="G36" s="73">
        <v>42783</v>
      </c>
      <c r="H36" s="70">
        <f t="shared" si="0"/>
        <v>-252.2400000000016</v>
      </c>
      <c r="I36" s="70">
        <f t="shared" si="1"/>
        <v>13.80000000000291</v>
      </c>
    </row>
    <row r="37" spans="1:9" x14ac:dyDescent="0.25">
      <c r="A37" t="s">
        <v>255</v>
      </c>
      <c r="B37" s="3">
        <v>33000</v>
      </c>
      <c r="C37" s="3" t="s">
        <v>33</v>
      </c>
      <c r="D37" s="72">
        <v>42781</v>
      </c>
      <c r="E37">
        <v>1339812</v>
      </c>
      <c r="F37" s="3">
        <v>29812.11</v>
      </c>
      <c r="G37" s="73">
        <v>42786</v>
      </c>
      <c r="H37" s="70">
        <f t="shared" si="0"/>
        <v>3187.8899999999994</v>
      </c>
      <c r="I37" s="70">
        <f t="shared" si="1"/>
        <v>3201.6900000000023</v>
      </c>
    </row>
    <row r="38" spans="1:9" x14ac:dyDescent="0.25">
      <c r="A38" t="s">
        <v>256</v>
      </c>
      <c r="B38" s="3">
        <v>33000</v>
      </c>
      <c r="C38" s="3" t="s">
        <v>41</v>
      </c>
      <c r="D38" s="72">
        <v>42782</v>
      </c>
      <c r="E38">
        <v>1340530</v>
      </c>
      <c r="F38" s="3">
        <v>29352.77</v>
      </c>
      <c r="G38" s="73">
        <v>42788</v>
      </c>
      <c r="H38" s="70">
        <f t="shared" si="0"/>
        <v>3647.2299999999996</v>
      </c>
      <c r="I38" s="70">
        <f t="shared" si="1"/>
        <v>6848.9200000000019</v>
      </c>
    </row>
    <row r="39" spans="1:9" x14ac:dyDescent="0.25">
      <c r="A39" t="s">
        <v>257</v>
      </c>
      <c r="B39" s="3">
        <v>31000</v>
      </c>
      <c r="C39" s="3" t="s">
        <v>29</v>
      </c>
      <c r="D39" s="72">
        <v>42786</v>
      </c>
      <c r="E39">
        <v>1340746</v>
      </c>
      <c r="F39" s="3">
        <v>28124.17</v>
      </c>
      <c r="G39" s="73">
        <v>42790</v>
      </c>
      <c r="H39" s="70">
        <f t="shared" si="0"/>
        <v>2875.8300000000017</v>
      </c>
      <c r="I39" s="70">
        <f t="shared" si="1"/>
        <v>9724.7500000000036</v>
      </c>
    </row>
    <row r="40" spans="1:9" x14ac:dyDescent="0.25">
      <c r="A40" t="s">
        <v>258</v>
      </c>
      <c r="B40" s="3">
        <v>31000</v>
      </c>
      <c r="C40" s="3" t="s">
        <v>29</v>
      </c>
      <c r="D40" s="72">
        <v>42786</v>
      </c>
      <c r="E40">
        <v>1341010</v>
      </c>
      <c r="F40" s="3">
        <f>42682*0.6588</f>
        <v>28118.901600000001</v>
      </c>
      <c r="G40" s="73">
        <v>42790</v>
      </c>
      <c r="H40" s="70">
        <f t="shared" si="0"/>
        <v>2881.0983999999989</v>
      </c>
      <c r="I40" s="70">
        <f t="shared" si="1"/>
        <v>12605.848400000003</v>
      </c>
    </row>
    <row r="41" spans="1:9" x14ac:dyDescent="0.25">
      <c r="A41" t="s">
        <v>259</v>
      </c>
      <c r="B41" s="3">
        <v>25000</v>
      </c>
      <c r="C41" s="3" t="s">
        <v>33</v>
      </c>
      <c r="D41" s="72">
        <v>42788</v>
      </c>
      <c r="E41">
        <v>1342267</v>
      </c>
      <c r="F41" s="3">
        <v>27272.89</v>
      </c>
      <c r="G41" s="73">
        <v>42793</v>
      </c>
      <c r="H41" s="70">
        <f t="shared" si="0"/>
        <v>-2272.8899999999994</v>
      </c>
      <c r="I41" s="70">
        <f t="shared" si="1"/>
        <v>10332.958400000003</v>
      </c>
    </row>
    <row r="42" spans="1:9" x14ac:dyDescent="0.25">
      <c r="A42" t="s">
        <v>260</v>
      </c>
      <c r="B42" s="3">
        <v>25000</v>
      </c>
      <c r="C42" s="3" t="s">
        <v>29</v>
      </c>
      <c r="D42" s="72">
        <v>42793</v>
      </c>
      <c r="E42">
        <v>1343971</v>
      </c>
      <c r="F42" s="3">
        <v>28068.35</v>
      </c>
      <c r="G42" s="73">
        <v>42797</v>
      </c>
      <c r="H42" s="70">
        <f t="shared" si="0"/>
        <v>-3068.3499999999985</v>
      </c>
      <c r="I42" s="70">
        <f t="shared" si="1"/>
        <v>7264.6084000000046</v>
      </c>
    </row>
    <row r="43" spans="1:9" x14ac:dyDescent="0.25">
      <c r="A43" t="s">
        <v>261</v>
      </c>
      <c r="B43" s="3">
        <v>25000</v>
      </c>
      <c r="C43" s="3" t="s">
        <v>29</v>
      </c>
      <c r="D43" s="72">
        <v>42793</v>
      </c>
      <c r="E43">
        <v>1343970</v>
      </c>
      <c r="F43" s="3">
        <v>28816.29</v>
      </c>
      <c r="G43" s="73">
        <v>42795</v>
      </c>
      <c r="H43" s="70">
        <f t="shared" si="0"/>
        <v>-3816.2900000000009</v>
      </c>
      <c r="I43" s="70">
        <f t="shared" si="1"/>
        <v>3448.3184000000037</v>
      </c>
    </row>
    <row r="44" spans="1:9" x14ac:dyDescent="0.25">
      <c r="A44" t="s">
        <v>262</v>
      </c>
      <c r="B44" s="3">
        <v>27000</v>
      </c>
      <c r="C44" s="3" t="s">
        <v>41</v>
      </c>
      <c r="D44" s="72">
        <v>42796</v>
      </c>
      <c r="E44">
        <v>1344956</v>
      </c>
      <c r="F44" s="3">
        <v>30196.35</v>
      </c>
      <c r="G44" s="73">
        <v>42803</v>
      </c>
      <c r="H44" s="70">
        <f t="shared" si="0"/>
        <v>-3196.3499999999985</v>
      </c>
      <c r="I44" s="70">
        <f t="shared" si="1"/>
        <v>251.9684000000052</v>
      </c>
    </row>
    <row r="45" spans="1:9" x14ac:dyDescent="0.25">
      <c r="A45" t="s">
        <v>263</v>
      </c>
      <c r="B45" s="3">
        <v>25000</v>
      </c>
      <c r="C45" s="3" t="s">
        <v>41</v>
      </c>
      <c r="D45" s="72">
        <v>42789</v>
      </c>
      <c r="E45">
        <v>1345458</v>
      </c>
      <c r="F45" s="3">
        <v>30693.360000000001</v>
      </c>
      <c r="G45" s="73">
        <v>42797</v>
      </c>
      <c r="H45" s="70">
        <f t="shared" si="0"/>
        <v>-5693.3600000000006</v>
      </c>
      <c r="I45" s="70">
        <f t="shared" si="1"/>
        <v>-5441.3915999999954</v>
      </c>
    </row>
    <row r="46" spans="1:9" x14ac:dyDescent="0.25">
      <c r="A46" t="s">
        <v>264</v>
      </c>
      <c r="B46" s="3">
        <v>30000</v>
      </c>
      <c r="C46" s="3" t="s">
        <v>29</v>
      </c>
      <c r="D46" s="72">
        <v>42800</v>
      </c>
      <c r="E46">
        <v>1345459</v>
      </c>
      <c r="F46" s="3">
        <v>30633.14</v>
      </c>
      <c r="G46" s="73">
        <v>42805</v>
      </c>
      <c r="H46" s="70">
        <f t="shared" si="0"/>
        <v>-633.13999999999942</v>
      </c>
      <c r="I46" s="70">
        <f t="shared" si="1"/>
        <v>-6074.5315999999948</v>
      </c>
    </row>
    <row r="47" spans="1:9" x14ac:dyDescent="0.25">
      <c r="A47" t="s">
        <v>265</v>
      </c>
      <c r="B47" s="3">
        <v>35000</v>
      </c>
      <c r="C47" s="3" t="s">
        <v>41</v>
      </c>
      <c r="D47" s="72">
        <v>42803</v>
      </c>
      <c r="E47">
        <v>1347193</v>
      </c>
      <c r="F47" s="3">
        <v>31291.5</v>
      </c>
      <c r="G47" s="73">
        <v>42809</v>
      </c>
      <c r="H47" s="70">
        <f t="shared" si="0"/>
        <v>3708.5</v>
      </c>
      <c r="I47" s="70">
        <f t="shared" si="1"/>
        <v>-2366.0315999999948</v>
      </c>
    </row>
    <row r="48" spans="1:9" x14ac:dyDescent="0.25">
      <c r="A48" t="s">
        <v>266</v>
      </c>
      <c r="B48" s="3">
        <v>33000</v>
      </c>
      <c r="C48" s="3" t="s">
        <v>29</v>
      </c>
      <c r="D48" s="72">
        <v>42807</v>
      </c>
      <c r="E48">
        <v>1347396</v>
      </c>
      <c r="F48" s="3">
        <v>30436.85</v>
      </c>
      <c r="G48" s="73">
        <v>42811</v>
      </c>
      <c r="H48" s="70">
        <f t="shared" si="0"/>
        <v>2563.1500000000015</v>
      </c>
      <c r="I48" s="70">
        <f t="shared" si="1"/>
        <v>197.11840000000666</v>
      </c>
    </row>
    <row r="49" spans="1:10" x14ac:dyDescent="0.25">
      <c r="A49" t="s">
        <v>267</v>
      </c>
      <c r="B49" s="3">
        <v>33000</v>
      </c>
      <c r="C49" s="3" t="s">
        <v>29</v>
      </c>
      <c r="D49" s="72">
        <v>42807</v>
      </c>
      <c r="E49">
        <v>1348458</v>
      </c>
      <c r="F49" s="3">
        <v>31248.2</v>
      </c>
      <c r="G49" s="73">
        <v>42811</v>
      </c>
      <c r="H49" s="70">
        <f t="shared" si="0"/>
        <v>1751.7999999999993</v>
      </c>
      <c r="I49" s="70">
        <f t="shared" si="1"/>
        <v>1948.9184000000059</v>
      </c>
    </row>
    <row r="50" spans="1:10" x14ac:dyDescent="0.25">
      <c r="A50" t="s">
        <v>268</v>
      </c>
      <c r="B50" s="3">
        <v>33000</v>
      </c>
      <c r="C50" s="3" t="s">
        <v>41</v>
      </c>
      <c r="D50" s="72">
        <v>42810</v>
      </c>
      <c r="E50">
        <v>1349148</v>
      </c>
      <c r="F50" s="3">
        <v>31352.44</v>
      </c>
      <c r="G50" s="73">
        <v>42816</v>
      </c>
      <c r="H50" s="70">
        <f t="shared" si="0"/>
        <v>1647.5600000000013</v>
      </c>
      <c r="I50" s="70">
        <f t="shared" si="1"/>
        <v>3596.4784000000072</v>
      </c>
    </row>
    <row r="51" spans="1:10" x14ac:dyDescent="0.25">
      <c r="A51" t="s">
        <v>269</v>
      </c>
      <c r="B51" s="3">
        <v>33000</v>
      </c>
      <c r="C51" s="3" t="s">
        <v>48</v>
      </c>
      <c r="D51" s="72">
        <v>42815</v>
      </c>
      <c r="E51">
        <v>1349537</v>
      </c>
      <c r="F51" s="3">
        <v>30793.119999999999</v>
      </c>
      <c r="G51" s="73">
        <v>42818</v>
      </c>
      <c r="H51" s="70">
        <f t="shared" si="0"/>
        <v>2206.880000000001</v>
      </c>
      <c r="I51" s="70">
        <f t="shared" si="1"/>
        <v>5803.3584000000083</v>
      </c>
    </row>
    <row r="52" spans="1:10" x14ac:dyDescent="0.25">
      <c r="A52" t="s">
        <v>270</v>
      </c>
      <c r="B52" s="3">
        <v>30000</v>
      </c>
      <c r="C52" s="3" t="s">
        <v>41</v>
      </c>
      <c r="D52" s="72">
        <v>42817</v>
      </c>
      <c r="E52">
        <v>1351611</v>
      </c>
      <c r="F52" s="3">
        <v>30935.64</v>
      </c>
      <c r="G52" s="73">
        <v>42823</v>
      </c>
      <c r="H52" s="70">
        <f t="shared" si="0"/>
        <v>-935.63999999999942</v>
      </c>
      <c r="I52" s="70">
        <f t="shared" si="1"/>
        <v>4867.7184000000088</v>
      </c>
    </row>
    <row r="53" spans="1:10" x14ac:dyDescent="0.25">
      <c r="A53" t="s">
        <v>271</v>
      </c>
      <c r="B53" s="3">
        <v>30000</v>
      </c>
      <c r="C53" s="3" t="s">
        <v>29</v>
      </c>
      <c r="D53" s="72">
        <v>42821</v>
      </c>
      <c r="E53">
        <v>1351904</v>
      </c>
      <c r="F53" s="3">
        <v>29140.44</v>
      </c>
      <c r="G53" s="73">
        <v>42825</v>
      </c>
      <c r="H53" s="70">
        <f t="shared" si="0"/>
        <v>859.56000000000131</v>
      </c>
      <c r="I53" s="70">
        <f t="shared" si="1"/>
        <v>5727.2784000000102</v>
      </c>
    </row>
    <row r="54" spans="1:10" x14ac:dyDescent="0.25">
      <c r="A54" t="s">
        <v>272</v>
      </c>
      <c r="B54" s="3">
        <v>30000</v>
      </c>
      <c r="C54" s="3" t="s">
        <v>29</v>
      </c>
      <c r="D54" s="72">
        <v>42821</v>
      </c>
      <c r="E54">
        <v>1351905</v>
      </c>
      <c r="F54" s="3">
        <v>29015.58</v>
      </c>
      <c r="G54" s="73">
        <v>42825</v>
      </c>
      <c r="H54" s="70">
        <f t="shared" si="0"/>
        <v>984.41999999999825</v>
      </c>
      <c r="I54" s="70">
        <f t="shared" si="1"/>
        <v>6711.6984000000084</v>
      </c>
    </row>
    <row r="55" spans="1:10" x14ac:dyDescent="0.25">
      <c r="A55" t="s">
        <v>273</v>
      </c>
      <c r="B55" s="3">
        <v>25500</v>
      </c>
      <c r="C55" s="3" t="s">
        <v>29</v>
      </c>
      <c r="D55" s="72">
        <v>42828</v>
      </c>
      <c r="E55">
        <v>1353861</v>
      </c>
      <c r="F55" s="3">
        <v>28119.11</v>
      </c>
      <c r="G55" s="73">
        <v>42830</v>
      </c>
      <c r="H55" s="70">
        <f t="shared" si="0"/>
        <v>-2619.1100000000006</v>
      </c>
      <c r="I55" s="70">
        <f t="shared" si="1"/>
        <v>4092.5884000000078</v>
      </c>
    </row>
    <row r="56" spans="1:10" x14ac:dyDescent="0.25">
      <c r="A56" t="s">
        <v>274</v>
      </c>
      <c r="B56" s="3">
        <v>114.92</v>
      </c>
      <c r="C56" s="3" t="s">
        <v>275</v>
      </c>
      <c r="D56" s="72">
        <v>42831</v>
      </c>
      <c r="E56">
        <v>55752</v>
      </c>
      <c r="G56" s="73">
        <v>42830</v>
      </c>
      <c r="H56" s="70">
        <f t="shared" si="0"/>
        <v>114.92</v>
      </c>
      <c r="I56" s="70">
        <f t="shared" si="1"/>
        <v>4207.5084000000079</v>
      </c>
      <c r="J56" t="s">
        <v>276</v>
      </c>
    </row>
    <row r="57" spans="1:10" x14ac:dyDescent="0.25">
      <c r="A57" t="s">
        <v>277</v>
      </c>
      <c r="B57" s="3">
        <v>25500</v>
      </c>
      <c r="C57" s="3" t="s">
        <v>29</v>
      </c>
      <c r="D57" s="72">
        <v>42828</v>
      </c>
      <c r="E57">
        <v>1353862</v>
      </c>
      <c r="F57" s="3">
        <v>27902.28</v>
      </c>
      <c r="G57" s="73">
        <v>42831</v>
      </c>
      <c r="H57" s="70">
        <f t="shared" si="0"/>
        <v>-2402.2799999999988</v>
      </c>
      <c r="I57" s="70">
        <f t="shared" si="1"/>
        <v>1805.2284000000091</v>
      </c>
    </row>
    <row r="58" spans="1:10" x14ac:dyDescent="0.25">
      <c r="A58" t="s">
        <v>278</v>
      </c>
      <c r="B58" s="3">
        <v>28000</v>
      </c>
      <c r="C58" s="3" t="s">
        <v>33</v>
      </c>
      <c r="D58" s="72">
        <v>42830</v>
      </c>
      <c r="E58">
        <v>1355283</v>
      </c>
      <c r="F58" s="3">
        <v>28913</v>
      </c>
      <c r="G58" s="73">
        <v>42836</v>
      </c>
      <c r="H58" s="70">
        <f t="shared" si="0"/>
        <v>-913</v>
      </c>
      <c r="I58" s="70">
        <f t="shared" si="1"/>
        <v>892.22840000000906</v>
      </c>
    </row>
    <row r="59" spans="1:10" x14ac:dyDescent="0.25">
      <c r="A59" t="s">
        <v>279</v>
      </c>
      <c r="B59" s="3">
        <v>28000</v>
      </c>
      <c r="C59" s="3" t="s">
        <v>41</v>
      </c>
      <c r="D59" s="72">
        <v>42831</v>
      </c>
      <c r="E59">
        <v>1355978</v>
      </c>
      <c r="F59" s="3">
        <v>28533.119999999999</v>
      </c>
      <c r="G59" s="73">
        <v>42837</v>
      </c>
      <c r="H59" s="70">
        <f t="shared" si="0"/>
        <v>-533.11999999999898</v>
      </c>
      <c r="I59" s="70">
        <f t="shared" si="1"/>
        <v>359.10840000001008</v>
      </c>
    </row>
    <row r="60" spans="1:10" x14ac:dyDescent="0.25">
      <c r="A60" t="s">
        <v>280</v>
      </c>
      <c r="B60" s="3">
        <v>29000</v>
      </c>
      <c r="C60" s="3" t="s">
        <v>281</v>
      </c>
      <c r="D60" s="72">
        <v>42837</v>
      </c>
      <c r="E60">
        <v>1358162</v>
      </c>
      <c r="F60" s="3">
        <v>30014.74</v>
      </c>
      <c r="G60" s="73">
        <v>42844</v>
      </c>
      <c r="H60" s="70">
        <f t="shared" si="0"/>
        <v>-1014.7400000000016</v>
      </c>
      <c r="I60" s="70">
        <f t="shared" si="1"/>
        <v>-655.63159999999152</v>
      </c>
    </row>
    <row r="61" spans="1:10" x14ac:dyDescent="0.25">
      <c r="A61" t="s">
        <v>282</v>
      </c>
      <c r="B61" s="3">
        <v>29000</v>
      </c>
      <c r="C61" s="3" t="s">
        <v>29</v>
      </c>
      <c r="D61" s="72">
        <v>42842</v>
      </c>
      <c r="E61">
        <v>1358739</v>
      </c>
      <c r="F61" s="3">
        <v>30026.400000000001</v>
      </c>
      <c r="G61" s="73">
        <v>42846</v>
      </c>
      <c r="H61" s="70">
        <f t="shared" si="0"/>
        <v>-1026.4000000000015</v>
      </c>
      <c r="I61" s="70">
        <f t="shared" si="1"/>
        <v>-1682.031599999993</v>
      </c>
    </row>
    <row r="62" spans="1:10" x14ac:dyDescent="0.25">
      <c r="A62" t="s">
        <v>283</v>
      </c>
      <c r="B62" s="3">
        <v>31000</v>
      </c>
      <c r="C62" s="3" t="s">
        <v>41</v>
      </c>
      <c r="D62" s="72">
        <v>42845</v>
      </c>
      <c r="E62">
        <v>1360298</v>
      </c>
      <c r="F62" s="3">
        <v>30654.45</v>
      </c>
      <c r="G62" s="73">
        <v>42851</v>
      </c>
      <c r="H62" s="70">
        <f t="shared" si="0"/>
        <v>345.54999999999927</v>
      </c>
      <c r="I62" s="70">
        <f t="shared" si="1"/>
        <v>-1336.4815999999937</v>
      </c>
    </row>
    <row r="63" spans="1:10" x14ac:dyDescent="0.25">
      <c r="A63" t="s">
        <v>284</v>
      </c>
      <c r="B63" s="3">
        <v>32000</v>
      </c>
      <c r="C63" s="3" t="s">
        <v>29</v>
      </c>
      <c r="D63" s="72">
        <v>42849</v>
      </c>
      <c r="E63">
        <v>1360940</v>
      </c>
      <c r="F63" s="3">
        <v>29954.67</v>
      </c>
      <c r="G63" s="73">
        <v>42853</v>
      </c>
      <c r="H63" s="70">
        <f t="shared" si="0"/>
        <v>2045.3300000000017</v>
      </c>
      <c r="I63" s="70">
        <f t="shared" si="1"/>
        <v>708.84840000000804</v>
      </c>
    </row>
    <row r="64" spans="1:10" x14ac:dyDescent="0.25">
      <c r="A64" t="s">
        <v>285</v>
      </c>
      <c r="B64" s="3">
        <v>32000</v>
      </c>
      <c r="C64" s="3" t="s">
        <v>41</v>
      </c>
      <c r="D64" s="72">
        <v>42852</v>
      </c>
      <c r="E64">
        <v>1362441</v>
      </c>
      <c r="F64" s="3">
        <v>31185.67</v>
      </c>
      <c r="G64" s="73">
        <v>42858</v>
      </c>
      <c r="H64" s="70">
        <f t="shared" si="0"/>
        <v>814.33000000000175</v>
      </c>
      <c r="I64" s="70">
        <f t="shared" si="1"/>
        <v>1523.1784000000098</v>
      </c>
    </row>
    <row r="65" spans="1:9" x14ac:dyDescent="0.25">
      <c r="A65" t="s">
        <v>286</v>
      </c>
      <c r="B65" s="3">
        <v>32000</v>
      </c>
      <c r="C65" s="3" t="s">
        <v>45</v>
      </c>
      <c r="D65" s="72">
        <v>42853</v>
      </c>
      <c r="E65">
        <v>1362909</v>
      </c>
      <c r="F65" s="3">
        <v>32404.51</v>
      </c>
      <c r="G65" s="73">
        <v>42860</v>
      </c>
      <c r="H65" s="70">
        <f t="shared" si="0"/>
        <v>-404.5099999999984</v>
      </c>
      <c r="I65" s="70">
        <f t="shared" si="1"/>
        <v>1118.6684000000114</v>
      </c>
    </row>
    <row r="66" spans="1:9" x14ac:dyDescent="0.25">
      <c r="A66" t="s">
        <v>287</v>
      </c>
      <c r="B66" s="3">
        <v>32000</v>
      </c>
      <c r="C66" s="3" t="s">
        <v>48</v>
      </c>
      <c r="D66" s="72">
        <v>42857</v>
      </c>
      <c r="E66">
        <v>1362910</v>
      </c>
      <c r="F66" s="3">
        <v>31593.65</v>
      </c>
      <c r="G66" s="73">
        <v>42860</v>
      </c>
      <c r="H66" s="70">
        <f t="shared" si="0"/>
        <v>406.34999999999854</v>
      </c>
      <c r="I66" s="70">
        <f t="shared" si="1"/>
        <v>1525.0184000000099</v>
      </c>
    </row>
    <row r="67" spans="1:9" x14ac:dyDescent="0.25">
      <c r="A67" t="s">
        <v>288</v>
      </c>
      <c r="B67" s="3">
        <v>31000</v>
      </c>
      <c r="C67" s="3" t="s">
        <v>41</v>
      </c>
      <c r="D67" s="72">
        <v>42859</v>
      </c>
      <c r="E67">
        <v>1364734</v>
      </c>
      <c r="F67" s="3">
        <v>33507.129999999997</v>
      </c>
      <c r="G67" s="73">
        <v>42865</v>
      </c>
      <c r="H67" s="70">
        <f t="shared" si="0"/>
        <v>-2507.1299999999974</v>
      </c>
      <c r="I67" s="70">
        <f t="shared" si="1"/>
        <v>-982.11159999998745</v>
      </c>
    </row>
    <row r="68" spans="1:9" x14ac:dyDescent="0.25">
      <c r="A68" t="s">
        <v>289</v>
      </c>
      <c r="B68" s="3">
        <v>32000</v>
      </c>
      <c r="C68" s="3" t="s">
        <v>45</v>
      </c>
      <c r="D68" s="72">
        <v>42860</v>
      </c>
      <c r="E68">
        <v>1364822</v>
      </c>
      <c r="F68" s="3">
        <v>32821.589999999997</v>
      </c>
      <c r="G68" s="73">
        <v>42866</v>
      </c>
      <c r="H68" s="70">
        <f t="shared" si="0"/>
        <v>-821.58999999999651</v>
      </c>
      <c r="I68" s="70">
        <f t="shared" si="1"/>
        <v>-1803.701599999984</v>
      </c>
    </row>
    <row r="69" spans="1:9" x14ac:dyDescent="0.25">
      <c r="A69" t="s">
        <v>290</v>
      </c>
      <c r="B69" s="3">
        <v>31500</v>
      </c>
      <c r="C69" s="3" t="s">
        <v>29</v>
      </c>
      <c r="D69" s="72">
        <v>42863</v>
      </c>
      <c r="E69">
        <v>1364953</v>
      </c>
      <c r="F69" s="3">
        <v>33023.64</v>
      </c>
      <c r="G69" s="73">
        <v>42867</v>
      </c>
      <c r="H69" s="70">
        <f t="shared" ref="H69:H132" si="2">B69-F69</f>
        <v>-1523.6399999999994</v>
      </c>
      <c r="I69" s="70">
        <f t="shared" si="1"/>
        <v>-3327.3415999999834</v>
      </c>
    </row>
    <row r="70" spans="1:9" x14ac:dyDescent="0.25">
      <c r="A70" t="s">
        <v>291</v>
      </c>
      <c r="B70" s="3">
        <v>33000</v>
      </c>
      <c r="C70" s="3" t="s">
        <v>41</v>
      </c>
      <c r="D70" s="72">
        <v>42866</v>
      </c>
      <c r="E70">
        <v>1366993</v>
      </c>
      <c r="F70" s="3">
        <v>32664.44</v>
      </c>
      <c r="G70" s="73">
        <v>42872</v>
      </c>
      <c r="H70" s="70">
        <f t="shared" si="2"/>
        <v>335.56000000000131</v>
      </c>
      <c r="I70" s="70">
        <f t="shared" si="1"/>
        <v>-2991.7815999999821</v>
      </c>
    </row>
    <row r="71" spans="1:9" x14ac:dyDescent="0.25">
      <c r="A71" t="s">
        <v>292</v>
      </c>
      <c r="B71" s="3">
        <v>33000</v>
      </c>
      <c r="C71" s="3" t="s">
        <v>45</v>
      </c>
      <c r="D71" s="72">
        <v>42867</v>
      </c>
      <c r="E71">
        <v>1367124</v>
      </c>
      <c r="F71" s="3">
        <v>33435.769999999997</v>
      </c>
      <c r="G71" s="73">
        <v>42873</v>
      </c>
      <c r="H71" s="70">
        <f t="shared" si="2"/>
        <v>-435.7699999999968</v>
      </c>
      <c r="I71" s="70">
        <f t="shared" ref="I71:I134" si="3">I70+H71</f>
        <v>-3427.5515999999789</v>
      </c>
    </row>
    <row r="72" spans="1:9" x14ac:dyDescent="0.25">
      <c r="A72" t="s">
        <v>293</v>
      </c>
      <c r="B72" s="3">
        <v>35000</v>
      </c>
      <c r="C72" s="3" t="s">
        <v>29</v>
      </c>
      <c r="D72" s="72">
        <v>42870</v>
      </c>
      <c r="E72">
        <v>1367512</v>
      </c>
      <c r="F72" s="3">
        <v>33070.49</v>
      </c>
      <c r="G72" s="73">
        <v>42874</v>
      </c>
      <c r="H72" s="70">
        <f t="shared" si="2"/>
        <v>1929.510000000002</v>
      </c>
      <c r="I72" s="70">
        <f t="shared" si="3"/>
        <v>-1498.0415999999768</v>
      </c>
    </row>
    <row r="73" spans="1:9" x14ac:dyDescent="0.25">
      <c r="A73" t="s">
        <v>294</v>
      </c>
      <c r="B73" s="3">
        <v>35000</v>
      </c>
      <c r="C73" s="3" t="s">
        <v>41</v>
      </c>
      <c r="D73" s="72">
        <v>42873</v>
      </c>
      <c r="E73">
        <v>1369258</v>
      </c>
      <c r="F73" s="3">
        <v>33303.910000000003</v>
      </c>
      <c r="G73" s="73">
        <v>42879</v>
      </c>
      <c r="H73" s="70">
        <f t="shared" si="2"/>
        <v>1696.0899999999965</v>
      </c>
      <c r="I73" s="70">
        <f t="shared" si="3"/>
        <v>198.04840000001968</v>
      </c>
    </row>
    <row r="74" spans="1:9" x14ac:dyDescent="0.25">
      <c r="A74" t="s">
        <v>295</v>
      </c>
      <c r="B74" s="3">
        <v>34000</v>
      </c>
      <c r="C74" s="3" t="s">
        <v>45</v>
      </c>
      <c r="D74" s="72">
        <v>42874</v>
      </c>
      <c r="E74">
        <v>1369442</v>
      </c>
      <c r="F74" s="3">
        <v>33132.26</v>
      </c>
      <c r="G74" s="73">
        <v>42880</v>
      </c>
      <c r="H74" s="70">
        <f t="shared" si="2"/>
        <v>867.73999999999796</v>
      </c>
      <c r="I74" s="70">
        <f t="shared" si="3"/>
        <v>1065.7884000000176</v>
      </c>
    </row>
    <row r="75" spans="1:9" x14ac:dyDescent="0.25">
      <c r="A75" t="s">
        <v>296</v>
      </c>
      <c r="B75" s="3">
        <v>33000</v>
      </c>
      <c r="C75" s="3" t="s">
        <v>29</v>
      </c>
      <c r="D75" s="72">
        <v>42877</v>
      </c>
      <c r="E75">
        <v>1369860</v>
      </c>
      <c r="F75" s="3">
        <v>34041.629999999997</v>
      </c>
      <c r="G75" s="73">
        <v>42881</v>
      </c>
      <c r="H75" s="70">
        <f t="shared" si="2"/>
        <v>-1041.6299999999974</v>
      </c>
      <c r="I75" s="70">
        <f t="shared" si="3"/>
        <v>24.158400000020265</v>
      </c>
    </row>
    <row r="76" spans="1:9" x14ac:dyDescent="0.25">
      <c r="A76" t="s">
        <v>297</v>
      </c>
      <c r="B76" s="3">
        <v>52000</v>
      </c>
      <c r="C76" s="3" t="s">
        <v>48</v>
      </c>
      <c r="D76" s="72">
        <v>42878</v>
      </c>
      <c r="E76">
        <v>1369766</v>
      </c>
      <c r="F76" s="3">
        <v>50081.94</v>
      </c>
      <c r="G76" s="73">
        <v>42884</v>
      </c>
      <c r="H76" s="70">
        <f t="shared" si="2"/>
        <v>1918.0599999999977</v>
      </c>
      <c r="I76" s="70">
        <f t="shared" si="3"/>
        <v>1942.2184000000179</v>
      </c>
    </row>
    <row r="77" spans="1:9" x14ac:dyDescent="0.25">
      <c r="A77" t="s">
        <v>298</v>
      </c>
      <c r="B77" s="3">
        <v>33000</v>
      </c>
      <c r="C77" s="3" t="s">
        <v>41</v>
      </c>
      <c r="D77" s="72">
        <v>42880</v>
      </c>
      <c r="E77">
        <v>1371521</v>
      </c>
      <c r="F77" s="3">
        <v>32216.43</v>
      </c>
      <c r="G77" s="73">
        <v>42886</v>
      </c>
      <c r="H77" s="70">
        <f t="shared" si="2"/>
        <v>783.56999999999971</v>
      </c>
      <c r="I77" s="70">
        <f t="shared" si="3"/>
        <v>2725.7884000000176</v>
      </c>
    </row>
    <row r="78" spans="1:9" x14ac:dyDescent="0.25">
      <c r="A78" t="s">
        <v>299</v>
      </c>
      <c r="B78" s="3">
        <v>33500</v>
      </c>
      <c r="C78" s="3" t="s">
        <v>45</v>
      </c>
      <c r="D78" s="72">
        <v>42881</v>
      </c>
      <c r="E78">
        <v>1371522</v>
      </c>
      <c r="F78" s="3">
        <v>32204.94</v>
      </c>
      <c r="G78" s="73">
        <v>42887</v>
      </c>
      <c r="H78" s="70">
        <f t="shared" si="2"/>
        <v>1295.0600000000013</v>
      </c>
      <c r="I78" s="70">
        <f t="shared" si="3"/>
        <v>4020.848400000019</v>
      </c>
    </row>
    <row r="79" spans="1:9" x14ac:dyDescent="0.25">
      <c r="A79" t="s">
        <v>300</v>
      </c>
      <c r="B79" s="3">
        <v>34000</v>
      </c>
      <c r="C79" s="3" t="s">
        <v>48</v>
      </c>
      <c r="D79" s="72">
        <v>42885</v>
      </c>
      <c r="E79">
        <v>1371960</v>
      </c>
      <c r="F79" s="3">
        <v>32469.86</v>
      </c>
      <c r="G79" s="73">
        <v>42888</v>
      </c>
      <c r="H79" s="70">
        <f t="shared" si="2"/>
        <v>1530.1399999999994</v>
      </c>
      <c r="I79" s="70">
        <f t="shared" si="3"/>
        <v>5550.9884000000184</v>
      </c>
    </row>
    <row r="80" spans="1:9" x14ac:dyDescent="0.25">
      <c r="A80" t="s">
        <v>301</v>
      </c>
      <c r="B80" s="75">
        <v>34000</v>
      </c>
      <c r="C80" s="3" t="s">
        <v>41</v>
      </c>
      <c r="D80" s="72">
        <v>42887</v>
      </c>
      <c r="E80">
        <v>1373428</v>
      </c>
      <c r="F80" s="3">
        <v>31234.99</v>
      </c>
      <c r="G80" s="73">
        <v>42893</v>
      </c>
      <c r="H80" s="70">
        <f t="shared" si="2"/>
        <v>2765.0099999999984</v>
      </c>
      <c r="I80" s="70">
        <f t="shared" si="3"/>
        <v>8315.9984000000168</v>
      </c>
    </row>
    <row r="81" spans="1:9" x14ac:dyDescent="0.25">
      <c r="A81" t="s">
        <v>302</v>
      </c>
      <c r="B81" s="3">
        <v>31000</v>
      </c>
      <c r="C81" s="3" t="s">
        <v>45</v>
      </c>
      <c r="D81" s="72">
        <v>42888</v>
      </c>
      <c r="E81">
        <v>1373690</v>
      </c>
      <c r="F81" s="3">
        <v>32142.83</v>
      </c>
      <c r="G81" s="73">
        <v>42894</v>
      </c>
      <c r="H81" s="70">
        <f t="shared" si="2"/>
        <v>-1142.8300000000017</v>
      </c>
      <c r="I81" s="70">
        <f t="shared" si="3"/>
        <v>7173.168400000015</v>
      </c>
    </row>
    <row r="82" spans="1:9" x14ac:dyDescent="0.25">
      <c r="A82" t="s">
        <v>303</v>
      </c>
      <c r="B82" s="3">
        <v>28000</v>
      </c>
      <c r="C82" s="3" t="s">
        <v>29</v>
      </c>
      <c r="D82" s="72">
        <v>42891</v>
      </c>
      <c r="E82">
        <v>1374001</v>
      </c>
      <c r="F82" s="3">
        <v>29746.74</v>
      </c>
      <c r="G82" s="73">
        <v>42895</v>
      </c>
      <c r="H82" s="70">
        <f t="shared" si="2"/>
        <v>-1746.7400000000016</v>
      </c>
      <c r="I82" s="70">
        <f t="shared" si="3"/>
        <v>5426.4284000000134</v>
      </c>
    </row>
    <row r="83" spans="1:9" x14ac:dyDescent="0.25">
      <c r="A83" t="s">
        <v>304</v>
      </c>
      <c r="B83" s="3">
        <v>31000</v>
      </c>
      <c r="C83" s="3" t="s">
        <v>41</v>
      </c>
      <c r="D83" s="72">
        <v>42894</v>
      </c>
      <c r="E83">
        <v>1375620</v>
      </c>
      <c r="F83" s="3">
        <v>32712.57</v>
      </c>
      <c r="G83" s="73">
        <v>42900</v>
      </c>
      <c r="H83" s="70">
        <f t="shared" si="2"/>
        <v>-1712.5699999999997</v>
      </c>
      <c r="I83" s="70">
        <f t="shared" si="3"/>
        <v>3713.8584000000137</v>
      </c>
    </row>
    <row r="84" spans="1:9" x14ac:dyDescent="0.25">
      <c r="A84" t="s">
        <v>305</v>
      </c>
      <c r="B84" s="3">
        <v>31000</v>
      </c>
      <c r="C84" s="3" t="s">
        <v>45</v>
      </c>
      <c r="D84" s="72">
        <v>42895</v>
      </c>
      <c r="E84">
        <v>1375824</v>
      </c>
      <c r="F84" s="3">
        <v>33291.17</v>
      </c>
      <c r="G84" s="73">
        <v>42901</v>
      </c>
      <c r="H84" s="70">
        <f t="shared" si="2"/>
        <v>-2291.1699999999983</v>
      </c>
      <c r="I84" s="70">
        <f t="shared" si="3"/>
        <v>1422.6884000000155</v>
      </c>
    </row>
    <row r="85" spans="1:9" x14ac:dyDescent="0.25">
      <c r="A85" t="s">
        <v>306</v>
      </c>
      <c r="B85" s="3">
        <v>31000</v>
      </c>
      <c r="C85" s="3" t="s">
        <v>29</v>
      </c>
      <c r="D85" s="72">
        <v>42898</v>
      </c>
      <c r="E85">
        <v>1375910</v>
      </c>
      <c r="F85" s="3">
        <v>33666.480000000003</v>
      </c>
      <c r="G85" s="73">
        <v>42902</v>
      </c>
      <c r="H85" s="70">
        <f t="shared" si="2"/>
        <v>-2666.4800000000032</v>
      </c>
      <c r="I85" s="70">
        <f t="shared" si="3"/>
        <v>-1243.7915999999877</v>
      </c>
    </row>
    <row r="86" spans="1:9" x14ac:dyDescent="0.25">
      <c r="A86" t="s">
        <v>307</v>
      </c>
      <c r="B86" s="3">
        <v>33500</v>
      </c>
      <c r="C86" s="3" t="s">
        <v>41</v>
      </c>
      <c r="D86" s="72">
        <v>42901</v>
      </c>
      <c r="E86">
        <v>1377755</v>
      </c>
      <c r="F86" s="3">
        <v>34318.559999999998</v>
      </c>
      <c r="G86" s="73">
        <v>42907</v>
      </c>
      <c r="H86" s="70">
        <f t="shared" si="2"/>
        <v>-818.55999999999767</v>
      </c>
      <c r="I86" s="70">
        <f t="shared" si="3"/>
        <v>-2062.3515999999854</v>
      </c>
    </row>
    <row r="87" spans="1:9" x14ac:dyDescent="0.25">
      <c r="A87" t="s">
        <v>308</v>
      </c>
      <c r="B87" s="3">
        <v>33500</v>
      </c>
      <c r="C87" s="3" t="s">
        <v>45</v>
      </c>
      <c r="D87" s="72">
        <v>42902</v>
      </c>
      <c r="E87">
        <v>1377984</v>
      </c>
      <c r="F87" s="3">
        <v>33955.42</v>
      </c>
      <c r="G87" s="73">
        <v>42908</v>
      </c>
      <c r="H87" s="70">
        <f t="shared" si="2"/>
        <v>-455.41999999999825</v>
      </c>
      <c r="I87" s="70">
        <f t="shared" si="3"/>
        <v>-2517.7715999999837</v>
      </c>
    </row>
    <row r="88" spans="1:9" x14ac:dyDescent="0.25">
      <c r="A88" t="s">
        <v>309</v>
      </c>
      <c r="B88" s="3">
        <v>36000</v>
      </c>
      <c r="C88" s="3" t="s">
        <v>29</v>
      </c>
      <c r="D88" s="72">
        <v>42905</v>
      </c>
      <c r="E88">
        <v>1378234</v>
      </c>
      <c r="F88" s="3">
        <v>33585.78</v>
      </c>
      <c r="G88" s="73">
        <v>42909</v>
      </c>
      <c r="H88" s="70">
        <f t="shared" si="2"/>
        <v>2414.2200000000012</v>
      </c>
      <c r="I88" s="70">
        <f t="shared" si="3"/>
        <v>-103.5515999999825</v>
      </c>
    </row>
    <row r="89" spans="1:9" x14ac:dyDescent="0.25">
      <c r="A89" t="s">
        <v>310</v>
      </c>
      <c r="B89" s="3">
        <v>36000</v>
      </c>
      <c r="C89" s="3" t="s">
        <v>41</v>
      </c>
      <c r="D89" s="72">
        <v>42908</v>
      </c>
      <c r="E89">
        <v>1379912</v>
      </c>
      <c r="F89" s="3">
        <v>34500.53</v>
      </c>
      <c r="G89" s="73">
        <v>42914</v>
      </c>
      <c r="H89" s="70">
        <f t="shared" si="2"/>
        <v>1499.4700000000012</v>
      </c>
      <c r="I89" s="70">
        <f t="shared" si="3"/>
        <v>1395.9184000000187</v>
      </c>
    </row>
    <row r="90" spans="1:9" x14ac:dyDescent="0.25">
      <c r="A90" t="s">
        <v>311</v>
      </c>
      <c r="B90" s="3">
        <v>36000</v>
      </c>
      <c r="C90" s="3" t="s">
        <v>45</v>
      </c>
      <c r="D90" s="72">
        <v>42909</v>
      </c>
      <c r="E90">
        <v>1380721</v>
      </c>
      <c r="F90" s="3">
        <v>36409.78</v>
      </c>
      <c r="G90" s="73">
        <v>42915</v>
      </c>
      <c r="H90" s="70">
        <f t="shared" si="2"/>
        <v>-409.77999999999884</v>
      </c>
      <c r="I90" s="70">
        <f t="shared" si="3"/>
        <v>986.13840000001983</v>
      </c>
    </row>
    <row r="91" spans="1:9" x14ac:dyDescent="0.25">
      <c r="A91" t="s">
        <v>312</v>
      </c>
      <c r="B91" s="3">
        <v>36000</v>
      </c>
      <c r="C91" s="3" t="s">
        <v>29</v>
      </c>
      <c r="D91" s="72">
        <v>42912</v>
      </c>
      <c r="E91">
        <v>1380722</v>
      </c>
      <c r="F91" s="3">
        <v>36343.629999999997</v>
      </c>
      <c r="G91" s="73">
        <v>42916</v>
      </c>
      <c r="H91" s="70">
        <f t="shared" si="2"/>
        <v>-343.62999999999738</v>
      </c>
      <c r="I91" s="70">
        <f t="shared" si="3"/>
        <v>642.50840000002245</v>
      </c>
    </row>
    <row r="92" spans="1:9" x14ac:dyDescent="0.25">
      <c r="A92" t="s">
        <v>313</v>
      </c>
      <c r="B92" s="3">
        <v>37500</v>
      </c>
      <c r="C92" s="3" t="s">
        <v>41</v>
      </c>
      <c r="D92" s="72">
        <v>42915</v>
      </c>
      <c r="E92">
        <v>1381802</v>
      </c>
      <c r="F92" s="3">
        <v>36917.800000000003</v>
      </c>
      <c r="G92" s="73">
        <v>42921</v>
      </c>
      <c r="H92" s="70">
        <f t="shared" si="2"/>
        <v>582.19999999999709</v>
      </c>
      <c r="I92" s="70">
        <f t="shared" si="3"/>
        <v>1224.7084000000195</v>
      </c>
    </row>
    <row r="93" spans="1:9" x14ac:dyDescent="0.25">
      <c r="A93" t="s">
        <v>314</v>
      </c>
      <c r="B93" s="3">
        <v>37500</v>
      </c>
      <c r="C93" s="3" t="s">
        <v>29</v>
      </c>
      <c r="D93" s="72">
        <v>42919</v>
      </c>
      <c r="E93">
        <v>1382078</v>
      </c>
      <c r="F93" s="3">
        <v>31453.599999999999</v>
      </c>
      <c r="G93" s="73">
        <v>42923</v>
      </c>
      <c r="H93" s="70">
        <f t="shared" si="2"/>
        <v>6046.4000000000015</v>
      </c>
      <c r="I93" s="70">
        <f t="shared" si="3"/>
        <v>7271.108400000021</v>
      </c>
    </row>
    <row r="94" spans="1:9" x14ac:dyDescent="0.25">
      <c r="A94" t="s">
        <v>315</v>
      </c>
      <c r="B94" s="3">
        <v>38500</v>
      </c>
      <c r="C94" s="3" t="s">
        <v>41</v>
      </c>
      <c r="D94" s="72">
        <v>42922</v>
      </c>
      <c r="E94">
        <v>1383627</v>
      </c>
      <c r="F94" s="3">
        <v>37553.050000000003</v>
      </c>
      <c r="G94" s="73">
        <v>42928</v>
      </c>
      <c r="H94" s="70">
        <f t="shared" si="2"/>
        <v>946.94999999999709</v>
      </c>
      <c r="I94" s="70">
        <f t="shared" si="3"/>
        <v>8218.0584000000181</v>
      </c>
    </row>
    <row r="95" spans="1:9" x14ac:dyDescent="0.25">
      <c r="A95" t="s">
        <v>316</v>
      </c>
      <c r="B95" s="3">
        <v>35000</v>
      </c>
      <c r="C95" s="3" t="s">
        <v>29</v>
      </c>
      <c r="D95" s="72">
        <v>42926</v>
      </c>
      <c r="E95">
        <v>1384051</v>
      </c>
      <c r="F95" s="3">
        <v>39342.06</v>
      </c>
      <c r="G95" s="73">
        <v>42930</v>
      </c>
      <c r="H95" s="70">
        <f t="shared" si="2"/>
        <v>-4342.0599999999977</v>
      </c>
      <c r="I95" s="70">
        <f t="shared" si="3"/>
        <v>3875.9984000000204</v>
      </c>
    </row>
    <row r="96" spans="1:9" x14ac:dyDescent="0.25">
      <c r="A96" t="s">
        <v>317</v>
      </c>
      <c r="B96" s="3">
        <v>36000</v>
      </c>
      <c r="C96" s="3" t="s">
        <v>41</v>
      </c>
      <c r="D96" s="72">
        <v>42929</v>
      </c>
      <c r="E96">
        <v>1385754</v>
      </c>
      <c r="F96" s="3">
        <v>37941.300000000003</v>
      </c>
      <c r="G96" s="73">
        <v>42935</v>
      </c>
      <c r="H96" s="70">
        <f t="shared" si="2"/>
        <v>-1941.3000000000029</v>
      </c>
      <c r="I96" s="70">
        <f t="shared" si="3"/>
        <v>1934.6984000000175</v>
      </c>
    </row>
    <row r="97" spans="1:9" x14ac:dyDescent="0.25">
      <c r="A97" t="s">
        <v>318</v>
      </c>
      <c r="B97" s="3">
        <v>41000</v>
      </c>
      <c r="C97" s="3" t="s">
        <v>29</v>
      </c>
      <c r="D97" s="72">
        <v>42933</v>
      </c>
      <c r="E97">
        <v>1386216</v>
      </c>
      <c r="F97" s="3">
        <v>38161.760000000002</v>
      </c>
      <c r="G97" s="73">
        <v>42937</v>
      </c>
      <c r="H97" s="70">
        <f t="shared" si="2"/>
        <v>2838.239999999998</v>
      </c>
      <c r="I97" s="70">
        <f t="shared" si="3"/>
        <v>4772.9384000000155</v>
      </c>
    </row>
    <row r="98" spans="1:9" x14ac:dyDescent="0.25">
      <c r="A98" t="s">
        <v>319</v>
      </c>
      <c r="B98" s="3">
        <v>40500</v>
      </c>
      <c r="C98" s="3" t="s">
        <v>41</v>
      </c>
      <c r="D98" s="72">
        <v>42936</v>
      </c>
      <c r="E98">
        <v>1387510</v>
      </c>
      <c r="F98" s="3">
        <v>33590.54</v>
      </c>
      <c r="G98" s="73">
        <v>42942</v>
      </c>
      <c r="H98" s="70">
        <f t="shared" si="2"/>
        <v>6909.4599999999991</v>
      </c>
      <c r="I98" s="70">
        <f t="shared" si="3"/>
        <v>11682.398400000015</v>
      </c>
    </row>
    <row r="99" spans="1:9" x14ac:dyDescent="0.25">
      <c r="A99" t="s">
        <v>320</v>
      </c>
      <c r="B99" s="3">
        <v>39000</v>
      </c>
      <c r="C99" s="3" t="s">
        <v>29</v>
      </c>
      <c r="D99" s="72">
        <v>42940</v>
      </c>
      <c r="E99">
        <v>1388142</v>
      </c>
      <c r="F99" s="3">
        <v>36502.080000000002</v>
      </c>
      <c r="G99" s="73">
        <v>42944</v>
      </c>
      <c r="H99" s="70">
        <f t="shared" si="2"/>
        <v>2497.9199999999983</v>
      </c>
      <c r="I99" s="70">
        <f t="shared" si="3"/>
        <v>14180.318400000013</v>
      </c>
    </row>
    <row r="100" spans="1:9" x14ac:dyDescent="0.25">
      <c r="A100" t="s">
        <v>321</v>
      </c>
      <c r="B100" s="3">
        <v>38000</v>
      </c>
      <c r="C100" s="3" t="s">
        <v>41</v>
      </c>
      <c r="D100" s="72">
        <v>42974</v>
      </c>
      <c r="E100">
        <v>1389915</v>
      </c>
      <c r="F100" s="3">
        <v>34020.46</v>
      </c>
      <c r="G100" s="73">
        <v>42949</v>
      </c>
      <c r="H100" s="70">
        <f t="shared" si="2"/>
        <v>3979.5400000000009</v>
      </c>
      <c r="I100" s="70">
        <f t="shared" si="3"/>
        <v>18159.858400000012</v>
      </c>
    </row>
    <row r="101" spans="1:9" x14ac:dyDescent="0.25">
      <c r="A101" t="s">
        <v>322</v>
      </c>
      <c r="B101" s="3">
        <v>38000</v>
      </c>
      <c r="C101" s="3" t="s">
        <v>29</v>
      </c>
      <c r="D101" s="72">
        <v>42947</v>
      </c>
      <c r="E101">
        <v>1389916</v>
      </c>
      <c r="F101" s="3">
        <v>33951.360000000001</v>
      </c>
      <c r="G101" s="73">
        <v>42951</v>
      </c>
      <c r="H101" s="70">
        <f t="shared" si="2"/>
        <v>4048.6399999999994</v>
      </c>
      <c r="I101" s="70">
        <f t="shared" si="3"/>
        <v>22208.498400000011</v>
      </c>
    </row>
    <row r="102" spans="1:9" x14ac:dyDescent="0.25">
      <c r="A102" t="s">
        <v>323</v>
      </c>
      <c r="B102" s="3">
        <v>38000</v>
      </c>
      <c r="C102" s="3" t="s">
        <v>41</v>
      </c>
      <c r="D102" s="72">
        <v>42950</v>
      </c>
      <c r="E102">
        <v>1391888</v>
      </c>
      <c r="F102" s="3">
        <v>32811.160000000003</v>
      </c>
      <c r="G102" s="73">
        <v>42956</v>
      </c>
      <c r="H102" s="70">
        <f t="shared" si="2"/>
        <v>5188.8399999999965</v>
      </c>
      <c r="I102" s="70">
        <f t="shared" si="3"/>
        <v>27397.338400000008</v>
      </c>
    </row>
    <row r="103" spans="1:9" x14ac:dyDescent="0.25">
      <c r="A103" t="s">
        <v>324</v>
      </c>
      <c r="B103" s="3">
        <v>10000</v>
      </c>
      <c r="C103" s="3" t="s">
        <v>29</v>
      </c>
      <c r="D103" s="72">
        <v>42954</v>
      </c>
      <c r="E103">
        <v>1392092</v>
      </c>
      <c r="F103" s="3">
        <v>32835.629999999997</v>
      </c>
      <c r="G103" s="73">
        <v>42958</v>
      </c>
      <c r="H103" s="70">
        <f t="shared" si="2"/>
        <v>-22835.629999999997</v>
      </c>
      <c r="I103" s="70">
        <f t="shared" si="3"/>
        <v>4561.7084000000104</v>
      </c>
    </row>
    <row r="104" spans="1:9" x14ac:dyDescent="0.25">
      <c r="A104" t="s">
        <v>325</v>
      </c>
      <c r="B104" s="3">
        <v>30000</v>
      </c>
      <c r="C104" s="3" t="s">
        <v>41</v>
      </c>
      <c r="D104" s="72">
        <v>42957</v>
      </c>
      <c r="E104">
        <v>1393699</v>
      </c>
      <c r="F104" s="3">
        <v>31667.41</v>
      </c>
      <c r="G104" s="73">
        <v>42963</v>
      </c>
      <c r="H104" s="70">
        <f t="shared" si="2"/>
        <v>-1667.4099999999999</v>
      </c>
      <c r="I104" s="70">
        <f t="shared" si="3"/>
        <v>2894.2984000000106</v>
      </c>
    </row>
    <row r="105" spans="1:9" x14ac:dyDescent="0.25">
      <c r="A105" t="s">
        <v>326</v>
      </c>
      <c r="B105" s="3">
        <v>33000</v>
      </c>
      <c r="C105" s="3" t="s">
        <v>29</v>
      </c>
      <c r="D105" s="72">
        <v>42961</v>
      </c>
      <c r="E105">
        <v>1394492</v>
      </c>
      <c r="F105" s="3">
        <v>31848.9</v>
      </c>
      <c r="G105" s="73">
        <v>42965</v>
      </c>
      <c r="H105" s="70">
        <f t="shared" si="2"/>
        <v>1151.0999999999985</v>
      </c>
      <c r="I105" s="70">
        <f t="shared" si="3"/>
        <v>4045.3984000000091</v>
      </c>
    </row>
    <row r="106" spans="1:9" x14ac:dyDescent="0.25">
      <c r="A106" t="s">
        <v>327</v>
      </c>
      <c r="B106" s="3">
        <v>32000</v>
      </c>
      <c r="C106" s="3" t="s">
        <v>41</v>
      </c>
      <c r="D106" s="72">
        <v>42964</v>
      </c>
      <c r="E106">
        <v>1396056</v>
      </c>
      <c r="F106" s="3">
        <v>33243.1</v>
      </c>
      <c r="G106" s="73">
        <v>42970</v>
      </c>
      <c r="H106" s="70">
        <f t="shared" si="2"/>
        <v>-1243.0999999999985</v>
      </c>
      <c r="I106" s="70">
        <f t="shared" si="3"/>
        <v>2802.2984000000106</v>
      </c>
    </row>
    <row r="107" spans="1:9" x14ac:dyDescent="0.25">
      <c r="A107" t="s">
        <v>328</v>
      </c>
      <c r="B107" s="3">
        <v>30000</v>
      </c>
      <c r="C107" s="3" t="s">
        <v>29</v>
      </c>
      <c r="D107" s="72">
        <v>42968</v>
      </c>
      <c r="E107">
        <v>1396474</v>
      </c>
      <c r="F107" s="3">
        <v>33580.39</v>
      </c>
      <c r="G107" s="73">
        <v>42972</v>
      </c>
      <c r="H107" s="70">
        <f t="shared" si="2"/>
        <v>-3580.3899999999994</v>
      </c>
      <c r="I107" s="70">
        <f t="shared" si="3"/>
        <v>-778.09159999998883</v>
      </c>
    </row>
    <row r="108" spans="1:9" x14ac:dyDescent="0.25">
      <c r="A108" t="s">
        <v>329</v>
      </c>
      <c r="B108" s="3">
        <v>31500</v>
      </c>
      <c r="C108" s="3" t="s">
        <v>41</v>
      </c>
      <c r="D108" s="72">
        <v>42971</v>
      </c>
      <c r="E108">
        <v>1398075</v>
      </c>
      <c r="F108" s="3">
        <v>34243.46</v>
      </c>
      <c r="G108" s="73">
        <v>42977</v>
      </c>
      <c r="H108" s="70">
        <f t="shared" si="2"/>
        <v>-2743.4599999999991</v>
      </c>
      <c r="I108" s="70">
        <f t="shared" si="3"/>
        <v>-3521.551599999988</v>
      </c>
    </row>
    <row r="109" spans="1:9" x14ac:dyDescent="0.25">
      <c r="A109" t="s">
        <v>330</v>
      </c>
      <c r="B109" s="3">
        <v>37000</v>
      </c>
      <c r="C109" s="3" t="s">
        <v>29</v>
      </c>
      <c r="D109" s="72">
        <v>42975</v>
      </c>
      <c r="E109">
        <v>1398533</v>
      </c>
      <c r="F109" s="3">
        <v>34679.699999999997</v>
      </c>
      <c r="G109" s="73">
        <v>42979</v>
      </c>
      <c r="H109" s="70">
        <f t="shared" si="2"/>
        <v>2320.3000000000029</v>
      </c>
      <c r="I109" s="70">
        <f t="shared" si="3"/>
        <v>-1201.251599999985</v>
      </c>
    </row>
    <row r="110" spans="1:9" x14ac:dyDescent="0.25">
      <c r="A110" t="s">
        <v>331</v>
      </c>
      <c r="B110" s="3">
        <v>35000</v>
      </c>
      <c r="C110" s="3" t="s">
        <v>41</v>
      </c>
      <c r="D110" s="72">
        <v>42978</v>
      </c>
      <c r="E110">
        <v>1400181</v>
      </c>
      <c r="F110" s="3">
        <v>35168.32</v>
      </c>
      <c r="G110" s="73">
        <v>42985</v>
      </c>
      <c r="H110" s="70">
        <f t="shared" si="2"/>
        <v>-168.31999999999971</v>
      </c>
      <c r="I110" s="70">
        <f t="shared" si="3"/>
        <v>-1369.5715999999848</v>
      </c>
    </row>
    <row r="111" spans="1:9" x14ac:dyDescent="0.25">
      <c r="A111" t="s">
        <v>332</v>
      </c>
      <c r="B111" s="3">
        <v>35000</v>
      </c>
      <c r="C111" s="3" t="s">
        <v>41</v>
      </c>
      <c r="D111" s="72">
        <v>42978</v>
      </c>
      <c r="E111">
        <v>1400375</v>
      </c>
      <c r="F111" s="3">
        <v>34630.25</v>
      </c>
      <c r="G111" s="73">
        <v>42985</v>
      </c>
      <c r="H111" s="70">
        <f t="shared" si="2"/>
        <v>369.75</v>
      </c>
      <c r="I111" s="70">
        <f t="shared" si="3"/>
        <v>-999.82159999998476</v>
      </c>
    </row>
    <row r="112" spans="1:9" x14ac:dyDescent="0.25">
      <c r="A112" t="s">
        <v>333</v>
      </c>
      <c r="B112" s="3">
        <v>37000</v>
      </c>
      <c r="C112" s="3" t="s">
        <v>48</v>
      </c>
      <c r="D112" s="72">
        <v>42983</v>
      </c>
      <c r="E112">
        <v>1400784</v>
      </c>
      <c r="F112" s="3">
        <v>34858.6</v>
      </c>
      <c r="G112" s="73">
        <v>42989</v>
      </c>
      <c r="H112" s="70">
        <f t="shared" si="2"/>
        <v>2141.4000000000015</v>
      </c>
      <c r="I112" s="70">
        <f t="shared" si="3"/>
        <v>1141.5784000000167</v>
      </c>
    </row>
    <row r="113" spans="1:9" x14ac:dyDescent="0.25">
      <c r="A113" t="s">
        <v>334</v>
      </c>
      <c r="B113" s="3">
        <v>36000</v>
      </c>
      <c r="C113" s="3" t="s">
        <v>41</v>
      </c>
      <c r="D113" s="72">
        <v>42985</v>
      </c>
      <c r="E113">
        <v>1402008</v>
      </c>
      <c r="F113" s="3">
        <v>35312.26</v>
      </c>
      <c r="G113" s="73">
        <v>42991</v>
      </c>
      <c r="H113" s="70">
        <f t="shared" si="2"/>
        <v>687.73999999999796</v>
      </c>
      <c r="I113" s="70">
        <f t="shared" si="3"/>
        <v>1829.3184000000147</v>
      </c>
    </row>
    <row r="114" spans="1:9" x14ac:dyDescent="0.25">
      <c r="A114" t="s">
        <v>335</v>
      </c>
      <c r="B114" s="3">
        <v>36000</v>
      </c>
      <c r="C114" s="3" t="s">
        <v>45</v>
      </c>
      <c r="D114" s="72">
        <v>42986</v>
      </c>
      <c r="E114">
        <v>1402290</v>
      </c>
      <c r="F114" s="3">
        <v>32895.94</v>
      </c>
      <c r="G114" s="73">
        <v>42992</v>
      </c>
      <c r="H114" s="70">
        <f t="shared" si="2"/>
        <v>3104.0599999999977</v>
      </c>
      <c r="I114" s="70">
        <f t="shared" si="3"/>
        <v>4933.3784000000123</v>
      </c>
    </row>
    <row r="115" spans="1:9" x14ac:dyDescent="0.25">
      <c r="A115" t="s">
        <v>336</v>
      </c>
      <c r="B115" s="3">
        <v>35000</v>
      </c>
      <c r="C115" s="3" t="s">
        <v>41</v>
      </c>
      <c r="D115" s="72">
        <v>42992</v>
      </c>
      <c r="E115">
        <v>1404689</v>
      </c>
      <c r="F115" s="3">
        <v>32097.25</v>
      </c>
      <c r="G115" s="73">
        <v>42998</v>
      </c>
      <c r="H115" s="70">
        <f t="shared" si="2"/>
        <v>2902.75</v>
      </c>
      <c r="I115" s="70">
        <f t="shared" si="3"/>
        <v>7836.1284000000123</v>
      </c>
    </row>
    <row r="116" spans="1:9" x14ac:dyDescent="0.25">
      <c r="A116" t="s">
        <v>337</v>
      </c>
      <c r="B116" s="3">
        <v>36000</v>
      </c>
      <c r="C116" s="3" t="s">
        <v>45</v>
      </c>
      <c r="D116" s="72">
        <v>42993</v>
      </c>
      <c r="E116">
        <v>1404420</v>
      </c>
      <c r="F116" s="3">
        <v>32371.919999999998</v>
      </c>
      <c r="G116" s="73">
        <v>42999</v>
      </c>
      <c r="H116" s="70">
        <f t="shared" si="2"/>
        <v>3628.0800000000017</v>
      </c>
      <c r="I116" s="70">
        <f t="shared" si="3"/>
        <v>11464.208400000014</v>
      </c>
    </row>
    <row r="117" spans="1:9" x14ac:dyDescent="0.25">
      <c r="A117" t="s">
        <v>338</v>
      </c>
      <c r="B117" s="3">
        <v>29000</v>
      </c>
      <c r="C117" s="3" t="s">
        <v>275</v>
      </c>
      <c r="D117" s="72">
        <v>42999</v>
      </c>
      <c r="E117">
        <v>1406398</v>
      </c>
      <c r="F117" s="3">
        <v>27306.99</v>
      </c>
      <c r="G117" s="73">
        <v>43005</v>
      </c>
      <c r="H117" s="70">
        <f t="shared" si="2"/>
        <v>1693.0099999999984</v>
      </c>
      <c r="I117" s="70">
        <f t="shared" si="3"/>
        <v>13157.218400000012</v>
      </c>
    </row>
    <row r="118" spans="1:9" x14ac:dyDescent="0.25">
      <c r="A118" t="s">
        <v>339</v>
      </c>
      <c r="B118" s="3">
        <v>29000</v>
      </c>
      <c r="C118" s="3" t="s">
        <v>45</v>
      </c>
      <c r="D118" s="72">
        <v>43000</v>
      </c>
      <c r="E118">
        <v>1406667</v>
      </c>
      <c r="F118" s="3">
        <v>28364.81</v>
      </c>
      <c r="G118" s="73">
        <v>43006</v>
      </c>
      <c r="H118" s="70">
        <f t="shared" si="2"/>
        <v>635.18999999999869</v>
      </c>
      <c r="I118" s="70">
        <f t="shared" si="3"/>
        <v>13792.408400000011</v>
      </c>
    </row>
    <row r="119" spans="1:9" x14ac:dyDescent="0.25">
      <c r="A119" t="s">
        <v>340</v>
      </c>
      <c r="B119" s="3">
        <v>25000</v>
      </c>
      <c r="C119" s="3" t="s">
        <v>41</v>
      </c>
      <c r="D119" s="72">
        <v>43006</v>
      </c>
      <c r="E119">
        <v>1408729</v>
      </c>
      <c r="F119" s="3">
        <v>29116.85</v>
      </c>
      <c r="G119" s="73">
        <v>43012</v>
      </c>
      <c r="H119" s="70">
        <f t="shared" si="2"/>
        <v>-4116.8499999999985</v>
      </c>
      <c r="I119" s="70">
        <f t="shared" si="3"/>
        <v>9675.5584000000126</v>
      </c>
    </row>
    <row r="120" spans="1:9" x14ac:dyDescent="0.25">
      <c r="A120" t="s">
        <v>341</v>
      </c>
      <c r="B120" s="3">
        <v>25000</v>
      </c>
      <c r="C120" s="3" t="s">
        <v>45</v>
      </c>
      <c r="D120" s="72">
        <v>43007</v>
      </c>
      <c r="E120">
        <v>1408730</v>
      </c>
      <c r="F120" s="3">
        <v>29428.880000000001</v>
      </c>
      <c r="G120" s="73">
        <v>43013</v>
      </c>
      <c r="H120" s="70">
        <f t="shared" si="2"/>
        <v>-4428.880000000001</v>
      </c>
      <c r="I120" s="70">
        <f t="shared" si="3"/>
        <v>5246.6784000000116</v>
      </c>
    </row>
    <row r="121" spans="1:9" x14ac:dyDescent="0.25">
      <c r="A121" t="s">
        <v>342</v>
      </c>
      <c r="B121" s="3">
        <v>25000</v>
      </c>
      <c r="C121" s="3" t="s">
        <v>29</v>
      </c>
      <c r="D121" s="72">
        <v>43010</v>
      </c>
      <c r="E121">
        <v>1408971</v>
      </c>
      <c r="F121" s="3">
        <v>29444.68</v>
      </c>
      <c r="G121" s="73">
        <v>43014</v>
      </c>
      <c r="H121" s="70">
        <f t="shared" si="2"/>
        <v>-4444.68</v>
      </c>
      <c r="I121" s="70">
        <f t="shared" si="3"/>
        <v>801.99840000001132</v>
      </c>
    </row>
    <row r="122" spans="1:9" x14ac:dyDescent="0.25">
      <c r="A122" t="s">
        <v>343</v>
      </c>
      <c r="B122" s="3">
        <v>30000</v>
      </c>
      <c r="C122" s="3" t="s">
        <v>41</v>
      </c>
      <c r="D122" s="72">
        <v>43013</v>
      </c>
      <c r="E122">
        <v>1410829</v>
      </c>
      <c r="F122" s="3">
        <v>30160.2</v>
      </c>
      <c r="G122" s="73">
        <v>43019</v>
      </c>
      <c r="H122" s="70">
        <f t="shared" si="2"/>
        <v>-160.20000000000073</v>
      </c>
      <c r="I122" s="70">
        <f t="shared" si="3"/>
        <v>641.79840000001059</v>
      </c>
    </row>
    <row r="123" spans="1:9" x14ac:dyDescent="0.25">
      <c r="A123" t="s">
        <v>344</v>
      </c>
      <c r="B123" s="3">
        <v>31000</v>
      </c>
      <c r="C123" s="3" t="s">
        <v>29</v>
      </c>
      <c r="D123" s="72">
        <v>43017</v>
      </c>
      <c r="E123">
        <v>1411397</v>
      </c>
      <c r="F123" s="3">
        <v>31023.7</v>
      </c>
      <c r="G123" s="73">
        <v>43021</v>
      </c>
      <c r="H123" s="70">
        <f t="shared" si="2"/>
        <v>-23.700000000000728</v>
      </c>
      <c r="I123" s="70">
        <f t="shared" si="3"/>
        <v>618.09840000000986</v>
      </c>
    </row>
    <row r="124" spans="1:9" x14ac:dyDescent="0.25">
      <c r="A124" t="s">
        <v>345</v>
      </c>
      <c r="B124" s="3">
        <v>32000</v>
      </c>
      <c r="C124" s="3" t="s">
        <v>41</v>
      </c>
      <c r="D124" s="72">
        <v>43020</v>
      </c>
      <c r="E124">
        <v>1413041</v>
      </c>
      <c r="F124" s="3">
        <v>32355.759999999998</v>
      </c>
      <c r="G124" s="73">
        <v>43026</v>
      </c>
      <c r="H124" s="70">
        <f t="shared" si="2"/>
        <v>-355.7599999999984</v>
      </c>
      <c r="I124" s="70">
        <f t="shared" si="3"/>
        <v>262.33840000001146</v>
      </c>
    </row>
    <row r="125" spans="1:9" x14ac:dyDescent="0.25">
      <c r="A125" t="s">
        <v>346</v>
      </c>
      <c r="B125" s="3">
        <v>33000</v>
      </c>
      <c r="C125" s="3" t="s">
        <v>29</v>
      </c>
      <c r="D125" s="72">
        <v>43024</v>
      </c>
      <c r="E125">
        <v>1414652</v>
      </c>
      <c r="F125" s="3">
        <v>33658.51</v>
      </c>
      <c r="G125" s="73">
        <v>43032</v>
      </c>
      <c r="H125" s="70">
        <f t="shared" si="2"/>
        <v>-658.51000000000204</v>
      </c>
      <c r="I125" s="70">
        <f t="shared" si="3"/>
        <v>-396.17159999999058</v>
      </c>
    </row>
    <row r="126" spans="1:9" x14ac:dyDescent="0.25">
      <c r="A126" t="s">
        <v>347</v>
      </c>
      <c r="B126" s="3">
        <v>33500</v>
      </c>
      <c r="C126" s="3" t="s">
        <v>41</v>
      </c>
      <c r="D126" s="72">
        <v>43027</v>
      </c>
      <c r="E126">
        <v>1415656</v>
      </c>
      <c r="F126" s="3">
        <v>34205.51</v>
      </c>
      <c r="G126" s="73">
        <v>43033</v>
      </c>
      <c r="H126" s="70">
        <f t="shared" si="2"/>
        <v>-705.51000000000204</v>
      </c>
      <c r="I126" s="70">
        <f t="shared" si="3"/>
        <v>-1101.6815999999926</v>
      </c>
    </row>
    <row r="127" spans="1:9" x14ac:dyDescent="0.25">
      <c r="A127" t="s">
        <v>348</v>
      </c>
      <c r="B127" s="3">
        <v>36000</v>
      </c>
      <c r="C127" s="3" t="s">
        <v>29</v>
      </c>
      <c r="D127" s="72">
        <v>43031</v>
      </c>
      <c r="E127">
        <v>1415901</v>
      </c>
      <c r="F127" s="3">
        <v>34726.42</v>
      </c>
      <c r="G127" s="73">
        <v>43035</v>
      </c>
      <c r="H127" s="70">
        <f t="shared" si="2"/>
        <v>1273.5800000000017</v>
      </c>
      <c r="I127" s="70">
        <f t="shared" si="3"/>
        <v>171.89840000000913</v>
      </c>
    </row>
    <row r="128" spans="1:9" x14ac:dyDescent="0.25">
      <c r="A128" t="s">
        <v>349</v>
      </c>
      <c r="B128" s="3">
        <v>35000</v>
      </c>
      <c r="C128" s="3" t="s">
        <v>41</v>
      </c>
      <c r="D128" s="72">
        <v>43034</v>
      </c>
      <c r="E128">
        <v>1417778</v>
      </c>
      <c r="F128" s="3">
        <v>35289.61</v>
      </c>
      <c r="G128" s="73">
        <v>43040</v>
      </c>
      <c r="H128" s="70">
        <f t="shared" si="2"/>
        <v>-289.61000000000058</v>
      </c>
      <c r="I128" s="70">
        <f t="shared" si="3"/>
        <v>-117.71159999999145</v>
      </c>
    </row>
    <row r="129" spans="1:10" x14ac:dyDescent="0.25">
      <c r="A129" t="s">
        <v>350</v>
      </c>
      <c r="B129" s="3">
        <v>36000</v>
      </c>
      <c r="C129" s="3" t="s">
        <v>29</v>
      </c>
      <c r="D129" s="72">
        <v>43038</v>
      </c>
      <c r="E129">
        <v>1445661</v>
      </c>
      <c r="F129" s="3">
        <v>34423.42</v>
      </c>
      <c r="G129" s="73">
        <v>43042</v>
      </c>
      <c r="H129" s="70">
        <f t="shared" si="2"/>
        <v>1576.5800000000017</v>
      </c>
      <c r="I129" s="70">
        <f t="shared" si="3"/>
        <v>1458.8684000000103</v>
      </c>
    </row>
    <row r="130" spans="1:10" x14ac:dyDescent="0.25">
      <c r="A130" t="s">
        <v>351</v>
      </c>
      <c r="B130" s="3">
        <v>34000</v>
      </c>
      <c r="C130" s="3" t="s">
        <v>48</v>
      </c>
      <c r="D130" s="72">
        <v>43039</v>
      </c>
      <c r="E130">
        <v>1418303</v>
      </c>
      <c r="F130" s="3">
        <v>35531.589999999997</v>
      </c>
      <c r="G130" s="73">
        <v>43042</v>
      </c>
      <c r="H130" s="70">
        <f t="shared" si="2"/>
        <v>-1531.5899999999965</v>
      </c>
      <c r="I130" s="70">
        <f t="shared" si="3"/>
        <v>-72.721599999986211</v>
      </c>
    </row>
    <row r="131" spans="1:10" x14ac:dyDescent="0.25">
      <c r="A131" t="s">
        <v>352</v>
      </c>
      <c r="B131" s="3">
        <v>36500</v>
      </c>
      <c r="C131" s="3" t="s">
        <v>41</v>
      </c>
      <c r="D131" s="72">
        <v>43042</v>
      </c>
      <c r="E131">
        <v>1420116</v>
      </c>
      <c r="F131" s="3">
        <v>34810.26</v>
      </c>
      <c r="G131" s="73">
        <v>43047</v>
      </c>
      <c r="H131" s="70">
        <f t="shared" si="2"/>
        <v>1689.739999999998</v>
      </c>
      <c r="I131" s="70">
        <f t="shared" si="3"/>
        <v>1617.0184000000118</v>
      </c>
    </row>
    <row r="132" spans="1:10" x14ac:dyDescent="0.25">
      <c r="A132" t="s">
        <v>353</v>
      </c>
      <c r="B132" s="3">
        <v>36000</v>
      </c>
      <c r="C132" s="3" t="s">
        <v>29</v>
      </c>
      <c r="D132" s="72">
        <v>43045</v>
      </c>
      <c r="E132">
        <v>1420733</v>
      </c>
      <c r="F132" s="3">
        <v>35089.82</v>
      </c>
      <c r="G132" s="73">
        <v>43049</v>
      </c>
      <c r="H132" s="70">
        <f t="shared" si="2"/>
        <v>910.18000000000029</v>
      </c>
      <c r="I132" s="70">
        <f t="shared" si="3"/>
        <v>2527.198400000012</v>
      </c>
    </row>
    <row r="133" spans="1:10" x14ac:dyDescent="0.25">
      <c r="A133" t="s">
        <v>354</v>
      </c>
      <c r="B133" s="3">
        <v>35000</v>
      </c>
      <c r="C133" s="3" t="s">
        <v>41</v>
      </c>
      <c r="D133" s="72">
        <v>43048</v>
      </c>
      <c r="E133">
        <v>1422464</v>
      </c>
      <c r="F133" s="3">
        <v>34826.300000000003</v>
      </c>
      <c r="G133" s="73">
        <v>43054</v>
      </c>
      <c r="H133" s="70">
        <f t="shared" ref="H133:H168" si="4">B133-F133</f>
        <v>173.69999999999709</v>
      </c>
      <c r="I133" s="70">
        <f t="shared" si="3"/>
        <v>2700.8984000000091</v>
      </c>
    </row>
    <row r="134" spans="1:10" x14ac:dyDescent="0.25">
      <c r="A134" t="s">
        <v>355</v>
      </c>
      <c r="B134" s="3">
        <v>35000</v>
      </c>
      <c r="C134" s="3" t="s">
        <v>29</v>
      </c>
      <c r="D134" s="72">
        <v>43052</v>
      </c>
      <c r="E134">
        <v>1423004</v>
      </c>
      <c r="F134" s="3">
        <v>33705.49</v>
      </c>
      <c r="G134" s="73">
        <v>43056</v>
      </c>
      <c r="H134" s="70">
        <f t="shared" si="4"/>
        <v>1294.510000000002</v>
      </c>
      <c r="I134" s="70">
        <f t="shared" si="3"/>
        <v>3995.4084000000112</v>
      </c>
      <c r="J134" s="61"/>
    </row>
    <row r="135" spans="1:10" x14ac:dyDescent="0.25">
      <c r="A135" t="s">
        <v>356</v>
      </c>
      <c r="B135" s="3">
        <v>423.17</v>
      </c>
      <c r="C135" s="3" t="s">
        <v>228</v>
      </c>
      <c r="D135" s="72">
        <v>43059</v>
      </c>
      <c r="G135" s="73"/>
      <c r="H135" s="70">
        <f t="shared" si="4"/>
        <v>423.17</v>
      </c>
      <c r="I135" s="70">
        <f t="shared" ref="I135:I168" si="5">I134+H135</f>
        <v>4418.5784000000112</v>
      </c>
      <c r="J135" s="61" t="s">
        <v>357</v>
      </c>
    </row>
    <row r="136" spans="1:10" x14ac:dyDescent="0.25">
      <c r="A136" t="s">
        <v>358</v>
      </c>
      <c r="B136" s="3">
        <v>33000</v>
      </c>
      <c r="C136" s="3" t="s">
        <v>41</v>
      </c>
      <c r="D136" s="72">
        <v>43055</v>
      </c>
      <c r="E136">
        <v>1424468</v>
      </c>
      <c r="F136" s="3">
        <v>30965.13</v>
      </c>
      <c r="G136" s="73">
        <v>43061</v>
      </c>
      <c r="H136" s="70">
        <f t="shared" si="4"/>
        <v>2034.869999999999</v>
      </c>
      <c r="I136" s="70">
        <f t="shared" si="5"/>
        <v>6453.4484000000102</v>
      </c>
    </row>
    <row r="137" spans="1:10" x14ac:dyDescent="0.25">
      <c r="A137" t="s">
        <v>359</v>
      </c>
      <c r="B137" s="3">
        <v>30000</v>
      </c>
      <c r="C137" s="3" t="s">
        <v>29</v>
      </c>
      <c r="D137" s="72">
        <v>43056</v>
      </c>
      <c r="E137">
        <v>1424987</v>
      </c>
      <c r="F137" s="3">
        <v>29890.41</v>
      </c>
      <c r="G137" s="73">
        <v>43063</v>
      </c>
      <c r="H137" s="70">
        <f t="shared" si="4"/>
        <v>109.59000000000015</v>
      </c>
      <c r="I137" s="70">
        <f t="shared" si="5"/>
        <v>6563.0384000000104</v>
      </c>
    </row>
    <row r="138" spans="1:10" x14ac:dyDescent="0.25">
      <c r="A138" t="s">
        <v>360</v>
      </c>
      <c r="B138" s="3">
        <v>28000</v>
      </c>
      <c r="C138" s="3" t="s">
        <v>41</v>
      </c>
      <c r="D138" s="72">
        <v>43061</v>
      </c>
      <c r="E138">
        <v>1426748</v>
      </c>
      <c r="F138" s="3">
        <v>30685.85</v>
      </c>
      <c r="G138" s="73">
        <v>43068</v>
      </c>
      <c r="H138" s="70">
        <f t="shared" si="4"/>
        <v>-2685.8499999999985</v>
      </c>
      <c r="I138" s="70">
        <f t="shared" si="5"/>
        <v>3877.1884000000118</v>
      </c>
    </row>
    <row r="139" spans="1:10" x14ac:dyDescent="0.25">
      <c r="A139" t="s">
        <v>361</v>
      </c>
      <c r="B139" s="3">
        <v>25000</v>
      </c>
      <c r="C139" s="3" t="s">
        <v>41</v>
      </c>
      <c r="D139" s="72">
        <v>43069</v>
      </c>
      <c r="E139">
        <v>1428939</v>
      </c>
      <c r="F139" s="3">
        <v>32426.5</v>
      </c>
      <c r="G139" s="73">
        <v>43075</v>
      </c>
      <c r="H139" s="70">
        <f t="shared" si="4"/>
        <v>-7426.5</v>
      </c>
      <c r="I139" s="70">
        <f t="shared" si="5"/>
        <v>-3549.3115999999882</v>
      </c>
    </row>
    <row r="140" spans="1:10" x14ac:dyDescent="0.25">
      <c r="A140" t="s">
        <v>362</v>
      </c>
      <c r="B140" s="3">
        <v>33000</v>
      </c>
      <c r="C140" s="3" t="s">
        <v>45</v>
      </c>
      <c r="D140" s="72">
        <v>43070</v>
      </c>
      <c r="E140">
        <v>1429248</v>
      </c>
      <c r="F140" s="3">
        <v>33511.54</v>
      </c>
      <c r="G140" s="73">
        <v>43076</v>
      </c>
      <c r="H140" s="70">
        <f t="shared" si="4"/>
        <v>-511.54000000000087</v>
      </c>
      <c r="I140" s="70">
        <f t="shared" si="5"/>
        <v>-4060.851599999989</v>
      </c>
    </row>
    <row r="141" spans="1:10" x14ac:dyDescent="0.25">
      <c r="A141" t="s">
        <v>363</v>
      </c>
      <c r="B141" s="3">
        <v>30000</v>
      </c>
      <c r="C141" s="3" t="s">
        <v>29</v>
      </c>
      <c r="D141" s="72">
        <v>43066</v>
      </c>
      <c r="E141">
        <v>1429438</v>
      </c>
      <c r="F141" s="3">
        <v>32335.24</v>
      </c>
      <c r="G141" s="73">
        <v>43070</v>
      </c>
      <c r="H141" s="70">
        <f t="shared" si="4"/>
        <v>-2335.2400000000016</v>
      </c>
      <c r="I141" s="70">
        <f t="shared" si="5"/>
        <v>-6396.0915999999906</v>
      </c>
    </row>
    <row r="142" spans="1:10" x14ac:dyDescent="0.25">
      <c r="A142" t="s">
        <v>364</v>
      </c>
      <c r="B142" s="3">
        <v>40000</v>
      </c>
      <c r="C142" s="3" t="s">
        <v>29</v>
      </c>
      <c r="D142" s="72">
        <v>43073</v>
      </c>
      <c r="E142">
        <v>1429575</v>
      </c>
      <c r="F142" s="3">
        <v>33352.879999999997</v>
      </c>
      <c r="G142" s="73">
        <v>43077</v>
      </c>
      <c r="H142" s="70">
        <f t="shared" si="4"/>
        <v>6647.1200000000026</v>
      </c>
      <c r="I142" s="70">
        <f t="shared" si="5"/>
        <v>251.02840000001197</v>
      </c>
    </row>
    <row r="143" spans="1:10" x14ac:dyDescent="0.25">
      <c r="A143" t="s">
        <v>365</v>
      </c>
      <c r="B143" s="3">
        <v>35000</v>
      </c>
      <c r="C143" s="3" t="s">
        <v>41</v>
      </c>
      <c r="D143" s="72">
        <v>43076</v>
      </c>
      <c r="E143">
        <v>1431011</v>
      </c>
      <c r="F143" s="3">
        <v>34108.68</v>
      </c>
      <c r="G143" s="73">
        <v>43082</v>
      </c>
      <c r="H143" s="70">
        <f t="shared" si="4"/>
        <v>891.31999999999971</v>
      </c>
      <c r="I143" s="70">
        <f t="shared" si="5"/>
        <v>1142.3484000000117</v>
      </c>
    </row>
    <row r="144" spans="1:10" x14ac:dyDescent="0.25">
      <c r="A144" t="s">
        <v>366</v>
      </c>
      <c r="B144" s="3">
        <v>35000</v>
      </c>
      <c r="C144" s="3" t="s">
        <v>41</v>
      </c>
      <c r="D144" s="72">
        <v>43076</v>
      </c>
      <c r="E144">
        <v>1431012</v>
      </c>
      <c r="F144" s="3">
        <v>34778</v>
      </c>
      <c r="G144" s="73">
        <v>43082</v>
      </c>
      <c r="H144" s="70">
        <f t="shared" si="4"/>
        <v>222</v>
      </c>
      <c r="I144" s="70">
        <f t="shared" si="5"/>
        <v>1364.3484000000117</v>
      </c>
    </row>
    <row r="145" spans="1:10" x14ac:dyDescent="0.25">
      <c r="A145" t="s">
        <v>367</v>
      </c>
      <c r="B145" s="3">
        <v>35000</v>
      </c>
      <c r="C145" s="3" t="s">
        <v>45</v>
      </c>
      <c r="D145" s="72">
        <v>43077</v>
      </c>
      <c r="E145">
        <v>1431603</v>
      </c>
      <c r="F145" s="3">
        <v>32484.880000000001</v>
      </c>
      <c r="G145" s="73">
        <v>43083</v>
      </c>
      <c r="H145" s="70">
        <f t="shared" si="4"/>
        <v>2515.119999999999</v>
      </c>
      <c r="I145" s="70">
        <f t="shared" si="5"/>
        <v>3879.4684000000107</v>
      </c>
    </row>
    <row r="146" spans="1:10" x14ac:dyDescent="0.25">
      <c r="A146" t="s">
        <v>368</v>
      </c>
      <c r="B146" s="3">
        <v>35000</v>
      </c>
      <c r="C146" s="3" t="s">
        <v>29</v>
      </c>
      <c r="D146" s="72">
        <v>43080</v>
      </c>
      <c r="E146">
        <v>1431604</v>
      </c>
      <c r="F146" s="3">
        <v>32335.22</v>
      </c>
      <c r="G146" s="73">
        <v>43084</v>
      </c>
      <c r="H146" s="70">
        <f t="shared" si="4"/>
        <v>2664.7799999999988</v>
      </c>
      <c r="I146" s="70">
        <f t="shared" si="5"/>
        <v>6544.2484000000095</v>
      </c>
    </row>
    <row r="147" spans="1:10" x14ac:dyDescent="0.25">
      <c r="A147" t="s">
        <v>369</v>
      </c>
      <c r="B147" s="3">
        <v>35000</v>
      </c>
      <c r="C147" s="3" t="s">
        <v>29</v>
      </c>
      <c r="D147" s="72">
        <v>43080</v>
      </c>
      <c r="E147">
        <v>1431963</v>
      </c>
      <c r="F147" s="3">
        <v>32503.79</v>
      </c>
      <c r="G147" s="73">
        <v>43084</v>
      </c>
      <c r="H147" s="70">
        <f t="shared" si="4"/>
        <v>2496.2099999999991</v>
      </c>
      <c r="I147" s="70">
        <f t="shared" si="5"/>
        <v>9040.4584000000086</v>
      </c>
    </row>
    <row r="148" spans="1:10" x14ac:dyDescent="0.25">
      <c r="A148" t="s">
        <v>370</v>
      </c>
      <c r="B148" s="3">
        <v>32000</v>
      </c>
      <c r="C148" s="3" t="s">
        <v>41</v>
      </c>
      <c r="D148" s="72">
        <v>43083</v>
      </c>
      <c r="E148">
        <v>1433790</v>
      </c>
      <c r="F148" s="3">
        <v>28609.85</v>
      </c>
      <c r="G148" s="73">
        <v>43089</v>
      </c>
      <c r="H148" s="70">
        <f t="shared" si="4"/>
        <v>3390.1500000000015</v>
      </c>
      <c r="I148" s="70">
        <f t="shared" si="5"/>
        <v>12430.60840000001</v>
      </c>
    </row>
    <row r="149" spans="1:10" x14ac:dyDescent="0.25">
      <c r="A149" t="s">
        <v>371</v>
      </c>
      <c r="B149" s="3">
        <v>32000</v>
      </c>
      <c r="C149" s="3" t="s">
        <v>41</v>
      </c>
      <c r="D149" s="72">
        <v>43083</v>
      </c>
      <c r="E149">
        <v>1433791</v>
      </c>
      <c r="F149" s="3">
        <v>28125.360000000001</v>
      </c>
      <c r="G149" s="73">
        <v>43089</v>
      </c>
      <c r="H149" s="70">
        <f t="shared" si="4"/>
        <v>3874.6399999999994</v>
      </c>
      <c r="I149" s="70">
        <f t="shared" si="5"/>
        <v>16305.248400000009</v>
      </c>
    </row>
    <row r="150" spans="1:10" x14ac:dyDescent="0.25">
      <c r="A150" t="s">
        <v>372</v>
      </c>
      <c r="B150" s="3">
        <v>32000</v>
      </c>
      <c r="C150" s="3" t="s">
        <v>45</v>
      </c>
      <c r="D150" s="72">
        <v>43084</v>
      </c>
      <c r="E150">
        <v>1434096</v>
      </c>
      <c r="F150" s="3">
        <v>27961.200000000001</v>
      </c>
      <c r="G150" s="73">
        <v>43090</v>
      </c>
      <c r="H150" s="70">
        <f t="shared" si="4"/>
        <v>4038.7999999999993</v>
      </c>
      <c r="I150" s="70">
        <f t="shared" si="5"/>
        <v>20344.048400000007</v>
      </c>
    </row>
    <row r="151" spans="1:10" x14ac:dyDescent="0.25">
      <c r="A151" t="s">
        <v>373</v>
      </c>
      <c r="B151" s="3">
        <v>25000</v>
      </c>
      <c r="C151" s="3" t="s">
        <v>29</v>
      </c>
      <c r="D151" s="72">
        <v>43087</v>
      </c>
      <c r="E151">
        <v>1434428</v>
      </c>
      <c r="F151" s="3">
        <v>26990.55</v>
      </c>
      <c r="G151" s="73">
        <v>43091</v>
      </c>
      <c r="H151" s="70">
        <f t="shared" si="4"/>
        <v>-1990.5499999999993</v>
      </c>
      <c r="I151" s="70">
        <f t="shared" si="5"/>
        <v>18353.498400000008</v>
      </c>
    </row>
    <row r="152" spans="1:10" x14ac:dyDescent="0.25">
      <c r="A152" t="s">
        <v>374</v>
      </c>
      <c r="B152" s="3">
        <v>25000</v>
      </c>
      <c r="C152" s="3" t="s">
        <v>29</v>
      </c>
      <c r="D152" s="72">
        <v>43087</v>
      </c>
      <c r="E152">
        <v>1434429</v>
      </c>
      <c r="F152" s="3">
        <v>26924.65</v>
      </c>
      <c r="G152" s="73">
        <v>43091</v>
      </c>
      <c r="H152" s="70">
        <f t="shared" si="4"/>
        <v>-1924.6500000000015</v>
      </c>
      <c r="I152" s="70">
        <f t="shared" si="5"/>
        <v>16428.848400000006</v>
      </c>
    </row>
    <row r="153" spans="1:10" x14ac:dyDescent="0.25">
      <c r="A153" t="s">
        <v>375</v>
      </c>
      <c r="B153" s="3">
        <v>25000</v>
      </c>
      <c r="C153" s="3" t="s">
        <v>41</v>
      </c>
      <c r="D153" s="72">
        <v>43090</v>
      </c>
      <c r="E153">
        <v>1435446</v>
      </c>
      <c r="F153" s="3">
        <v>27480.6</v>
      </c>
      <c r="G153" s="73">
        <v>43096</v>
      </c>
      <c r="H153" s="70">
        <f t="shared" si="4"/>
        <v>-2480.5999999999985</v>
      </c>
      <c r="I153" s="70">
        <f t="shared" si="5"/>
        <v>13948.248400000008</v>
      </c>
    </row>
    <row r="154" spans="1:10" x14ac:dyDescent="0.25">
      <c r="A154" t="s">
        <v>376</v>
      </c>
      <c r="B154" s="3">
        <v>694.14</v>
      </c>
      <c r="C154" s="3" t="s">
        <v>377</v>
      </c>
      <c r="D154" s="72"/>
      <c r="G154" s="73"/>
      <c r="H154" s="70">
        <f t="shared" si="4"/>
        <v>694.14</v>
      </c>
      <c r="I154" s="70">
        <f t="shared" si="5"/>
        <v>14642.388400000007</v>
      </c>
      <c r="J154" t="s">
        <v>378</v>
      </c>
    </row>
    <row r="155" spans="1:10" x14ac:dyDescent="0.25">
      <c r="A155" t="s">
        <v>379</v>
      </c>
      <c r="B155" s="3">
        <v>25000</v>
      </c>
      <c r="C155" s="3" t="s">
        <v>45</v>
      </c>
      <c r="D155" s="72">
        <v>43091</v>
      </c>
      <c r="E155">
        <v>1435965</v>
      </c>
      <c r="F155" s="3">
        <v>27874.3</v>
      </c>
      <c r="G155" s="73">
        <v>43097</v>
      </c>
      <c r="H155" s="70">
        <f t="shared" si="4"/>
        <v>-2874.2999999999993</v>
      </c>
      <c r="I155" s="70">
        <f t="shared" si="5"/>
        <v>11768.088400000008</v>
      </c>
    </row>
    <row r="156" spans="1:10" x14ac:dyDescent="0.25">
      <c r="A156" t="s">
        <v>380</v>
      </c>
      <c r="C156" s="3" t="s">
        <v>48</v>
      </c>
      <c r="D156" s="72">
        <v>43095</v>
      </c>
      <c r="G156" s="76" t="s">
        <v>230</v>
      </c>
      <c r="H156" s="70">
        <f t="shared" si="4"/>
        <v>0</v>
      </c>
      <c r="I156" s="70">
        <f t="shared" si="5"/>
        <v>11768.088400000008</v>
      </c>
      <c r="J156" t="s">
        <v>381</v>
      </c>
    </row>
    <row r="157" spans="1:10" x14ac:dyDescent="0.25">
      <c r="A157" t="s">
        <v>382</v>
      </c>
      <c r="B157" s="3">
        <v>20000</v>
      </c>
      <c r="C157" s="3" t="s">
        <v>48</v>
      </c>
      <c r="D157" s="72">
        <v>43095</v>
      </c>
      <c r="E157">
        <v>1438178</v>
      </c>
      <c r="F157" s="3">
        <v>28759.41</v>
      </c>
      <c r="G157" s="73">
        <v>43105</v>
      </c>
      <c r="H157" s="70">
        <f t="shared" si="4"/>
        <v>-8759.41</v>
      </c>
      <c r="I157" s="70">
        <f t="shared" si="5"/>
        <v>3008.678400000008</v>
      </c>
    </row>
    <row r="158" spans="1:10" x14ac:dyDescent="0.25">
      <c r="A158" t="s">
        <v>383</v>
      </c>
      <c r="B158" s="3">
        <v>25000</v>
      </c>
      <c r="C158" s="3" t="s">
        <v>45</v>
      </c>
      <c r="D158" s="72">
        <v>43098</v>
      </c>
      <c r="E158">
        <v>1439735</v>
      </c>
      <c r="F158" s="3">
        <v>28354.98</v>
      </c>
      <c r="G158" s="73">
        <v>43109</v>
      </c>
      <c r="H158" s="70">
        <f t="shared" si="4"/>
        <v>-3354.9799999999996</v>
      </c>
      <c r="I158" s="70">
        <f t="shared" si="5"/>
        <v>-346.30159999999159</v>
      </c>
    </row>
    <row r="159" spans="1:10" x14ac:dyDescent="0.25">
      <c r="A159" t="s">
        <v>384</v>
      </c>
      <c r="B159" s="3">
        <v>28000</v>
      </c>
      <c r="C159" s="3" t="s">
        <v>41</v>
      </c>
      <c r="D159" s="72">
        <v>43104</v>
      </c>
      <c r="E159">
        <v>1440209</v>
      </c>
      <c r="F159" s="3">
        <v>28121.61</v>
      </c>
      <c r="G159" s="73">
        <v>43110</v>
      </c>
      <c r="H159" s="70">
        <f t="shared" si="4"/>
        <v>-121.61000000000058</v>
      </c>
      <c r="I159" s="70">
        <f t="shared" si="5"/>
        <v>-467.91159999999218</v>
      </c>
    </row>
    <row r="160" spans="1:10" x14ac:dyDescent="0.25">
      <c r="A160" t="s">
        <v>385</v>
      </c>
      <c r="B160" s="3">
        <v>29500</v>
      </c>
      <c r="C160" s="3" t="s">
        <v>29</v>
      </c>
      <c r="D160" s="72">
        <v>43108</v>
      </c>
      <c r="E160">
        <v>1440472</v>
      </c>
      <c r="F160" s="3">
        <v>29250.39</v>
      </c>
      <c r="G160" s="73">
        <v>43112</v>
      </c>
      <c r="H160" s="70">
        <f t="shared" si="4"/>
        <v>249.61000000000058</v>
      </c>
      <c r="I160" s="70">
        <f t="shared" si="5"/>
        <v>-218.30159999999159</v>
      </c>
    </row>
    <row r="161" spans="1:10" x14ac:dyDescent="0.25">
      <c r="A161" t="s">
        <v>386</v>
      </c>
      <c r="B161" s="3">
        <v>30000</v>
      </c>
      <c r="C161" s="3" t="s">
        <v>41</v>
      </c>
      <c r="D161" s="72">
        <v>43111</v>
      </c>
      <c r="E161">
        <v>1442682</v>
      </c>
      <c r="F161" s="3">
        <v>33025.07</v>
      </c>
      <c r="G161" s="73">
        <v>43117</v>
      </c>
      <c r="H161" s="70">
        <f t="shared" si="4"/>
        <v>-3025.0699999999997</v>
      </c>
      <c r="I161" s="70">
        <f t="shared" si="5"/>
        <v>-3243.3715999999913</v>
      </c>
    </row>
    <row r="162" spans="1:10" x14ac:dyDescent="0.25">
      <c r="A162" t="s">
        <v>387</v>
      </c>
      <c r="B162" s="3">
        <v>30000</v>
      </c>
      <c r="C162" s="3" t="s">
        <v>48</v>
      </c>
      <c r="D162" s="72">
        <v>43116</v>
      </c>
      <c r="E162">
        <v>1444147</v>
      </c>
      <c r="F162" s="3">
        <v>32771.06</v>
      </c>
      <c r="G162" s="73">
        <v>43119</v>
      </c>
      <c r="H162" s="70">
        <f t="shared" si="4"/>
        <v>-2771.0599999999977</v>
      </c>
      <c r="I162" s="70">
        <f t="shared" si="5"/>
        <v>-6014.431599999989</v>
      </c>
    </row>
    <row r="163" spans="1:10" x14ac:dyDescent="0.25">
      <c r="A163" t="s">
        <v>388</v>
      </c>
      <c r="B163" s="3">
        <v>40000</v>
      </c>
      <c r="C163" s="3" t="s">
        <v>41</v>
      </c>
      <c r="D163" s="72">
        <v>43118</v>
      </c>
      <c r="E163">
        <v>1444623</v>
      </c>
      <c r="F163" s="3">
        <v>33279.72</v>
      </c>
      <c r="G163" s="73">
        <v>43124</v>
      </c>
      <c r="H163" s="70">
        <f t="shared" si="4"/>
        <v>6720.2799999999988</v>
      </c>
      <c r="I163" s="70">
        <f t="shared" si="5"/>
        <v>705.84840000000986</v>
      </c>
    </row>
    <row r="164" spans="1:10" x14ac:dyDescent="0.25">
      <c r="A164" t="s">
        <v>389</v>
      </c>
      <c r="B164" s="3">
        <v>33000</v>
      </c>
      <c r="C164" s="3" t="s">
        <v>29</v>
      </c>
      <c r="D164" s="72">
        <v>43122</v>
      </c>
      <c r="E164">
        <v>1444974</v>
      </c>
      <c r="F164" s="3">
        <v>34548.32</v>
      </c>
      <c r="G164" s="73">
        <v>43126</v>
      </c>
      <c r="H164" s="70">
        <f t="shared" si="4"/>
        <v>-1548.3199999999997</v>
      </c>
      <c r="I164" s="70">
        <f t="shared" si="5"/>
        <v>-842.47159999998985</v>
      </c>
    </row>
    <row r="165" spans="1:10" x14ac:dyDescent="0.25">
      <c r="A165" t="s">
        <v>390</v>
      </c>
      <c r="B165" s="3">
        <v>33000</v>
      </c>
      <c r="C165" s="3" t="s">
        <v>41</v>
      </c>
      <c r="D165" s="72">
        <v>43125</v>
      </c>
      <c r="E165">
        <v>1447141</v>
      </c>
      <c r="F165" s="3">
        <v>33721.379999999997</v>
      </c>
      <c r="G165" s="73">
        <v>43132</v>
      </c>
      <c r="H165" s="70">
        <f t="shared" si="4"/>
        <v>-721.37999999999738</v>
      </c>
      <c r="I165" s="70">
        <f t="shared" si="5"/>
        <v>-1563.8515999999872</v>
      </c>
    </row>
    <row r="166" spans="1:10" x14ac:dyDescent="0.25">
      <c r="A166" t="s">
        <v>391</v>
      </c>
      <c r="B166" s="3">
        <v>34000</v>
      </c>
      <c r="C166" s="3" t="s">
        <v>29</v>
      </c>
      <c r="D166" s="72">
        <v>43129</v>
      </c>
      <c r="E166">
        <v>1447785</v>
      </c>
      <c r="F166" s="3">
        <v>31917.99</v>
      </c>
      <c r="G166" s="73">
        <v>43133</v>
      </c>
      <c r="H166" s="70">
        <f t="shared" si="4"/>
        <v>2082.0099999999984</v>
      </c>
      <c r="I166" s="70">
        <f t="shared" si="5"/>
        <v>518.15840000001117</v>
      </c>
    </row>
    <row r="167" spans="1:10" x14ac:dyDescent="0.25">
      <c r="A167" t="s">
        <v>392</v>
      </c>
      <c r="B167" s="3">
        <v>37000</v>
      </c>
      <c r="C167" s="3" t="s">
        <v>41</v>
      </c>
      <c r="D167" s="72">
        <v>43132</v>
      </c>
      <c r="E167">
        <v>1449573</v>
      </c>
      <c r="F167" s="3">
        <v>31206.18</v>
      </c>
      <c r="G167" s="73">
        <v>43138</v>
      </c>
      <c r="H167" s="70">
        <f t="shared" si="4"/>
        <v>5793.82</v>
      </c>
      <c r="I167" s="70">
        <f t="shared" si="5"/>
        <v>6311.9784000000109</v>
      </c>
    </row>
    <row r="168" spans="1:10" x14ac:dyDescent="0.25">
      <c r="A168" t="s">
        <v>393</v>
      </c>
      <c r="B168" s="3">
        <v>31000</v>
      </c>
      <c r="C168" s="3" t="s">
        <v>48</v>
      </c>
      <c r="D168" s="72">
        <v>43137</v>
      </c>
      <c r="E168">
        <v>1450207</v>
      </c>
      <c r="F168" s="3">
        <v>28857.51</v>
      </c>
      <c r="G168" s="73">
        <v>43140</v>
      </c>
      <c r="H168" s="70">
        <f t="shared" si="4"/>
        <v>2142.4900000000016</v>
      </c>
      <c r="I168" s="70">
        <f t="shared" si="5"/>
        <v>8454.4684000000125</v>
      </c>
    </row>
    <row r="169" spans="1:10" x14ac:dyDescent="0.25">
      <c r="A169" t="s">
        <v>394</v>
      </c>
      <c r="B169" s="3">
        <v>30000</v>
      </c>
      <c r="C169" s="3" t="s">
        <v>33</v>
      </c>
      <c r="D169" s="72">
        <v>43138</v>
      </c>
      <c r="E169">
        <v>1450756</v>
      </c>
      <c r="F169" s="3">
        <v>27037.759999999998</v>
      </c>
      <c r="G169" s="73">
        <v>43143</v>
      </c>
      <c r="H169" s="70">
        <f>B169-F169</f>
        <v>2962.2400000000016</v>
      </c>
      <c r="I169" s="70">
        <f>I168+H169</f>
        <v>11416.708400000014</v>
      </c>
    </row>
    <row r="170" spans="1:10" x14ac:dyDescent="0.25">
      <c r="A170" t="s">
        <v>395</v>
      </c>
      <c r="B170" s="3">
        <v>30000</v>
      </c>
      <c r="C170" s="3" t="s">
        <v>33</v>
      </c>
      <c r="D170" s="72">
        <v>43138</v>
      </c>
      <c r="E170">
        <v>1451581</v>
      </c>
      <c r="F170" s="3">
        <v>26921.06</v>
      </c>
      <c r="G170" s="73">
        <v>43144</v>
      </c>
      <c r="H170" s="70">
        <f>B170-F170</f>
        <v>3078.9399999999987</v>
      </c>
      <c r="I170" s="70">
        <f>I169+H170</f>
        <v>14495.648400000013</v>
      </c>
    </row>
    <row r="171" spans="1:10" x14ac:dyDescent="0.25">
      <c r="A171" t="s">
        <v>396</v>
      </c>
      <c r="B171" s="3">
        <v>30000</v>
      </c>
      <c r="C171" s="3" t="s">
        <v>41</v>
      </c>
      <c r="D171" s="72">
        <v>43139</v>
      </c>
      <c r="E171">
        <v>1452038</v>
      </c>
      <c r="F171" s="3">
        <v>27590.59</v>
      </c>
      <c r="G171" s="73">
        <v>43145</v>
      </c>
      <c r="H171" s="70">
        <f>B171-F171</f>
        <v>2409.41</v>
      </c>
      <c r="I171" s="70">
        <f>I170+H171</f>
        <v>16905.058400000013</v>
      </c>
    </row>
    <row r="172" spans="1:10" x14ac:dyDescent="0.25">
      <c r="A172" t="s">
        <v>397</v>
      </c>
      <c r="B172" s="3">
        <v>25000</v>
      </c>
      <c r="C172" s="3" t="s">
        <v>45</v>
      </c>
      <c r="D172" s="72">
        <v>43140</v>
      </c>
      <c r="E172">
        <v>1452634</v>
      </c>
      <c r="F172" s="3">
        <v>28173</v>
      </c>
      <c r="G172" s="73">
        <v>43146</v>
      </c>
      <c r="H172" s="70">
        <f>B172-F172</f>
        <v>-3173</v>
      </c>
      <c r="I172" s="70">
        <f>I171+H172</f>
        <v>13732.058400000013</v>
      </c>
    </row>
    <row r="173" spans="1:10" x14ac:dyDescent="0.25">
      <c r="A173" t="s">
        <v>398</v>
      </c>
      <c r="B173" s="3">
        <v>25000</v>
      </c>
      <c r="C173" s="3" t="s">
        <v>29</v>
      </c>
      <c r="D173" s="72">
        <v>43143</v>
      </c>
      <c r="E173">
        <v>1452353</v>
      </c>
      <c r="F173" s="3">
        <v>29477.25</v>
      </c>
      <c r="G173" s="73">
        <v>43147</v>
      </c>
      <c r="H173" s="70">
        <f t="shared" ref="H173:H236" si="6">B173-F173</f>
        <v>-4477.25</v>
      </c>
      <c r="I173" s="70">
        <f t="shared" ref="I173:I236" si="7">I172+H173</f>
        <v>9254.8084000000126</v>
      </c>
    </row>
    <row r="174" spans="1:10" x14ac:dyDescent="0.25">
      <c r="A174" t="s">
        <v>399</v>
      </c>
      <c r="B174" s="3">
        <v>25000</v>
      </c>
      <c r="C174" s="3" t="s">
        <v>33</v>
      </c>
      <c r="D174" s="72">
        <v>43145</v>
      </c>
      <c r="E174">
        <v>1453253</v>
      </c>
      <c r="F174" s="3">
        <v>29881.09</v>
      </c>
      <c r="G174" s="73">
        <v>43151</v>
      </c>
      <c r="H174" s="70">
        <f>B174-F174</f>
        <v>-4881.09</v>
      </c>
      <c r="I174" s="70">
        <f>I173+H174</f>
        <v>4373.7184000000125</v>
      </c>
    </row>
    <row r="175" spans="1:10" x14ac:dyDescent="0.25">
      <c r="A175" t="s">
        <v>400</v>
      </c>
      <c r="B175" s="3">
        <v>25000</v>
      </c>
      <c r="C175" s="3" t="s">
        <v>41</v>
      </c>
      <c r="D175" s="72">
        <v>43146</v>
      </c>
      <c r="E175">
        <v>1454480</v>
      </c>
      <c r="F175" s="3">
        <v>30211.919999999998</v>
      </c>
      <c r="G175" s="73">
        <v>43152</v>
      </c>
      <c r="H175" s="70">
        <f>B175-F175</f>
        <v>-5211.9199999999983</v>
      </c>
      <c r="I175" s="70">
        <f>I174+H175</f>
        <v>-838.20159999998577</v>
      </c>
    </row>
    <row r="176" spans="1:10" x14ac:dyDescent="0.25">
      <c r="A176" t="s">
        <v>401</v>
      </c>
      <c r="C176" s="3" t="s">
        <v>45</v>
      </c>
      <c r="D176" s="77" t="s">
        <v>230</v>
      </c>
      <c r="G176" s="73">
        <v>43153</v>
      </c>
      <c r="H176" s="70">
        <f>B176-F176</f>
        <v>0</v>
      </c>
      <c r="I176" s="70">
        <f>I175+H176</f>
        <v>-838.20159999998577</v>
      </c>
      <c r="J176" s="77" t="s">
        <v>230</v>
      </c>
    </row>
    <row r="177" spans="1:9" x14ac:dyDescent="0.25">
      <c r="A177" t="s">
        <v>402</v>
      </c>
      <c r="B177" s="3">
        <v>25000</v>
      </c>
      <c r="C177" s="3" t="s">
        <v>41</v>
      </c>
      <c r="D177" s="72">
        <v>43147</v>
      </c>
      <c r="E177">
        <v>1456892</v>
      </c>
      <c r="F177" s="3">
        <v>31889.9</v>
      </c>
      <c r="G177" s="73">
        <v>43159</v>
      </c>
      <c r="H177" s="70">
        <f t="shared" si="6"/>
        <v>-6889.9000000000015</v>
      </c>
      <c r="I177" s="70">
        <f t="shared" si="7"/>
        <v>-7728.1015999999872</v>
      </c>
    </row>
    <row r="178" spans="1:9" x14ac:dyDescent="0.25">
      <c r="A178" t="s">
        <v>403</v>
      </c>
      <c r="B178" s="3">
        <v>35000</v>
      </c>
      <c r="C178" s="3" t="s">
        <v>29</v>
      </c>
      <c r="D178" s="72">
        <v>43157</v>
      </c>
      <c r="E178">
        <v>1457141</v>
      </c>
      <c r="F178" s="3">
        <v>32230.89</v>
      </c>
      <c r="G178" s="73">
        <v>43161</v>
      </c>
      <c r="H178" s="70">
        <f t="shared" si="6"/>
        <v>2769.1100000000006</v>
      </c>
      <c r="I178" s="70">
        <f t="shared" si="7"/>
        <v>-4958.9915999999866</v>
      </c>
    </row>
    <row r="179" spans="1:9" x14ac:dyDescent="0.25">
      <c r="A179" t="s">
        <v>404</v>
      </c>
      <c r="B179" s="3">
        <v>44000</v>
      </c>
      <c r="C179" s="3" t="s">
        <v>29</v>
      </c>
      <c r="D179" s="72">
        <v>43157</v>
      </c>
      <c r="E179">
        <v>1457248</v>
      </c>
      <c r="F179" s="3">
        <v>43212.160000000003</v>
      </c>
      <c r="G179" s="73">
        <v>43161</v>
      </c>
      <c r="H179" s="70">
        <f>B179-F179</f>
        <v>787.83999999999651</v>
      </c>
      <c r="I179" s="70">
        <f>I178+H179</f>
        <v>-4171.1515999999901</v>
      </c>
    </row>
    <row r="180" spans="1:9" x14ac:dyDescent="0.25">
      <c r="A180" t="s">
        <v>405</v>
      </c>
      <c r="B180" s="3">
        <v>38000</v>
      </c>
      <c r="C180" s="3" t="s">
        <v>41</v>
      </c>
      <c r="D180" s="72">
        <v>43160</v>
      </c>
      <c r="E180">
        <v>1459314</v>
      </c>
      <c r="F180" s="3">
        <v>32081.5</v>
      </c>
      <c r="G180" s="73">
        <v>43166</v>
      </c>
      <c r="H180" s="70">
        <f>B180-F180</f>
        <v>5918.5</v>
      </c>
      <c r="I180" s="70">
        <f>I179+H180</f>
        <v>1747.3484000000099</v>
      </c>
    </row>
    <row r="181" spans="1:9" x14ac:dyDescent="0.25">
      <c r="A181" t="s">
        <v>406</v>
      </c>
      <c r="B181" s="3">
        <v>33500</v>
      </c>
      <c r="C181" s="3" t="s">
        <v>29</v>
      </c>
      <c r="D181" s="72">
        <v>43164</v>
      </c>
      <c r="E181">
        <v>1459800</v>
      </c>
      <c r="F181" s="3">
        <v>31928.54</v>
      </c>
      <c r="G181" s="73">
        <v>43168</v>
      </c>
      <c r="H181" s="70">
        <f t="shared" si="6"/>
        <v>1571.4599999999991</v>
      </c>
      <c r="I181" s="70">
        <f t="shared" si="7"/>
        <v>3318.808400000009</v>
      </c>
    </row>
    <row r="182" spans="1:9" x14ac:dyDescent="0.25">
      <c r="A182" t="s">
        <v>407</v>
      </c>
      <c r="B182" s="3">
        <v>32500</v>
      </c>
      <c r="C182" s="3" t="s">
        <v>41</v>
      </c>
      <c r="D182" s="72">
        <v>43259</v>
      </c>
      <c r="E182">
        <v>1461449</v>
      </c>
      <c r="F182" s="3">
        <v>29152.91</v>
      </c>
      <c r="G182" s="73">
        <v>43173</v>
      </c>
      <c r="H182" s="70">
        <f t="shared" si="6"/>
        <v>3347.09</v>
      </c>
      <c r="I182" s="70">
        <f t="shared" si="7"/>
        <v>6665.8984000000091</v>
      </c>
    </row>
    <row r="183" spans="1:9" x14ac:dyDescent="0.25">
      <c r="A183" t="s">
        <v>408</v>
      </c>
      <c r="B183" s="3">
        <v>33000</v>
      </c>
      <c r="C183" s="3" t="s">
        <v>29</v>
      </c>
      <c r="D183" s="72">
        <v>43171</v>
      </c>
      <c r="E183">
        <v>1462432</v>
      </c>
      <c r="F183" s="3">
        <v>27120.04</v>
      </c>
      <c r="G183" s="73">
        <v>43175</v>
      </c>
      <c r="H183" s="70">
        <f t="shared" si="6"/>
        <v>5879.9599999999991</v>
      </c>
      <c r="I183" s="70">
        <f t="shared" si="7"/>
        <v>12545.858400000008</v>
      </c>
    </row>
    <row r="184" spans="1:9" x14ac:dyDescent="0.25">
      <c r="A184" t="s">
        <v>409</v>
      </c>
      <c r="B184" s="3">
        <v>25000</v>
      </c>
      <c r="C184" s="3" t="s">
        <v>41</v>
      </c>
      <c r="D184" s="72">
        <v>43174</v>
      </c>
      <c r="E184">
        <v>1464397</v>
      </c>
      <c r="F184" s="3">
        <v>26819.55</v>
      </c>
      <c r="G184" s="73">
        <v>43180</v>
      </c>
      <c r="H184" s="70">
        <f t="shared" si="6"/>
        <v>-1819.5499999999993</v>
      </c>
      <c r="I184" s="70">
        <f t="shared" si="7"/>
        <v>10726.308400000009</v>
      </c>
    </row>
    <row r="185" spans="1:9" x14ac:dyDescent="0.25">
      <c r="A185" t="s">
        <v>410</v>
      </c>
      <c r="B185" s="3">
        <v>20000</v>
      </c>
      <c r="C185" s="3" t="s">
        <v>48</v>
      </c>
      <c r="D185" s="72">
        <v>43179</v>
      </c>
      <c r="E185">
        <v>1464693</v>
      </c>
      <c r="F185" s="3">
        <v>26082.42</v>
      </c>
      <c r="G185" s="73">
        <v>43182</v>
      </c>
      <c r="H185" s="70">
        <f t="shared" si="6"/>
        <v>-6082.4199999999983</v>
      </c>
      <c r="I185" s="70">
        <f t="shared" si="7"/>
        <v>4643.8884000000107</v>
      </c>
    </row>
    <row r="186" spans="1:9" x14ac:dyDescent="0.25">
      <c r="A186" t="s">
        <v>411</v>
      </c>
      <c r="B186" s="3">
        <v>20000</v>
      </c>
      <c r="C186" s="3" t="s">
        <v>41</v>
      </c>
      <c r="D186" s="72">
        <v>43181</v>
      </c>
      <c r="E186">
        <v>1466469</v>
      </c>
      <c r="F186" s="3">
        <v>26576.55</v>
      </c>
      <c r="G186" s="73">
        <v>43187</v>
      </c>
      <c r="H186" s="70">
        <f t="shared" si="6"/>
        <v>-6576.5499999999993</v>
      </c>
      <c r="I186" s="70">
        <f t="shared" si="7"/>
        <v>-1932.6615999999885</v>
      </c>
    </row>
    <row r="187" spans="1:9" x14ac:dyDescent="0.25">
      <c r="A187" t="s">
        <v>412</v>
      </c>
      <c r="B187" s="3">
        <v>20000</v>
      </c>
      <c r="C187" s="3" t="s">
        <v>41</v>
      </c>
      <c r="D187" s="72">
        <v>43181</v>
      </c>
      <c r="E187">
        <v>1466470</v>
      </c>
      <c r="F187" s="3">
        <v>26481.14</v>
      </c>
      <c r="G187" s="73">
        <v>43187</v>
      </c>
      <c r="H187" s="70">
        <f t="shared" si="6"/>
        <v>-6481.1399999999994</v>
      </c>
      <c r="I187" s="70">
        <f t="shared" si="7"/>
        <v>-8413.801599999988</v>
      </c>
    </row>
    <row r="188" spans="1:9" x14ac:dyDescent="0.25">
      <c r="A188" t="s">
        <v>413</v>
      </c>
      <c r="B188" s="3">
        <v>26000</v>
      </c>
      <c r="C188" s="3" t="s">
        <v>33</v>
      </c>
      <c r="D188" s="72">
        <v>43187</v>
      </c>
      <c r="E188">
        <v>1468880</v>
      </c>
      <c r="F188" s="3">
        <v>26900.57</v>
      </c>
      <c r="G188" s="73">
        <v>43194</v>
      </c>
      <c r="H188" s="70">
        <f t="shared" si="6"/>
        <v>-900.56999999999971</v>
      </c>
      <c r="I188" s="70">
        <f t="shared" si="7"/>
        <v>-9314.3715999999877</v>
      </c>
    </row>
    <row r="189" spans="1:9" x14ac:dyDescent="0.25">
      <c r="A189" t="s">
        <v>414</v>
      </c>
      <c r="B189" s="3">
        <v>26000</v>
      </c>
      <c r="C189" s="3" t="s">
        <v>33</v>
      </c>
      <c r="D189" s="72">
        <v>43187</v>
      </c>
      <c r="E189">
        <v>1469167</v>
      </c>
      <c r="F189" s="3">
        <v>26505.24</v>
      </c>
      <c r="G189" s="73">
        <v>43195</v>
      </c>
      <c r="H189" s="70">
        <f t="shared" si="6"/>
        <v>-505.2400000000016</v>
      </c>
      <c r="I189" s="70">
        <f t="shared" si="7"/>
        <v>-9819.6115999999893</v>
      </c>
    </row>
    <row r="190" spans="1:9" x14ac:dyDescent="0.25">
      <c r="A190" t="s">
        <v>415</v>
      </c>
      <c r="B190" s="3">
        <v>28000</v>
      </c>
      <c r="C190" s="3" t="s">
        <v>41</v>
      </c>
      <c r="D190" s="72">
        <v>43195</v>
      </c>
      <c r="E190">
        <v>1471409</v>
      </c>
      <c r="F190" s="3">
        <v>27677.46</v>
      </c>
      <c r="G190" s="73">
        <v>43201</v>
      </c>
      <c r="H190" s="70">
        <f t="shared" si="6"/>
        <v>322.54000000000087</v>
      </c>
      <c r="I190" s="70">
        <f t="shared" si="7"/>
        <v>-9497.0715999999884</v>
      </c>
    </row>
    <row r="191" spans="1:9" x14ac:dyDescent="0.25">
      <c r="A191" t="s">
        <v>416</v>
      </c>
      <c r="B191" s="3">
        <v>28000</v>
      </c>
      <c r="C191" s="3" t="s">
        <v>29</v>
      </c>
      <c r="D191" s="72">
        <v>43199</v>
      </c>
      <c r="E191">
        <v>1472031</v>
      </c>
      <c r="F191" s="3">
        <v>27220.16</v>
      </c>
      <c r="G191" s="73">
        <v>43203</v>
      </c>
      <c r="H191" s="70">
        <f t="shared" si="6"/>
        <v>779.84000000000015</v>
      </c>
      <c r="I191" s="70">
        <f t="shared" si="7"/>
        <v>-8717.2315999999882</v>
      </c>
    </row>
    <row r="192" spans="1:9" x14ac:dyDescent="0.25">
      <c r="A192" t="s">
        <v>417</v>
      </c>
      <c r="B192" s="3">
        <v>28000</v>
      </c>
      <c r="C192" s="3" t="s">
        <v>41</v>
      </c>
      <c r="D192" s="72">
        <v>43202</v>
      </c>
      <c r="E192">
        <v>1473841</v>
      </c>
      <c r="F192" s="3">
        <v>28247.38</v>
      </c>
      <c r="G192" s="73">
        <v>43208</v>
      </c>
      <c r="H192" s="70">
        <f t="shared" si="6"/>
        <v>-247.38000000000102</v>
      </c>
      <c r="I192" s="70">
        <f t="shared" si="7"/>
        <v>-8964.6115999999893</v>
      </c>
    </row>
    <row r="193" spans="1:9" x14ac:dyDescent="0.25">
      <c r="A193" t="s">
        <v>418</v>
      </c>
      <c r="B193" s="3">
        <v>27500</v>
      </c>
      <c r="C193" s="3" t="s">
        <v>29</v>
      </c>
      <c r="D193" s="72">
        <v>43206</v>
      </c>
      <c r="E193">
        <v>1475578</v>
      </c>
      <c r="F193" s="3">
        <v>28167.200000000001</v>
      </c>
      <c r="G193" s="73">
        <v>43210</v>
      </c>
      <c r="H193" s="70">
        <f t="shared" si="6"/>
        <v>-667.20000000000073</v>
      </c>
      <c r="I193" s="70">
        <f t="shared" si="7"/>
        <v>-9631.81159999999</v>
      </c>
    </row>
    <row r="194" spans="1:9" x14ac:dyDescent="0.25">
      <c r="A194" t="s">
        <v>419</v>
      </c>
      <c r="B194" s="3">
        <v>29000</v>
      </c>
      <c r="C194" s="3" t="s">
        <v>41</v>
      </c>
      <c r="D194" s="72">
        <v>43209</v>
      </c>
      <c r="E194">
        <v>1476253</v>
      </c>
      <c r="F194" s="3">
        <v>28786.85</v>
      </c>
      <c r="G194" s="73">
        <v>43215</v>
      </c>
      <c r="H194" s="70">
        <f t="shared" si="6"/>
        <v>213.15000000000146</v>
      </c>
      <c r="I194" s="70">
        <f t="shared" si="7"/>
        <v>-9418.6615999999885</v>
      </c>
    </row>
    <row r="195" spans="1:9" x14ac:dyDescent="0.25">
      <c r="A195" t="s">
        <v>420</v>
      </c>
      <c r="B195" s="3">
        <v>29500</v>
      </c>
      <c r="C195" s="3" t="s">
        <v>29</v>
      </c>
      <c r="D195" s="72">
        <v>43213</v>
      </c>
      <c r="E195">
        <v>1476899</v>
      </c>
      <c r="F195" s="3">
        <v>27758.07</v>
      </c>
      <c r="G195" s="73">
        <v>43217</v>
      </c>
      <c r="H195" s="70">
        <f t="shared" si="6"/>
        <v>1741.9300000000003</v>
      </c>
      <c r="I195" s="70">
        <f t="shared" si="7"/>
        <v>-7676.7315999999882</v>
      </c>
    </row>
    <row r="196" spans="1:9" x14ac:dyDescent="0.25">
      <c r="A196" t="s">
        <v>421</v>
      </c>
      <c r="B196" s="3">
        <v>34500</v>
      </c>
      <c r="C196" s="3" t="s">
        <v>41</v>
      </c>
      <c r="D196" s="72">
        <v>43216</v>
      </c>
      <c r="E196">
        <v>1479069</v>
      </c>
      <c r="F196" s="3">
        <v>26997.439999999999</v>
      </c>
      <c r="G196" s="73">
        <v>43222</v>
      </c>
      <c r="H196" s="70">
        <f t="shared" si="6"/>
        <v>7502.5600000000013</v>
      </c>
      <c r="I196" s="70">
        <f t="shared" si="7"/>
        <v>-174.17159999998694</v>
      </c>
    </row>
    <row r="197" spans="1:9" x14ac:dyDescent="0.25">
      <c r="A197" t="s">
        <v>422</v>
      </c>
      <c r="B197" s="3">
        <v>31000</v>
      </c>
      <c r="C197" s="3" t="s">
        <v>45</v>
      </c>
      <c r="D197" s="72">
        <v>43217</v>
      </c>
      <c r="E197">
        <v>1479070</v>
      </c>
      <c r="F197" s="3">
        <v>27045.38</v>
      </c>
      <c r="G197" s="73">
        <v>43223</v>
      </c>
      <c r="H197" s="70">
        <f t="shared" si="6"/>
        <v>3954.619999999999</v>
      </c>
      <c r="I197" s="70">
        <f t="shared" si="7"/>
        <v>3780.448400000012</v>
      </c>
    </row>
    <row r="198" spans="1:9" x14ac:dyDescent="0.25">
      <c r="A198" t="s">
        <v>423</v>
      </c>
      <c r="B198" s="3">
        <v>25000</v>
      </c>
      <c r="C198" s="3" t="s">
        <v>41</v>
      </c>
      <c r="D198" s="72">
        <v>43223</v>
      </c>
      <c r="E198">
        <v>1481491</v>
      </c>
      <c r="F198" s="3">
        <v>25361.59</v>
      </c>
      <c r="G198" s="73">
        <v>43229</v>
      </c>
      <c r="H198" s="70">
        <f t="shared" si="6"/>
        <v>-361.59000000000015</v>
      </c>
      <c r="I198" s="70">
        <f t="shared" si="7"/>
        <v>3418.8584000000119</v>
      </c>
    </row>
    <row r="199" spans="1:9" x14ac:dyDescent="0.25">
      <c r="A199" t="s">
        <v>424</v>
      </c>
      <c r="B199" s="3">
        <v>25000</v>
      </c>
      <c r="C199" s="3" t="s">
        <v>29</v>
      </c>
      <c r="D199" s="72">
        <v>43227</v>
      </c>
      <c r="E199">
        <v>1482235</v>
      </c>
      <c r="F199" s="3">
        <v>25514.73</v>
      </c>
      <c r="G199" s="73">
        <v>43231</v>
      </c>
      <c r="H199" s="70">
        <f t="shared" si="6"/>
        <v>-514.72999999999956</v>
      </c>
      <c r="I199" s="70">
        <f t="shared" si="7"/>
        <v>2904.1284000000123</v>
      </c>
    </row>
    <row r="200" spans="1:9" x14ac:dyDescent="0.25">
      <c r="A200" t="s">
        <v>425</v>
      </c>
      <c r="B200" s="3">
        <v>25000</v>
      </c>
      <c r="C200" s="3" t="s">
        <v>41</v>
      </c>
      <c r="D200" s="72">
        <v>43230</v>
      </c>
      <c r="E200">
        <v>1483955</v>
      </c>
      <c r="F200" s="3">
        <v>25650.28</v>
      </c>
      <c r="G200" s="73">
        <v>43236</v>
      </c>
      <c r="H200" s="70">
        <f t="shared" si="6"/>
        <v>-650.27999999999884</v>
      </c>
      <c r="I200" s="70">
        <f t="shared" si="7"/>
        <v>2253.8484000000135</v>
      </c>
    </row>
    <row r="201" spans="1:9" x14ac:dyDescent="0.25">
      <c r="A201" t="s">
        <v>426</v>
      </c>
      <c r="B201" s="3">
        <v>25000</v>
      </c>
      <c r="C201" s="3" t="s">
        <v>29</v>
      </c>
      <c r="D201" s="72">
        <v>43234</v>
      </c>
      <c r="E201">
        <v>1484904</v>
      </c>
      <c r="F201" s="3">
        <v>25431.49</v>
      </c>
      <c r="G201" s="73">
        <v>43238</v>
      </c>
      <c r="H201" s="70">
        <f t="shared" si="6"/>
        <v>-431.4900000000016</v>
      </c>
      <c r="I201" s="70">
        <f t="shared" si="7"/>
        <v>1822.3584000000119</v>
      </c>
    </row>
    <row r="202" spans="1:9" x14ac:dyDescent="0.25">
      <c r="A202" t="s">
        <v>427</v>
      </c>
      <c r="B202" s="3">
        <v>25000</v>
      </c>
      <c r="C202" s="3" t="s">
        <v>33</v>
      </c>
      <c r="D202" s="72">
        <v>43206</v>
      </c>
      <c r="E202">
        <v>1485225</v>
      </c>
      <c r="F202" s="3">
        <v>26202.51</v>
      </c>
      <c r="G202" s="73">
        <v>43242</v>
      </c>
      <c r="H202" s="70">
        <f t="shared" si="6"/>
        <v>-1202.5099999999984</v>
      </c>
      <c r="I202" s="70">
        <f t="shared" si="7"/>
        <v>619.8484000000135</v>
      </c>
    </row>
    <row r="203" spans="1:9" x14ac:dyDescent="0.25">
      <c r="A203" t="s">
        <v>428</v>
      </c>
      <c r="B203" s="3">
        <v>26000</v>
      </c>
      <c r="C203" s="3" t="s">
        <v>41</v>
      </c>
      <c r="D203" s="72">
        <v>43237</v>
      </c>
      <c r="E203">
        <v>1486410</v>
      </c>
      <c r="F203" s="3">
        <v>27445.46</v>
      </c>
      <c r="G203" s="73">
        <v>43243</v>
      </c>
      <c r="H203" s="70">
        <f t="shared" si="6"/>
        <v>-1445.4599999999991</v>
      </c>
      <c r="I203" s="70">
        <f t="shared" si="7"/>
        <v>-825.61159999998563</v>
      </c>
    </row>
    <row r="204" spans="1:9" x14ac:dyDescent="0.25">
      <c r="A204" t="s">
        <v>429</v>
      </c>
      <c r="B204" s="3">
        <v>28000</v>
      </c>
      <c r="C204" s="3" t="s">
        <v>29</v>
      </c>
      <c r="D204" s="72">
        <v>43241</v>
      </c>
      <c r="E204">
        <v>1487469</v>
      </c>
      <c r="F204" s="3">
        <v>26529.34</v>
      </c>
      <c r="G204" s="73">
        <v>43245</v>
      </c>
      <c r="H204" s="70">
        <f t="shared" si="6"/>
        <v>1470.6599999999999</v>
      </c>
      <c r="I204" s="70">
        <f t="shared" si="7"/>
        <v>645.04840000001423</v>
      </c>
    </row>
    <row r="205" spans="1:9" x14ac:dyDescent="0.25">
      <c r="A205" t="s">
        <v>430</v>
      </c>
      <c r="B205" s="3">
        <v>28000</v>
      </c>
      <c r="C205" s="3" t="s">
        <v>41</v>
      </c>
      <c r="D205" s="72">
        <v>43244</v>
      </c>
      <c r="E205">
        <v>1489056</v>
      </c>
      <c r="F205" s="3">
        <v>29066.84</v>
      </c>
      <c r="G205" s="73">
        <v>43250</v>
      </c>
      <c r="H205" s="70">
        <f t="shared" si="6"/>
        <v>-1066.8400000000001</v>
      </c>
      <c r="I205" s="70">
        <f t="shared" si="7"/>
        <v>-421.79159999998592</v>
      </c>
    </row>
    <row r="206" spans="1:9" x14ac:dyDescent="0.25">
      <c r="A206" t="s">
        <v>431</v>
      </c>
      <c r="B206" s="3">
        <v>29500</v>
      </c>
      <c r="C206" s="3" t="s">
        <v>29</v>
      </c>
      <c r="D206" s="72">
        <v>43248</v>
      </c>
      <c r="E206">
        <v>1489294</v>
      </c>
      <c r="F206" s="3">
        <v>30169.34</v>
      </c>
      <c r="G206" s="73">
        <v>43252</v>
      </c>
      <c r="H206" s="70">
        <f t="shared" si="6"/>
        <v>-669.34000000000015</v>
      </c>
      <c r="I206" s="70">
        <f t="shared" si="7"/>
        <v>-1091.1315999999861</v>
      </c>
    </row>
    <row r="207" spans="1:9" x14ac:dyDescent="0.25">
      <c r="A207" t="s">
        <v>432</v>
      </c>
      <c r="B207" s="3">
        <v>32000</v>
      </c>
      <c r="C207" s="3" t="s">
        <v>41</v>
      </c>
      <c r="D207" s="72">
        <v>43251</v>
      </c>
      <c r="E207">
        <v>1491243</v>
      </c>
      <c r="F207" s="3">
        <v>30960.77</v>
      </c>
      <c r="G207" s="73">
        <v>43257</v>
      </c>
      <c r="H207" s="70">
        <f t="shared" si="6"/>
        <v>1039.2299999999996</v>
      </c>
      <c r="I207" s="70">
        <f t="shared" si="7"/>
        <v>-51.901599999986502</v>
      </c>
    </row>
    <row r="208" spans="1:9" x14ac:dyDescent="0.25">
      <c r="A208" t="s">
        <v>433</v>
      </c>
      <c r="B208" s="3">
        <v>32500</v>
      </c>
      <c r="C208" s="3" t="s">
        <v>29</v>
      </c>
      <c r="D208" s="72">
        <v>43255</v>
      </c>
      <c r="E208">
        <v>1492286</v>
      </c>
      <c r="F208" s="3">
        <v>31512.73</v>
      </c>
      <c r="G208" s="73">
        <v>43259</v>
      </c>
      <c r="H208" s="70">
        <f t="shared" si="6"/>
        <v>987.27000000000044</v>
      </c>
      <c r="I208" s="70">
        <f t="shared" si="7"/>
        <v>935.36840000001393</v>
      </c>
    </row>
    <row r="209" spans="1:9" x14ac:dyDescent="0.25">
      <c r="A209" t="s">
        <v>434</v>
      </c>
      <c r="B209" s="3">
        <v>32000</v>
      </c>
      <c r="C209" s="3" t="s">
        <v>41</v>
      </c>
      <c r="D209" s="72">
        <v>43258</v>
      </c>
      <c r="E209">
        <v>1493868</v>
      </c>
      <c r="F209" s="3">
        <v>30352.49</v>
      </c>
      <c r="G209" s="73">
        <v>43264</v>
      </c>
      <c r="H209" s="70">
        <f t="shared" si="6"/>
        <v>1647.5099999999984</v>
      </c>
      <c r="I209" s="70">
        <f t="shared" si="7"/>
        <v>2582.8784000000123</v>
      </c>
    </row>
    <row r="210" spans="1:9" x14ac:dyDescent="0.25">
      <c r="A210" t="s">
        <v>435</v>
      </c>
      <c r="B210" s="3">
        <v>31000</v>
      </c>
      <c r="C210" s="3" t="s">
        <v>29</v>
      </c>
      <c r="D210" s="72">
        <v>43262</v>
      </c>
      <c r="E210">
        <v>1494729</v>
      </c>
      <c r="F210" s="3">
        <v>30220.560000000001</v>
      </c>
      <c r="G210" s="73">
        <v>43266</v>
      </c>
      <c r="H210" s="70">
        <f t="shared" si="6"/>
        <v>779.43999999999869</v>
      </c>
      <c r="I210" s="70">
        <f t="shared" si="7"/>
        <v>3362.318400000011</v>
      </c>
    </row>
    <row r="211" spans="1:9" x14ac:dyDescent="0.25">
      <c r="A211" t="s">
        <v>436</v>
      </c>
      <c r="B211" s="3">
        <v>31000</v>
      </c>
      <c r="C211" s="3" t="s">
        <v>41</v>
      </c>
      <c r="D211" s="72">
        <v>43265</v>
      </c>
      <c r="E211">
        <v>1496474</v>
      </c>
      <c r="F211" s="3">
        <v>31090.6</v>
      </c>
      <c r="G211" s="73">
        <v>43271</v>
      </c>
      <c r="H211" s="70">
        <f t="shared" si="6"/>
        <v>-90.599999999998545</v>
      </c>
      <c r="I211" s="70">
        <f t="shared" si="7"/>
        <v>3271.7184000000125</v>
      </c>
    </row>
    <row r="212" spans="1:9" x14ac:dyDescent="0.25">
      <c r="A212" t="s">
        <v>437</v>
      </c>
      <c r="B212" s="3">
        <v>30000</v>
      </c>
      <c r="C212" s="3" t="s">
        <v>29</v>
      </c>
      <c r="D212" s="72">
        <v>43269</v>
      </c>
      <c r="E212">
        <v>1497230</v>
      </c>
      <c r="F212" s="3">
        <v>30720.87</v>
      </c>
      <c r="G212" s="73">
        <v>43273</v>
      </c>
      <c r="H212" s="70">
        <f t="shared" si="6"/>
        <v>-720.86999999999898</v>
      </c>
      <c r="I212" s="70">
        <f t="shared" si="7"/>
        <v>2550.8484000000135</v>
      </c>
    </row>
    <row r="213" spans="1:9" x14ac:dyDescent="0.25">
      <c r="A213" t="s">
        <v>438</v>
      </c>
      <c r="B213" s="3">
        <v>30000</v>
      </c>
      <c r="C213" s="3" t="s">
        <v>41</v>
      </c>
      <c r="D213" s="72">
        <v>43272</v>
      </c>
      <c r="E213">
        <v>1499180</v>
      </c>
      <c r="F213" s="3">
        <v>30444.74</v>
      </c>
      <c r="G213" s="73">
        <v>43278</v>
      </c>
      <c r="H213" s="70">
        <f t="shared" si="6"/>
        <v>-444.7400000000016</v>
      </c>
      <c r="I213" s="70">
        <f t="shared" si="7"/>
        <v>2106.1084000000119</v>
      </c>
    </row>
    <row r="214" spans="1:9" x14ac:dyDescent="0.25">
      <c r="A214" t="s">
        <v>439</v>
      </c>
      <c r="B214" s="3">
        <v>30000</v>
      </c>
      <c r="C214" s="3" t="s">
        <v>29</v>
      </c>
      <c r="D214" s="72">
        <v>43276</v>
      </c>
      <c r="E214">
        <v>1499859</v>
      </c>
      <c r="F214" s="3">
        <v>34469.35</v>
      </c>
      <c r="G214" s="73">
        <v>43280</v>
      </c>
      <c r="H214" s="70">
        <f t="shared" si="6"/>
        <v>-4469.3499999999985</v>
      </c>
      <c r="I214" s="70">
        <f t="shared" si="7"/>
        <v>-2363.2415999999866</v>
      </c>
    </row>
    <row r="215" spans="1:9" x14ac:dyDescent="0.25">
      <c r="A215" t="s">
        <v>440</v>
      </c>
      <c r="B215" s="3">
        <v>31000</v>
      </c>
      <c r="C215" s="3" t="s">
        <v>41</v>
      </c>
      <c r="D215" s="72">
        <v>43279</v>
      </c>
      <c r="E215">
        <v>1501198</v>
      </c>
      <c r="F215" s="3">
        <v>28542.73</v>
      </c>
      <c r="G215" s="73">
        <v>43285</v>
      </c>
      <c r="H215" s="70">
        <f t="shared" si="6"/>
        <v>2457.2700000000004</v>
      </c>
      <c r="I215" s="70">
        <f t="shared" si="7"/>
        <v>94.028400000013789</v>
      </c>
    </row>
    <row r="216" spans="1:9" x14ac:dyDescent="0.25">
      <c r="A216" t="s">
        <v>441</v>
      </c>
      <c r="B216" s="3">
        <v>34000</v>
      </c>
      <c r="C216" s="3" t="s">
        <v>29</v>
      </c>
      <c r="D216" s="72">
        <v>43283</v>
      </c>
      <c r="E216">
        <v>1502149</v>
      </c>
      <c r="F216" s="3">
        <v>27630.59</v>
      </c>
      <c r="G216" s="73">
        <v>43287</v>
      </c>
      <c r="H216" s="70">
        <f t="shared" si="6"/>
        <v>6369.41</v>
      </c>
      <c r="I216" s="70">
        <f t="shared" si="7"/>
        <v>6463.4384000000136</v>
      </c>
    </row>
    <row r="217" spans="1:9" x14ac:dyDescent="0.25">
      <c r="A217" t="s">
        <v>442</v>
      </c>
      <c r="B217" s="3">
        <v>29000</v>
      </c>
      <c r="C217" s="3" t="s">
        <v>33</v>
      </c>
      <c r="D217" s="72">
        <v>43285</v>
      </c>
      <c r="E217">
        <v>1502539</v>
      </c>
      <c r="F217" s="3">
        <v>26511.74</v>
      </c>
      <c r="G217" s="73">
        <v>43290</v>
      </c>
      <c r="H217" s="70">
        <f t="shared" si="6"/>
        <v>2488.2599999999984</v>
      </c>
      <c r="I217" s="70">
        <f t="shared" si="7"/>
        <v>8951.698400000012</v>
      </c>
    </row>
    <row r="218" spans="1:9" x14ac:dyDescent="0.25">
      <c r="A218" t="s">
        <v>443</v>
      </c>
      <c r="B218" s="3">
        <v>25000</v>
      </c>
      <c r="C218" s="3" t="s">
        <v>228</v>
      </c>
      <c r="D218" s="72">
        <v>43290</v>
      </c>
      <c r="E218">
        <v>1503927</v>
      </c>
      <c r="F218" s="3">
        <v>26812.5</v>
      </c>
      <c r="G218" s="73">
        <v>43294</v>
      </c>
      <c r="H218" s="70">
        <f t="shared" si="6"/>
        <v>-1812.5</v>
      </c>
      <c r="I218" s="70">
        <f t="shared" si="7"/>
        <v>7139.198400000012</v>
      </c>
    </row>
    <row r="219" spans="1:9" x14ac:dyDescent="0.25">
      <c r="A219" t="s">
        <v>444</v>
      </c>
      <c r="B219" s="3">
        <v>25000</v>
      </c>
      <c r="C219" s="3" t="s">
        <v>48</v>
      </c>
      <c r="D219" s="72">
        <v>43291</v>
      </c>
      <c r="E219">
        <v>1504803</v>
      </c>
      <c r="F219" s="3">
        <v>25704.7</v>
      </c>
      <c r="G219" s="73">
        <v>43297</v>
      </c>
      <c r="H219" s="70">
        <f t="shared" si="6"/>
        <v>-704.70000000000073</v>
      </c>
      <c r="I219" s="70">
        <f t="shared" si="7"/>
        <v>6434.4984000000113</v>
      </c>
    </row>
    <row r="220" spans="1:9" x14ac:dyDescent="0.25">
      <c r="A220" t="s">
        <v>445</v>
      </c>
      <c r="B220" s="3">
        <v>25000</v>
      </c>
      <c r="C220" s="3" t="s">
        <v>29</v>
      </c>
      <c r="D220" s="72">
        <v>43297</v>
      </c>
      <c r="E220">
        <v>1506120</v>
      </c>
      <c r="F220" s="3">
        <v>28071.06</v>
      </c>
      <c r="G220" s="73">
        <v>43301</v>
      </c>
      <c r="H220" s="70">
        <f t="shared" si="6"/>
        <v>-3071.0600000000013</v>
      </c>
      <c r="I220" s="70">
        <f t="shared" si="7"/>
        <v>3363.43840000001</v>
      </c>
    </row>
    <row r="221" spans="1:9" x14ac:dyDescent="0.25">
      <c r="A221" t="s">
        <v>446</v>
      </c>
      <c r="B221" s="3">
        <v>26000</v>
      </c>
      <c r="C221" s="3" t="s">
        <v>48</v>
      </c>
      <c r="D221" s="72">
        <v>43298</v>
      </c>
      <c r="E221">
        <v>1507379</v>
      </c>
      <c r="F221" s="3">
        <v>28030.9</v>
      </c>
      <c r="G221" s="73">
        <v>43304</v>
      </c>
      <c r="H221" s="70">
        <f t="shared" si="6"/>
        <v>-2030.9000000000015</v>
      </c>
      <c r="I221" s="70">
        <f t="shared" si="7"/>
        <v>1332.5384000000086</v>
      </c>
    </row>
    <row r="222" spans="1:9" x14ac:dyDescent="0.25">
      <c r="A222" t="s">
        <v>447</v>
      </c>
      <c r="B222" s="3">
        <v>30000</v>
      </c>
      <c r="C222" s="3" t="s">
        <v>29</v>
      </c>
      <c r="D222" s="72">
        <v>43304</v>
      </c>
      <c r="E222">
        <v>1508386</v>
      </c>
      <c r="F222" s="3">
        <v>27990.62</v>
      </c>
      <c r="G222" s="73">
        <v>43308</v>
      </c>
      <c r="H222" s="70">
        <f t="shared" si="6"/>
        <v>2009.380000000001</v>
      </c>
      <c r="I222" s="70">
        <f t="shared" si="7"/>
        <v>3341.9184000000096</v>
      </c>
    </row>
    <row r="223" spans="1:9" x14ac:dyDescent="0.25">
      <c r="A223" t="s">
        <v>448</v>
      </c>
      <c r="B223" s="3">
        <v>30000</v>
      </c>
      <c r="C223" s="3" t="s">
        <v>48</v>
      </c>
      <c r="D223" s="72">
        <v>43305</v>
      </c>
      <c r="E223">
        <v>1509220</v>
      </c>
      <c r="F223" s="3">
        <v>28271.42</v>
      </c>
      <c r="G223" s="73">
        <v>43311</v>
      </c>
      <c r="H223" s="70">
        <f t="shared" si="6"/>
        <v>1728.5800000000017</v>
      </c>
      <c r="I223" s="70">
        <f t="shared" si="7"/>
        <v>5070.4984000000113</v>
      </c>
    </row>
    <row r="224" spans="1:9" x14ac:dyDescent="0.25">
      <c r="A224" t="s">
        <v>449</v>
      </c>
      <c r="B224" s="3">
        <v>30000</v>
      </c>
      <c r="C224" s="3" t="s">
        <v>29</v>
      </c>
      <c r="D224" s="72">
        <v>43311</v>
      </c>
      <c r="E224">
        <v>1511036</v>
      </c>
      <c r="F224" s="3">
        <v>30924.400000000001</v>
      </c>
      <c r="G224" s="73">
        <v>43315</v>
      </c>
      <c r="H224" s="70">
        <f t="shared" si="6"/>
        <v>-924.40000000000146</v>
      </c>
      <c r="I224" s="70">
        <f t="shared" si="7"/>
        <v>4146.0984000000099</v>
      </c>
    </row>
    <row r="225" spans="1:9" x14ac:dyDescent="0.25">
      <c r="A225" t="s">
        <v>450</v>
      </c>
      <c r="B225" s="3">
        <v>33000</v>
      </c>
      <c r="C225" s="3" t="s">
        <v>48</v>
      </c>
      <c r="D225" s="72">
        <v>43312</v>
      </c>
      <c r="E225">
        <v>1512262</v>
      </c>
      <c r="F225" s="3">
        <v>29988.03</v>
      </c>
      <c r="G225" s="73">
        <v>43318</v>
      </c>
      <c r="H225" s="70">
        <f t="shared" si="6"/>
        <v>3011.9700000000012</v>
      </c>
      <c r="I225" s="70">
        <f t="shared" si="7"/>
        <v>7158.068400000011</v>
      </c>
    </row>
    <row r="226" spans="1:9" x14ac:dyDescent="0.25">
      <c r="A226" t="s">
        <v>451</v>
      </c>
      <c r="B226" s="3">
        <v>32500</v>
      </c>
      <c r="C226" s="3" t="s">
        <v>29</v>
      </c>
      <c r="D226" s="72">
        <v>43318</v>
      </c>
      <c r="E226">
        <v>1513022</v>
      </c>
      <c r="F226" s="3">
        <v>30472.78</v>
      </c>
      <c r="G226" s="73">
        <v>43322</v>
      </c>
      <c r="H226" s="70">
        <f t="shared" si="6"/>
        <v>2027.2200000000012</v>
      </c>
      <c r="I226" s="70">
        <f t="shared" si="7"/>
        <v>9185.2884000000122</v>
      </c>
    </row>
    <row r="227" spans="1:9" x14ac:dyDescent="0.25">
      <c r="A227" t="s">
        <v>452</v>
      </c>
      <c r="B227" s="3">
        <v>43000</v>
      </c>
      <c r="C227" s="3" t="s">
        <v>48</v>
      </c>
      <c r="D227" s="72">
        <v>43319</v>
      </c>
      <c r="E227">
        <v>1514048</v>
      </c>
      <c r="F227" s="3">
        <v>44416.35</v>
      </c>
      <c r="G227" s="73">
        <v>43325</v>
      </c>
      <c r="H227" s="70">
        <f t="shared" si="6"/>
        <v>-1416.3499999999985</v>
      </c>
      <c r="I227" s="70">
        <f t="shared" si="7"/>
        <v>7768.9384000000136</v>
      </c>
    </row>
    <row r="228" spans="1:9" x14ac:dyDescent="0.25">
      <c r="A228" t="s">
        <v>453</v>
      </c>
      <c r="B228" s="3">
        <v>31000</v>
      </c>
      <c r="C228" s="3" t="s">
        <v>45</v>
      </c>
      <c r="D228" s="72">
        <v>43322</v>
      </c>
      <c r="E228">
        <v>1515558</v>
      </c>
      <c r="F228" s="3">
        <v>30381.439999999999</v>
      </c>
      <c r="G228" s="73">
        <v>43328</v>
      </c>
      <c r="H228" s="70">
        <f t="shared" si="6"/>
        <v>618.56000000000131</v>
      </c>
      <c r="I228" s="70">
        <f t="shared" si="7"/>
        <v>8387.498400000015</v>
      </c>
    </row>
    <row r="229" spans="1:9" x14ac:dyDescent="0.25">
      <c r="A229" t="s">
        <v>454</v>
      </c>
      <c r="B229" s="3">
        <v>30000</v>
      </c>
      <c r="C229" s="3" t="s">
        <v>29</v>
      </c>
      <c r="D229" s="72">
        <v>43325</v>
      </c>
      <c r="E229">
        <v>1516414</v>
      </c>
      <c r="F229" s="3">
        <v>29219.51</v>
      </c>
      <c r="G229" s="73">
        <v>43329</v>
      </c>
      <c r="H229" s="70">
        <f t="shared" si="6"/>
        <v>780.4900000000016</v>
      </c>
      <c r="I229" s="70">
        <f t="shared" si="7"/>
        <v>9167.9884000000166</v>
      </c>
    </row>
    <row r="230" spans="1:9" x14ac:dyDescent="0.25">
      <c r="A230" t="s">
        <v>455</v>
      </c>
      <c r="B230" s="3">
        <v>28000</v>
      </c>
      <c r="C230" s="3" t="s">
        <v>45</v>
      </c>
      <c r="D230" s="72">
        <v>43329</v>
      </c>
      <c r="E230">
        <v>1518166</v>
      </c>
      <c r="F230" s="3">
        <v>28898.78</v>
      </c>
      <c r="G230" s="73">
        <v>43335</v>
      </c>
      <c r="H230" s="70">
        <f t="shared" si="6"/>
        <v>-898.77999999999884</v>
      </c>
      <c r="I230" s="70">
        <f t="shared" si="7"/>
        <v>8269.2084000000177</v>
      </c>
    </row>
    <row r="231" spans="1:9" x14ac:dyDescent="0.25">
      <c r="A231" t="s">
        <v>456</v>
      </c>
      <c r="B231" s="3">
        <v>27000</v>
      </c>
      <c r="C231" s="3" t="s">
        <v>228</v>
      </c>
      <c r="D231" s="72">
        <v>43332</v>
      </c>
      <c r="E231">
        <v>1518167</v>
      </c>
      <c r="F231" s="3">
        <v>28300.42</v>
      </c>
      <c r="G231" s="73">
        <v>43336</v>
      </c>
      <c r="H231" s="70">
        <f t="shared" si="6"/>
        <v>-1300.4199999999983</v>
      </c>
      <c r="I231" s="70">
        <f t="shared" si="7"/>
        <v>6968.7884000000195</v>
      </c>
    </row>
    <row r="232" spans="1:9" x14ac:dyDescent="0.25">
      <c r="A232" t="s">
        <v>457</v>
      </c>
      <c r="B232" s="3">
        <v>25000</v>
      </c>
      <c r="C232" s="3" t="s">
        <v>45</v>
      </c>
      <c r="D232" s="72">
        <v>43336</v>
      </c>
      <c r="E232">
        <v>1520277</v>
      </c>
      <c r="F232" s="3">
        <v>26319.84</v>
      </c>
      <c r="G232" s="73">
        <v>43342</v>
      </c>
      <c r="H232" s="70">
        <f t="shared" si="6"/>
        <v>-1319.8400000000001</v>
      </c>
      <c r="I232" s="70">
        <f t="shared" si="7"/>
        <v>5648.9484000000193</v>
      </c>
    </row>
    <row r="233" spans="1:9" x14ac:dyDescent="0.25">
      <c r="A233" t="s">
        <v>458</v>
      </c>
      <c r="B233" s="3">
        <v>25000</v>
      </c>
      <c r="C233" s="3" t="s">
        <v>29</v>
      </c>
      <c r="D233" s="72">
        <v>43339</v>
      </c>
      <c r="E233">
        <v>1520966</v>
      </c>
      <c r="F233" s="3">
        <v>26660.34</v>
      </c>
      <c r="G233" s="73">
        <v>43343</v>
      </c>
      <c r="H233" s="70">
        <f t="shared" si="6"/>
        <v>-1660.3400000000001</v>
      </c>
      <c r="I233" s="70">
        <f t="shared" si="7"/>
        <v>3988.6084000000192</v>
      </c>
    </row>
    <row r="234" spans="1:9" x14ac:dyDescent="0.25">
      <c r="A234" t="s">
        <v>459</v>
      </c>
      <c r="B234" s="3">
        <v>26000</v>
      </c>
      <c r="C234" s="3" t="s">
        <v>460</v>
      </c>
      <c r="D234" s="72">
        <v>43343</v>
      </c>
      <c r="E234">
        <v>1522593</v>
      </c>
      <c r="F234" s="3">
        <v>26698.58</v>
      </c>
      <c r="G234" s="73">
        <v>43349</v>
      </c>
      <c r="H234" s="70">
        <f t="shared" si="6"/>
        <v>-698.58000000000175</v>
      </c>
      <c r="I234" s="70">
        <f t="shared" si="7"/>
        <v>3290.0284000000174</v>
      </c>
    </row>
    <row r="235" spans="1:9" x14ac:dyDescent="0.25">
      <c r="A235" t="s">
        <v>461</v>
      </c>
      <c r="B235" s="3">
        <v>26000</v>
      </c>
      <c r="C235" s="3" t="s">
        <v>29</v>
      </c>
      <c r="D235" s="72">
        <v>43346</v>
      </c>
      <c r="E235">
        <v>1523172</v>
      </c>
      <c r="F235" s="3">
        <v>25798.46</v>
      </c>
      <c r="G235" s="73">
        <v>43350</v>
      </c>
      <c r="H235" s="70">
        <f t="shared" si="6"/>
        <v>201.54000000000087</v>
      </c>
      <c r="I235" s="70">
        <f t="shared" si="7"/>
        <v>3491.5684000000183</v>
      </c>
    </row>
    <row r="236" spans="1:9" x14ac:dyDescent="0.25">
      <c r="A236" t="s">
        <v>462</v>
      </c>
      <c r="B236" s="3">
        <v>25000</v>
      </c>
      <c r="C236" s="3" t="s">
        <v>45</v>
      </c>
      <c r="D236" s="72">
        <v>43350</v>
      </c>
      <c r="E236">
        <v>1524976</v>
      </c>
      <c r="F236" s="3">
        <v>25381.55</v>
      </c>
      <c r="G236" s="73">
        <v>43356</v>
      </c>
      <c r="H236" s="70">
        <f t="shared" si="6"/>
        <v>-381.54999999999927</v>
      </c>
      <c r="I236" s="70">
        <f t="shared" si="7"/>
        <v>3110.018400000019</v>
      </c>
    </row>
    <row r="237" spans="1:9" x14ac:dyDescent="0.25">
      <c r="A237" t="s">
        <v>463</v>
      </c>
      <c r="B237" s="3">
        <v>26000</v>
      </c>
      <c r="C237" s="3" t="s">
        <v>29</v>
      </c>
      <c r="D237" s="72">
        <v>43353</v>
      </c>
      <c r="E237">
        <v>1525661</v>
      </c>
      <c r="F237" s="3">
        <v>25132.75</v>
      </c>
      <c r="G237" s="73">
        <v>43357</v>
      </c>
      <c r="H237" s="70">
        <f t="shared" ref="H237:H282" si="8">B237-F237</f>
        <v>867.25</v>
      </c>
      <c r="I237" s="70">
        <f t="shared" ref="I237:I282" si="9">I236+H237</f>
        <v>3977.268400000019</v>
      </c>
    </row>
    <row r="238" spans="1:9" x14ac:dyDescent="0.25">
      <c r="A238" t="s">
        <v>464</v>
      </c>
      <c r="B238" s="3">
        <v>26000</v>
      </c>
      <c r="C238" s="3" t="s">
        <v>45</v>
      </c>
      <c r="D238" s="72">
        <v>43357</v>
      </c>
      <c r="E238">
        <v>1527373</v>
      </c>
      <c r="F238" s="3">
        <v>25569.919999999998</v>
      </c>
      <c r="G238" s="73">
        <v>43363</v>
      </c>
      <c r="H238" s="70">
        <f t="shared" si="8"/>
        <v>430.08000000000175</v>
      </c>
      <c r="I238" s="70">
        <f t="shared" si="9"/>
        <v>4407.3484000000208</v>
      </c>
    </row>
    <row r="239" spans="1:9" x14ac:dyDescent="0.25">
      <c r="A239" t="s">
        <v>465</v>
      </c>
      <c r="B239" s="3">
        <v>26000</v>
      </c>
      <c r="C239" s="3" t="s">
        <v>29</v>
      </c>
      <c r="D239" s="72">
        <v>43360</v>
      </c>
      <c r="E239">
        <v>1527945</v>
      </c>
      <c r="F239" s="3">
        <v>28627.27</v>
      </c>
      <c r="G239" s="73">
        <v>43364</v>
      </c>
      <c r="H239" s="70">
        <f t="shared" si="8"/>
        <v>-2627.2700000000004</v>
      </c>
      <c r="I239" s="70">
        <f t="shared" si="9"/>
        <v>1780.0784000000203</v>
      </c>
    </row>
    <row r="240" spans="1:9" x14ac:dyDescent="0.25">
      <c r="A240" t="s">
        <v>466</v>
      </c>
      <c r="B240" s="3">
        <v>27000</v>
      </c>
      <c r="C240" s="3" t="s">
        <v>460</v>
      </c>
      <c r="D240" s="72">
        <v>43364</v>
      </c>
      <c r="E240">
        <v>1530000</v>
      </c>
      <c r="F240" s="3">
        <v>31216.9</v>
      </c>
      <c r="G240" s="73">
        <v>43370</v>
      </c>
      <c r="H240" s="70">
        <f t="shared" si="8"/>
        <v>-4216.9000000000015</v>
      </c>
      <c r="I240" s="70">
        <f t="shared" si="9"/>
        <v>-2436.8215999999811</v>
      </c>
    </row>
    <row r="241" spans="1:9" x14ac:dyDescent="0.25">
      <c r="A241" t="s">
        <v>467</v>
      </c>
      <c r="B241" s="3">
        <v>35000</v>
      </c>
      <c r="C241" s="3" t="s">
        <v>228</v>
      </c>
      <c r="D241" s="72">
        <v>43367</v>
      </c>
      <c r="E241">
        <v>1530001</v>
      </c>
      <c r="F241" s="3">
        <v>31630.54</v>
      </c>
      <c r="G241" s="73">
        <v>43372</v>
      </c>
      <c r="H241" s="70">
        <f t="shared" si="8"/>
        <v>3369.4599999999991</v>
      </c>
      <c r="I241" s="70">
        <f t="shared" si="9"/>
        <v>932.63840000001801</v>
      </c>
    </row>
    <row r="242" spans="1:9" x14ac:dyDescent="0.25">
      <c r="A242" t="s">
        <v>468</v>
      </c>
      <c r="B242" s="3">
        <v>32000</v>
      </c>
      <c r="C242" s="3" t="s">
        <v>45</v>
      </c>
      <c r="D242" s="72">
        <v>43371</v>
      </c>
      <c r="E242">
        <v>1532365</v>
      </c>
      <c r="F242" s="3">
        <v>31852.48</v>
      </c>
      <c r="G242" s="73">
        <v>43377</v>
      </c>
      <c r="H242" s="70">
        <f t="shared" si="8"/>
        <v>147.52000000000044</v>
      </c>
      <c r="I242" s="70">
        <f t="shared" si="9"/>
        <v>1080.1584000000184</v>
      </c>
    </row>
    <row r="243" spans="1:9" x14ac:dyDescent="0.25">
      <c r="A243" t="s">
        <v>469</v>
      </c>
      <c r="B243" s="3">
        <v>32000</v>
      </c>
      <c r="C243" s="3" t="s">
        <v>29</v>
      </c>
      <c r="D243" s="72">
        <v>43374</v>
      </c>
      <c r="E243">
        <v>1532366</v>
      </c>
      <c r="F243" s="3">
        <v>31279.58</v>
      </c>
      <c r="G243" s="73">
        <v>43378</v>
      </c>
      <c r="H243" s="70">
        <f t="shared" si="8"/>
        <v>720.41999999999825</v>
      </c>
      <c r="I243" s="70">
        <f t="shared" si="9"/>
        <v>1800.5784000000167</v>
      </c>
    </row>
    <row r="244" spans="1:9" x14ac:dyDescent="0.25">
      <c r="A244" t="s">
        <v>470</v>
      </c>
      <c r="B244" s="3">
        <v>31500</v>
      </c>
      <c r="C244" s="3" t="s">
        <v>45</v>
      </c>
      <c r="D244" s="72">
        <v>43378</v>
      </c>
      <c r="E244">
        <v>1534777</v>
      </c>
      <c r="F244" s="3">
        <v>28349.759999999998</v>
      </c>
      <c r="G244" s="73">
        <v>43384</v>
      </c>
      <c r="H244" s="70">
        <f t="shared" si="8"/>
        <v>3150.2400000000016</v>
      </c>
      <c r="I244" s="70">
        <f t="shared" si="9"/>
        <v>4950.8184000000183</v>
      </c>
    </row>
    <row r="245" spans="1:9" x14ac:dyDescent="0.25">
      <c r="A245" t="s">
        <v>471</v>
      </c>
      <c r="B245" s="3">
        <v>31500</v>
      </c>
      <c r="C245" s="3" t="s">
        <v>29</v>
      </c>
      <c r="D245" s="72">
        <v>43381</v>
      </c>
      <c r="E245">
        <v>1534778</v>
      </c>
      <c r="F245" s="3">
        <v>27300.19</v>
      </c>
      <c r="G245" s="73">
        <v>43385</v>
      </c>
      <c r="H245" s="70">
        <f t="shared" si="8"/>
        <v>4199.8100000000013</v>
      </c>
      <c r="I245" s="70">
        <f t="shared" si="9"/>
        <v>9150.6284000000196</v>
      </c>
    </row>
    <row r="246" spans="1:9" x14ac:dyDescent="0.25">
      <c r="A246" t="s">
        <v>472</v>
      </c>
      <c r="B246" s="3">
        <v>23000</v>
      </c>
      <c r="C246" s="3" t="s">
        <v>45</v>
      </c>
      <c r="D246" s="72">
        <v>43385</v>
      </c>
      <c r="E246">
        <v>1536852</v>
      </c>
      <c r="F246" s="3">
        <v>26160.87</v>
      </c>
      <c r="G246" s="73">
        <v>43391</v>
      </c>
      <c r="H246" s="70">
        <f t="shared" si="8"/>
        <v>-3160.869999999999</v>
      </c>
      <c r="I246" s="70">
        <f t="shared" si="9"/>
        <v>5989.7584000000206</v>
      </c>
    </row>
    <row r="247" spans="1:9" x14ac:dyDescent="0.25">
      <c r="A247" t="s">
        <v>473</v>
      </c>
      <c r="B247" s="3">
        <v>23000</v>
      </c>
      <c r="C247" s="3" t="s">
        <v>29</v>
      </c>
      <c r="D247" s="72">
        <v>43388</v>
      </c>
      <c r="E247">
        <v>1537488</v>
      </c>
      <c r="F247" s="3">
        <v>25918.66</v>
      </c>
      <c r="G247" s="73">
        <v>43392</v>
      </c>
      <c r="H247" s="70">
        <f t="shared" si="8"/>
        <v>-2918.66</v>
      </c>
      <c r="I247" s="70">
        <f t="shared" si="9"/>
        <v>3071.0984000000208</v>
      </c>
    </row>
    <row r="248" spans="1:9" x14ac:dyDescent="0.25">
      <c r="A248" t="s">
        <v>474</v>
      </c>
      <c r="B248" s="3">
        <v>24000</v>
      </c>
      <c r="C248" s="3" t="s">
        <v>45</v>
      </c>
      <c r="D248" s="72">
        <v>43392</v>
      </c>
      <c r="E248">
        <v>1539317</v>
      </c>
      <c r="F248" s="3">
        <v>25830.69</v>
      </c>
      <c r="G248" s="73">
        <v>43398</v>
      </c>
      <c r="H248" s="70">
        <f t="shared" si="8"/>
        <v>-1830.6899999999987</v>
      </c>
      <c r="I248" s="70">
        <f t="shared" si="9"/>
        <v>1240.4084000000221</v>
      </c>
    </row>
    <row r="249" spans="1:9" x14ac:dyDescent="0.25">
      <c r="A249" t="s">
        <v>475</v>
      </c>
      <c r="B249" s="3">
        <v>25000</v>
      </c>
      <c r="C249" s="3" t="s">
        <v>29</v>
      </c>
      <c r="D249" s="72">
        <v>43395</v>
      </c>
      <c r="E249">
        <v>1539676</v>
      </c>
      <c r="F249" s="3">
        <v>26935.15</v>
      </c>
      <c r="G249" s="73">
        <v>43399</v>
      </c>
      <c r="H249" s="70">
        <f t="shared" si="8"/>
        <v>-1935.1500000000015</v>
      </c>
      <c r="I249" s="70">
        <f t="shared" si="9"/>
        <v>-694.74159999997937</v>
      </c>
    </row>
    <row r="250" spans="1:9" x14ac:dyDescent="0.25">
      <c r="A250" t="s">
        <v>476</v>
      </c>
      <c r="B250" s="3">
        <v>28000</v>
      </c>
      <c r="C250" s="3" t="s">
        <v>45</v>
      </c>
      <c r="D250" s="72">
        <v>43399</v>
      </c>
      <c r="E250">
        <v>1542010</v>
      </c>
      <c r="F250" s="3">
        <v>26377.81</v>
      </c>
      <c r="G250" s="73">
        <v>43405</v>
      </c>
      <c r="H250" s="70">
        <f t="shared" si="8"/>
        <v>1622.1899999999987</v>
      </c>
      <c r="I250" s="70">
        <f t="shared" si="9"/>
        <v>927.44840000001932</v>
      </c>
    </row>
    <row r="251" spans="1:9" x14ac:dyDescent="0.25">
      <c r="A251" t="s">
        <v>477</v>
      </c>
      <c r="B251" s="3">
        <v>28500</v>
      </c>
      <c r="C251" s="3" t="s">
        <v>29</v>
      </c>
      <c r="D251" s="72">
        <v>43402</v>
      </c>
      <c r="E251">
        <v>1543269</v>
      </c>
      <c r="F251" s="3">
        <v>26634.97</v>
      </c>
      <c r="G251" s="73">
        <v>43406</v>
      </c>
      <c r="H251" s="70">
        <f t="shared" si="8"/>
        <v>1865.0299999999988</v>
      </c>
      <c r="I251" s="70">
        <f t="shared" si="9"/>
        <v>2792.4784000000182</v>
      </c>
    </row>
    <row r="252" spans="1:9" x14ac:dyDescent="0.25">
      <c r="A252" t="s">
        <v>478</v>
      </c>
      <c r="B252" s="3">
        <v>27500</v>
      </c>
      <c r="C252" s="3" t="s">
        <v>41</v>
      </c>
      <c r="D252" s="72">
        <v>43405</v>
      </c>
      <c r="E252">
        <v>1544622</v>
      </c>
      <c r="F252" s="3">
        <v>25944.62</v>
      </c>
      <c r="G252" s="73">
        <v>43412</v>
      </c>
      <c r="H252" s="70">
        <f t="shared" si="8"/>
        <v>1555.380000000001</v>
      </c>
      <c r="I252" s="70">
        <f t="shared" si="9"/>
        <v>4347.8584000000192</v>
      </c>
    </row>
    <row r="253" spans="1:9" x14ac:dyDescent="0.25">
      <c r="A253" t="s">
        <v>479</v>
      </c>
      <c r="B253" s="3">
        <v>27000</v>
      </c>
      <c r="C253" s="3" t="s">
        <v>29</v>
      </c>
      <c r="D253" s="72">
        <v>43409</v>
      </c>
      <c r="E253">
        <v>1544959</v>
      </c>
      <c r="F253" s="3">
        <v>26270.36</v>
      </c>
      <c r="G253" s="73">
        <v>43413</v>
      </c>
      <c r="H253" s="70">
        <f t="shared" si="8"/>
        <v>729.63999999999942</v>
      </c>
      <c r="I253" s="70">
        <f t="shared" si="9"/>
        <v>5077.4984000000186</v>
      </c>
    </row>
    <row r="254" spans="1:9" x14ac:dyDescent="0.25">
      <c r="A254" t="s">
        <v>480</v>
      </c>
      <c r="B254" s="3">
        <v>24000</v>
      </c>
      <c r="C254" s="3" t="s">
        <v>45</v>
      </c>
      <c r="D254" s="72">
        <v>43413</v>
      </c>
      <c r="E254">
        <v>1547196</v>
      </c>
      <c r="F254" s="3">
        <v>25901</v>
      </c>
      <c r="G254" s="73">
        <v>43419</v>
      </c>
      <c r="H254" s="70">
        <f t="shared" si="8"/>
        <v>-1901</v>
      </c>
      <c r="I254" s="70">
        <f t="shared" si="9"/>
        <v>3176.4984000000186</v>
      </c>
    </row>
    <row r="255" spans="1:9" x14ac:dyDescent="0.25">
      <c r="A255" t="s">
        <v>481</v>
      </c>
      <c r="B255" s="3">
        <v>25000</v>
      </c>
      <c r="C255" s="3" t="s">
        <v>29</v>
      </c>
      <c r="D255" s="72">
        <v>43416</v>
      </c>
      <c r="E255">
        <v>1547788</v>
      </c>
      <c r="F255" s="3">
        <v>25379.119999999999</v>
      </c>
      <c r="G255" s="73">
        <v>43420</v>
      </c>
      <c r="H255" s="70">
        <f t="shared" si="8"/>
        <v>-379.11999999999898</v>
      </c>
      <c r="I255" s="70">
        <f t="shared" si="9"/>
        <v>2797.3784000000196</v>
      </c>
    </row>
    <row r="256" spans="1:9" x14ac:dyDescent="0.25">
      <c r="A256" t="s">
        <v>482</v>
      </c>
      <c r="B256" s="3">
        <v>26000</v>
      </c>
      <c r="C256" s="3" t="s">
        <v>41</v>
      </c>
      <c r="D256" s="72">
        <v>43419</v>
      </c>
      <c r="E256">
        <v>1548808</v>
      </c>
      <c r="F256" s="3">
        <v>25310.240000000002</v>
      </c>
      <c r="G256" s="73">
        <v>43424</v>
      </c>
      <c r="H256" s="70">
        <f t="shared" si="8"/>
        <v>689.7599999999984</v>
      </c>
      <c r="I256" s="70">
        <f t="shared" si="9"/>
        <v>3487.138400000018</v>
      </c>
    </row>
    <row r="257" spans="1:9" x14ac:dyDescent="0.25">
      <c r="A257" t="s">
        <v>483</v>
      </c>
      <c r="B257" s="3">
        <v>26000</v>
      </c>
      <c r="C257" s="3" t="s">
        <v>45</v>
      </c>
      <c r="D257" s="72">
        <v>43420</v>
      </c>
      <c r="E257">
        <v>1550311</v>
      </c>
      <c r="F257" s="3">
        <v>25591.119999999999</v>
      </c>
      <c r="G257" s="73">
        <v>43426</v>
      </c>
      <c r="H257" s="70">
        <f t="shared" si="8"/>
        <v>408.88000000000102</v>
      </c>
      <c r="I257" s="70">
        <f t="shared" si="9"/>
        <v>3896.018400000019</v>
      </c>
    </row>
    <row r="258" spans="1:9" x14ac:dyDescent="0.25">
      <c r="A258" t="s">
        <v>484</v>
      </c>
      <c r="B258" s="3">
        <v>26000</v>
      </c>
      <c r="C258" s="3" t="s">
        <v>48</v>
      </c>
      <c r="D258" s="72">
        <v>43424</v>
      </c>
      <c r="E258">
        <v>1550828</v>
      </c>
      <c r="F258" s="3">
        <v>25691.279999999999</v>
      </c>
      <c r="G258" s="73">
        <v>43427</v>
      </c>
      <c r="H258" s="70">
        <f t="shared" si="8"/>
        <v>308.72000000000116</v>
      </c>
      <c r="I258" s="70">
        <f t="shared" si="9"/>
        <v>4204.7384000000202</v>
      </c>
    </row>
    <row r="259" spans="1:9" x14ac:dyDescent="0.25">
      <c r="A259" t="s">
        <v>485</v>
      </c>
      <c r="B259" s="3">
        <v>25000</v>
      </c>
      <c r="C259" s="3" t="s">
        <v>41</v>
      </c>
      <c r="D259" s="72">
        <v>43426</v>
      </c>
      <c r="E259">
        <v>1552197</v>
      </c>
      <c r="F259" s="3">
        <v>26493.599999999999</v>
      </c>
      <c r="G259" s="73">
        <v>43432</v>
      </c>
      <c r="H259" s="70">
        <f t="shared" si="8"/>
        <v>-1493.5999999999985</v>
      </c>
      <c r="I259" s="70">
        <f t="shared" si="9"/>
        <v>2711.1384000000216</v>
      </c>
    </row>
    <row r="260" spans="1:9" x14ac:dyDescent="0.25">
      <c r="A260" t="s">
        <v>486</v>
      </c>
      <c r="B260" s="3">
        <v>25500</v>
      </c>
      <c r="C260" s="3" t="s">
        <v>45</v>
      </c>
      <c r="D260" s="72">
        <v>43427</v>
      </c>
      <c r="E260">
        <v>1552196</v>
      </c>
      <c r="F260" s="3">
        <v>25753.200000000001</v>
      </c>
      <c r="G260" s="73">
        <v>43433</v>
      </c>
      <c r="H260" s="70">
        <f t="shared" si="8"/>
        <v>-253.20000000000073</v>
      </c>
      <c r="I260" s="70">
        <f t="shared" si="9"/>
        <v>2457.9384000000209</v>
      </c>
    </row>
    <row r="261" spans="1:9" x14ac:dyDescent="0.25">
      <c r="A261" t="s">
        <v>487</v>
      </c>
      <c r="B261" s="3">
        <v>27000</v>
      </c>
      <c r="C261" s="3" t="s">
        <v>29</v>
      </c>
      <c r="D261" s="72">
        <v>43430</v>
      </c>
      <c r="E261">
        <v>1552854</v>
      </c>
      <c r="F261" s="3">
        <v>25708.83</v>
      </c>
      <c r="G261" s="73">
        <v>43434</v>
      </c>
      <c r="H261" s="70">
        <f t="shared" si="8"/>
        <v>1291.1699999999983</v>
      </c>
      <c r="I261" s="70">
        <f t="shared" si="9"/>
        <v>3749.1084000000192</v>
      </c>
    </row>
    <row r="262" spans="1:9" x14ac:dyDescent="0.25">
      <c r="A262" t="s">
        <v>488</v>
      </c>
      <c r="B262" s="3">
        <v>27000</v>
      </c>
      <c r="C262" s="3" t="s">
        <v>29</v>
      </c>
      <c r="D262" s="72">
        <v>43430</v>
      </c>
      <c r="E262">
        <v>1552687</v>
      </c>
      <c r="F262" s="3">
        <v>25291.61</v>
      </c>
      <c r="G262" s="73">
        <v>43434</v>
      </c>
      <c r="H262" s="70">
        <f t="shared" si="8"/>
        <v>1708.3899999999994</v>
      </c>
      <c r="I262" s="70">
        <f t="shared" si="9"/>
        <v>5457.4984000000186</v>
      </c>
    </row>
    <row r="263" spans="1:9" x14ac:dyDescent="0.25">
      <c r="A263" t="s">
        <v>489</v>
      </c>
      <c r="B263" s="3">
        <v>26000</v>
      </c>
      <c r="C263" s="3" t="s">
        <v>41</v>
      </c>
      <c r="D263" s="72">
        <v>43433</v>
      </c>
      <c r="E263">
        <v>1554865</v>
      </c>
      <c r="F263" s="3">
        <v>26659.65</v>
      </c>
      <c r="G263" s="73">
        <v>43439</v>
      </c>
      <c r="H263" s="70">
        <f t="shared" si="8"/>
        <v>-659.65000000000146</v>
      </c>
      <c r="I263" s="70">
        <f t="shared" si="9"/>
        <v>4797.8484000000171</v>
      </c>
    </row>
    <row r="264" spans="1:9" x14ac:dyDescent="0.25">
      <c r="A264" t="s">
        <v>490</v>
      </c>
      <c r="B264" s="3">
        <v>26000</v>
      </c>
      <c r="C264" s="3" t="s">
        <v>45</v>
      </c>
      <c r="D264" s="72">
        <v>43434</v>
      </c>
      <c r="E264">
        <v>1554864</v>
      </c>
      <c r="F264" s="3">
        <v>27024.48</v>
      </c>
      <c r="G264" s="73">
        <v>43440</v>
      </c>
      <c r="H264" s="70">
        <f t="shared" si="8"/>
        <v>-1024.4799999999996</v>
      </c>
      <c r="I264" s="70">
        <f t="shared" si="9"/>
        <v>3773.3684000000176</v>
      </c>
    </row>
    <row r="265" spans="1:9" x14ac:dyDescent="0.25">
      <c r="A265" t="s">
        <v>491</v>
      </c>
      <c r="B265" s="3">
        <v>26000</v>
      </c>
      <c r="C265" s="3" t="s">
        <v>29</v>
      </c>
      <c r="D265" s="72">
        <v>43437</v>
      </c>
      <c r="E265">
        <v>1555582</v>
      </c>
      <c r="F265" s="3">
        <v>27659.53</v>
      </c>
      <c r="G265" s="73">
        <v>43441</v>
      </c>
      <c r="H265" s="70">
        <f t="shared" si="8"/>
        <v>-1659.5299999999988</v>
      </c>
      <c r="I265" s="70">
        <f t="shared" si="9"/>
        <v>2113.8384000000187</v>
      </c>
    </row>
    <row r="266" spans="1:9" x14ac:dyDescent="0.25">
      <c r="A266" t="s">
        <v>492</v>
      </c>
      <c r="B266" s="3">
        <v>26000</v>
      </c>
      <c r="C266" s="3" t="s">
        <v>29</v>
      </c>
      <c r="D266" s="72">
        <v>43437</v>
      </c>
      <c r="E266">
        <v>1555583</v>
      </c>
      <c r="F266" s="3">
        <v>27605.56</v>
      </c>
      <c r="G266" s="73">
        <v>43441</v>
      </c>
      <c r="H266" s="70">
        <f t="shared" si="8"/>
        <v>-1605.5600000000013</v>
      </c>
      <c r="I266" s="70">
        <f t="shared" si="9"/>
        <v>508.27840000001743</v>
      </c>
    </row>
    <row r="267" spans="1:9" x14ac:dyDescent="0.25">
      <c r="A267" t="s">
        <v>493</v>
      </c>
      <c r="B267" s="3">
        <v>27000</v>
      </c>
      <c r="C267" s="3" t="s">
        <v>41</v>
      </c>
      <c r="D267" s="72">
        <v>43440</v>
      </c>
      <c r="E267">
        <v>1557191</v>
      </c>
      <c r="F267" s="3">
        <v>29238.240000000002</v>
      </c>
      <c r="G267" s="73">
        <v>43446</v>
      </c>
      <c r="H267" s="70">
        <f t="shared" si="8"/>
        <v>-2238.2400000000016</v>
      </c>
      <c r="I267" s="70">
        <f t="shared" si="9"/>
        <v>-1729.9615999999842</v>
      </c>
    </row>
    <row r="268" spans="1:9" x14ac:dyDescent="0.25">
      <c r="A268" t="s">
        <v>494</v>
      </c>
      <c r="B268" s="3">
        <v>27500</v>
      </c>
      <c r="C268" s="3" t="s">
        <v>45</v>
      </c>
      <c r="D268" s="72">
        <v>43441</v>
      </c>
      <c r="E268">
        <v>1558443</v>
      </c>
      <c r="F268" s="3">
        <v>25643.98</v>
      </c>
      <c r="G268" s="73">
        <v>43447</v>
      </c>
      <c r="H268" s="70">
        <f t="shared" si="8"/>
        <v>1856.0200000000004</v>
      </c>
      <c r="I268" s="70">
        <f t="shared" si="9"/>
        <v>126.05840000001626</v>
      </c>
    </row>
    <row r="269" spans="1:9" x14ac:dyDescent="0.25">
      <c r="A269" t="s">
        <v>495</v>
      </c>
      <c r="B269" s="3">
        <v>33000</v>
      </c>
      <c r="C269" s="3" t="s">
        <v>29</v>
      </c>
      <c r="D269" s="72">
        <v>43444</v>
      </c>
      <c r="E269">
        <v>1558444</v>
      </c>
      <c r="F269" s="3">
        <v>28659.279999999999</v>
      </c>
      <c r="G269" s="73">
        <v>43448</v>
      </c>
      <c r="H269" s="70">
        <f t="shared" si="8"/>
        <v>4340.7200000000012</v>
      </c>
      <c r="I269" s="70">
        <f t="shared" si="9"/>
        <v>4466.7784000000174</v>
      </c>
    </row>
    <row r="270" spans="1:9" x14ac:dyDescent="0.25">
      <c r="A270" t="s">
        <v>496</v>
      </c>
      <c r="B270" s="3">
        <v>33000</v>
      </c>
      <c r="C270" s="3" t="s">
        <v>29</v>
      </c>
      <c r="D270" s="72">
        <v>43444</v>
      </c>
      <c r="E270">
        <v>1558445</v>
      </c>
      <c r="F270" s="3">
        <v>28736.36</v>
      </c>
      <c r="G270" s="73">
        <v>43448</v>
      </c>
      <c r="H270" s="70">
        <f t="shared" si="8"/>
        <v>4263.6399999999994</v>
      </c>
      <c r="I270" s="70">
        <f t="shared" si="9"/>
        <v>8730.4184000000168</v>
      </c>
    </row>
    <row r="271" spans="1:9" x14ac:dyDescent="0.25">
      <c r="A271" t="s">
        <v>497</v>
      </c>
      <c r="B271" s="3">
        <v>30000</v>
      </c>
      <c r="C271" s="3" t="s">
        <v>48</v>
      </c>
      <c r="D271" s="72">
        <v>43446</v>
      </c>
      <c r="E271">
        <v>1559160</v>
      </c>
      <c r="F271" s="3">
        <v>29581.35</v>
      </c>
      <c r="G271" s="73">
        <v>43452</v>
      </c>
      <c r="H271" s="70">
        <f t="shared" si="8"/>
        <v>418.65000000000146</v>
      </c>
      <c r="I271" s="70">
        <f t="shared" si="9"/>
        <v>9149.0684000000183</v>
      </c>
    </row>
    <row r="272" spans="1:9" x14ac:dyDescent="0.25">
      <c r="A272" t="s">
        <v>498</v>
      </c>
      <c r="B272" s="3">
        <v>30000</v>
      </c>
      <c r="C272" s="3" t="s">
        <v>41</v>
      </c>
      <c r="D272" s="72">
        <v>43447</v>
      </c>
      <c r="E272">
        <v>1560174</v>
      </c>
      <c r="F272" s="3">
        <v>25700.799999999999</v>
      </c>
      <c r="G272" s="73">
        <v>43453</v>
      </c>
      <c r="H272" s="70">
        <f t="shared" si="8"/>
        <v>4299.2000000000007</v>
      </c>
      <c r="I272" s="70">
        <f t="shared" si="9"/>
        <v>13448.268400000019</v>
      </c>
    </row>
    <row r="273" spans="1:9" x14ac:dyDescent="0.25">
      <c r="A273" t="s">
        <v>499</v>
      </c>
      <c r="B273" s="3">
        <v>30000</v>
      </c>
      <c r="C273" s="3" t="s">
        <v>41</v>
      </c>
      <c r="D273" s="72">
        <v>43447</v>
      </c>
      <c r="E273">
        <v>1560175</v>
      </c>
      <c r="F273" s="3">
        <v>26304.41</v>
      </c>
      <c r="G273" s="73">
        <v>43453</v>
      </c>
      <c r="H273" s="70">
        <f t="shared" si="8"/>
        <v>3695.59</v>
      </c>
      <c r="I273" s="70">
        <f t="shared" si="9"/>
        <v>17143.858400000019</v>
      </c>
    </row>
    <row r="274" spans="1:9" x14ac:dyDescent="0.25">
      <c r="A274" t="s">
        <v>500</v>
      </c>
      <c r="B274" s="3">
        <v>25000</v>
      </c>
      <c r="C274" s="3" t="s">
        <v>45</v>
      </c>
      <c r="D274" s="72">
        <v>43448</v>
      </c>
      <c r="E274">
        <v>1560176</v>
      </c>
      <c r="F274" s="3">
        <v>23961.13</v>
      </c>
      <c r="G274" s="73">
        <v>43454</v>
      </c>
      <c r="H274" s="70">
        <f t="shared" si="8"/>
        <v>1038.869999999999</v>
      </c>
      <c r="I274" s="70">
        <f t="shared" si="9"/>
        <v>18182.728400000018</v>
      </c>
    </row>
    <row r="275" spans="1:9" x14ac:dyDescent="0.25">
      <c r="A275" t="s">
        <v>501</v>
      </c>
      <c r="B275" s="3">
        <v>26000</v>
      </c>
      <c r="C275" s="3" t="s">
        <v>29</v>
      </c>
      <c r="D275" s="72">
        <v>43451</v>
      </c>
      <c r="E275">
        <v>1560924</v>
      </c>
      <c r="F275" s="3">
        <v>24974.54</v>
      </c>
      <c r="G275" s="73">
        <v>43455</v>
      </c>
      <c r="H275" s="70">
        <f t="shared" si="8"/>
        <v>1025.4599999999991</v>
      </c>
      <c r="I275" s="70">
        <f t="shared" si="9"/>
        <v>19208.188400000017</v>
      </c>
    </row>
    <row r="276" spans="1:9" x14ac:dyDescent="0.25">
      <c r="A276" t="s">
        <v>502</v>
      </c>
      <c r="B276" s="3">
        <v>26000</v>
      </c>
      <c r="C276" s="3" t="s">
        <v>29</v>
      </c>
      <c r="D276" s="72">
        <v>43451</v>
      </c>
      <c r="E276">
        <v>1560925</v>
      </c>
      <c r="F276" s="3">
        <v>24540.01</v>
      </c>
      <c r="G276" s="73">
        <v>43455</v>
      </c>
      <c r="H276" s="70">
        <f t="shared" si="8"/>
        <v>1459.9900000000016</v>
      </c>
      <c r="I276" s="70">
        <f t="shared" si="9"/>
        <v>20668.178400000019</v>
      </c>
    </row>
    <row r="277" spans="1:9" x14ac:dyDescent="0.25">
      <c r="A277" t="s">
        <v>503</v>
      </c>
      <c r="B277" s="3">
        <v>20000</v>
      </c>
      <c r="C277" s="3" t="s">
        <v>48</v>
      </c>
      <c r="D277" s="72">
        <v>43452</v>
      </c>
      <c r="E277">
        <v>1561948</v>
      </c>
      <c r="F277" s="3">
        <v>23890.799999999999</v>
      </c>
      <c r="G277" s="73">
        <v>43458</v>
      </c>
      <c r="H277" s="70">
        <f t="shared" si="8"/>
        <v>-3890.7999999999993</v>
      </c>
      <c r="I277" s="70">
        <f t="shared" si="9"/>
        <v>16777.37840000002</v>
      </c>
    </row>
    <row r="278" spans="1:9" x14ac:dyDescent="0.25">
      <c r="A278" t="s">
        <v>504</v>
      </c>
      <c r="B278" s="3">
        <v>20000</v>
      </c>
      <c r="C278" s="3" t="s">
        <v>41</v>
      </c>
      <c r="D278" s="72">
        <v>43454</v>
      </c>
      <c r="E278">
        <v>1562727</v>
      </c>
      <c r="F278" s="3">
        <v>23943.84</v>
      </c>
      <c r="G278" s="73">
        <v>43460</v>
      </c>
      <c r="H278" s="70">
        <f t="shared" si="8"/>
        <v>-3943.84</v>
      </c>
      <c r="I278" s="70">
        <f t="shared" si="9"/>
        <v>12833.538400000019</v>
      </c>
    </row>
    <row r="279" spans="1:9" x14ac:dyDescent="0.25">
      <c r="A279" t="s">
        <v>505</v>
      </c>
      <c r="B279" s="3">
        <v>20000</v>
      </c>
      <c r="C279" s="3" t="s">
        <v>29</v>
      </c>
      <c r="D279" s="72">
        <v>43458</v>
      </c>
      <c r="E279">
        <v>1562907</v>
      </c>
      <c r="F279" s="3">
        <v>23959.200000000001</v>
      </c>
      <c r="G279" s="73">
        <v>43462</v>
      </c>
      <c r="H279" s="70">
        <f t="shared" si="8"/>
        <v>-3959.2000000000007</v>
      </c>
      <c r="I279" s="70">
        <f t="shared" si="9"/>
        <v>8874.3384000000187</v>
      </c>
    </row>
    <row r="280" spans="1:9" x14ac:dyDescent="0.25">
      <c r="A280" t="s">
        <v>506</v>
      </c>
      <c r="B280" s="3">
        <v>20000</v>
      </c>
      <c r="C280" s="3" t="s">
        <v>29</v>
      </c>
      <c r="D280" s="72">
        <v>43458</v>
      </c>
      <c r="E280">
        <v>1563625</v>
      </c>
      <c r="F280" s="3">
        <v>24101.1</v>
      </c>
      <c r="G280" s="73">
        <v>43465</v>
      </c>
      <c r="H280" s="70">
        <f t="shared" si="8"/>
        <v>-4101.0999999999985</v>
      </c>
      <c r="I280" s="70">
        <f t="shared" si="9"/>
        <v>4773.2384000000202</v>
      </c>
    </row>
    <row r="281" spans="1:9" x14ac:dyDescent="0.25">
      <c r="A281" t="s">
        <v>507</v>
      </c>
      <c r="B281" s="3">
        <v>21000</v>
      </c>
      <c r="C281" s="3" t="s">
        <v>41</v>
      </c>
      <c r="D281" s="72">
        <v>43461</v>
      </c>
      <c r="E281">
        <v>1564823</v>
      </c>
      <c r="F281" s="3">
        <v>24309.26</v>
      </c>
      <c r="G281" s="73">
        <v>43467</v>
      </c>
      <c r="H281" s="70">
        <f t="shared" si="8"/>
        <v>-3309.2599999999984</v>
      </c>
      <c r="I281" s="70">
        <f t="shared" si="9"/>
        <v>1463.9784000000218</v>
      </c>
    </row>
    <row r="282" spans="1:9" x14ac:dyDescent="0.25">
      <c r="A282" t="s">
        <v>508</v>
      </c>
      <c r="B282" s="3">
        <v>23000</v>
      </c>
      <c r="C282" s="3" t="s">
        <v>29</v>
      </c>
      <c r="D282" s="72">
        <v>43465</v>
      </c>
      <c r="E282">
        <v>1565187</v>
      </c>
      <c r="F282" s="3">
        <v>23410.77</v>
      </c>
      <c r="G282" s="73">
        <v>43438</v>
      </c>
      <c r="H282" s="70">
        <f t="shared" si="8"/>
        <v>-410.77000000000044</v>
      </c>
      <c r="I282" s="70">
        <f t="shared" si="9"/>
        <v>1053.2084000000214</v>
      </c>
    </row>
    <row r="283" spans="1:9" x14ac:dyDescent="0.25">
      <c r="A283" t="s">
        <v>1616</v>
      </c>
      <c r="B283" s="3">
        <v>24500</v>
      </c>
      <c r="C283" s="3" t="s">
        <v>41</v>
      </c>
      <c r="D283" s="72">
        <v>43468</v>
      </c>
      <c r="E283">
        <v>1566683</v>
      </c>
      <c r="F283" s="3">
        <v>23580.99</v>
      </c>
      <c r="G283" s="73">
        <v>43474</v>
      </c>
      <c r="H283" s="70">
        <f t="shared" ref="H283:H290" si="10">B283-F283</f>
        <v>919.0099999999984</v>
      </c>
      <c r="I283" s="70">
        <f t="shared" ref="I283:I290" si="11">I282+H283</f>
        <v>1972.2184000000198</v>
      </c>
    </row>
    <row r="284" spans="1:9" x14ac:dyDescent="0.25">
      <c r="A284" t="s">
        <v>1702</v>
      </c>
      <c r="B284" s="3">
        <v>24000</v>
      </c>
      <c r="C284" s="3" t="s">
        <v>1703</v>
      </c>
      <c r="D284" s="72">
        <v>43475</v>
      </c>
      <c r="E284">
        <v>1567430</v>
      </c>
      <c r="F284" s="3">
        <v>23725.62</v>
      </c>
      <c r="G284" s="73">
        <v>43475</v>
      </c>
      <c r="H284" s="70">
        <f t="shared" si="10"/>
        <v>274.38000000000102</v>
      </c>
      <c r="I284" s="70">
        <f t="shared" si="11"/>
        <v>2246.5984000000208</v>
      </c>
    </row>
    <row r="285" spans="1:9" x14ac:dyDescent="0.25">
      <c r="A285" t="s">
        <v>1617</v>
      </c>
      <c r="B285" s="3">
        <v>24000</v>
      </c>
      <c r="C285" s="3" t="s">
        <v>29</v>
      </c>
      <c r="D285" s="72">
        <v>43472</v>
      </c>
      <c r="E285">
        <v>1567660</v>
      </c>
      <c r="F285" s="3">
        <v>23706.33</v>
      </c>
      <c r="G285" s="73">
        <v>43476</v>
      </c>
      <c r="H285" s="70">
        <f t="shared" si="10"/>
        <v>293.66999999999825</v>
      </c>
      <c r="I285" s="70">
        <f t="shared" si="11"/>
        <v>2540.268400000019</v>
      </c>
    </row>
    <row r="286" spans="1:9" x14ac:dyDescent="0.25">
      <c r="A286" t="s">
        <v>1618</v>
      </c>
      <c r="B286" s="3">
        <v>24000</v>
      </c>
      <c r="C286" s="3" t="s">
        <v>41</v>
      </c>
      <c r="D286" s="72">
        <v>43475</v>
      </c>
      <c r="E286">
        <v>1569382</v>
      </c>
      <c r="F286" s="3">
        <v>25075.22</v>
      </c>
      <c r="G286" s="73">
        <v>43481</v>
      </c>
      <c r="H286" s="70">
        <f t="shared" si="10"/>
        <v>-1075.2200000000012</v>
      </c>
      <c r="I286" s="70">
        <f t="shared" si="11"/>
        <v>1465.0484000000179</v>
      </c>
    </row>
    <row r="287" spans="1:9" x14ac:dyDescent="0.25">
      <c r="A287" t="s">
        <v>1619</v>
      </c>
      <c r="B287" s="3">
        <v>26000</v>
      </c>
      <c r="C287" s="3" t="s">
        <v>29</v>
      </c>
      <c r="D287" s="72">
        <v>43479</v>
      </c>
      <c r="E287">
        <v>1570173</v>
      </c>
      <c r="F287" s="3">
        <v>26136.880000000001</v>
      </c>
      <c r="G287" s="73">
        <v>43483</v>
      </c>
      <c r="H287" s="70">
        <f t="shared" si="10"/>
        <v>-136.88000000000102</v>
      </c>
      <c r="I287" s="70">
        <f t="shared" si="11"/>
        <v>1328.1684000000168</v>
      </c>
    </row>
    <row r="288" spans="1:9" x14ac:dyDescent="0.25">
      <c r="A288" t="s">
        <v>1620</v>
      </c>
      <c r="B288" s="3">
        <v>26500</v>
      </c>
      <c r="C288" s="3" t="s">
        <v>41</v>
      </c>
      <c r="D288" s="72">
        <v>43482</v>
      </c>
      <c r="E288">
        <v>1572344</v>
      </c>
      <c r="F288" s="3">
        <v>26968.22</v>
      </c>
      <c r="G288" s="73">
        <v>43488</v>
      </c>
      <c r="H288" s="70">
        <f t="shared" si="10"/>
        <v>-468.22000000000116</v>
      </c>
      <c r="I288" s="70">
        <f t="shared" si="11"/>
        <v>859.94840000001568</v>
      </c>
    </row>
    <row r="289" spans="1:9" x14ac:dyDescent="0.25">
      <c r="A289" t="s">
        <v>1621</v>
      </c>
      <c r="B289" s="3">
        <v>26500</v>
      </c>
      <c r="C289" s="3" t="s">
        <v>29</v>
      </c>
      <c r="D289" s="72">
        <v>43486</v>
      </c>
      <c r="E289">
        <v>1572662</v>
      </c>
      <c r="F289" s="3">
        <v>25851.96</v>
      </c>
      <c r="G289" s="73">
        <v>43490</v>
      </c>
      <c r="H289" s="70">
        <f t="shared" si="10"/>
        <v>648.04000000000087</v>
      </c>
      <c r="I289" s="70">
        <f t="shared" si="11"/>
        <v>1507.9884000000166</v>
      </c>
    </row>
    <row r="290" spans="1:9" x14ac:dyDescent="0.25">
      <c r="A290" t="s">
        <v>1859</v>
      </c>
      <c r="B290" s="3">
        <v>27500</v>
      </c>
      <c r="C290" s="3" t="s">
        <v>275</v>
      </c>
      <c r="D290" s="72">
        <v>43489</v>
      </c>
      <c r="E290">
        <v>1575172</v>
      </c>
      <c r="F290" s="3">
        <v>24154.79</v>
      </c>
      <c r="G290" s="73">
        <v>43495</v>
      </c>
      <c r="H290" s="70">
        <f t="shared" si="10"/>
        <v>3345.2099999999991</v>
      </c>
      <c r="I290" s="70">
        <f t="shared" si="11"/>
        <v>4853.1984000000157</v>
      </c>
    </row>
    <row r="291" spans="1:9" x14ac:dyDescent="0.25">
      <c r="A291" t="s">
        <v>1860</v>
      </c>
      <c r="B291" s="3">
        <v>24000</v>
      </c>
      <c r="C291" s="3" t="s">
        <v>228</v>
      </c>
      <c r="D291" s="72">
        <v>43493</v>
      </c>
      <c r="E291">
        <v>1575828</v>
      </c>
      <c r="F291" s="3">
        <v>24617.59</v>
      </c>
      <c r="G291" s="73">
        <v>43497</v>
      </c>
      <c r="H291" s="70">
        <f t="shared" ref="H291:H293" si="12">B291-F291</f>
        <v>-617.59000000000015</v>
      </c>
      <c r="I291" s="70">
        <f t="shared" ref="I291:I293" si="13">I290+H291</f>
        <v>4235.6084000000155</v>
      </c>
    </row>
    <row r="292" spans="1:9" x14ac:dyDescent="0.25">
      <c r="A292" t="s">
        <v>1861</v>
      </c>
      <c r="B292" s="3">
        <v>22000</v>
      </c>
      <c r="C292" s="3" t="s">
        <v>41</v>
      </c>
      <c r="D292" s="72">
        <v>43496</v>
      </c>
      <c r="E292">
        <v>1577367</v>
      </c>
      <c r="F292" s="3">
        <v>24198.21</v>
      </c>
      <c r="G292" s="73">
        <v>43502</v>
      </c>
      <c r="H292" s="70">
        <f t="shared" si="12"/>
        <v>-2198.2099999999991</v>
      </c>
      <c r="I292" s="70">
        <f t="shared" si="13"/>
        <v>2037.3984000000164</v>
      </c>
    </row>
    <row r="293" spans="1:9" x14ac:dyDescent="0.25">
      <c r="A293" t="s">
        <v>1862</v>
      </c>
      <c r="B293" s="3">
        <v>24500</v>
      </c>
      <c r="C293" s="3" t="s">
        <v>29</v>
      </c>
      <c r="D293" s="72">
        <v>43500</v>
      </c>
      <c r="E293">
        <v>1578063</v>
      </c>
      <c r="F293" s="3">
        <v>23184.99</v>
      </c>
      <c r="G293" s="73">
        <v>43504</v>
      </c>
      <c r="H293" s="70">
        <f t="shared" si="12"/>
        <v>1315.0099999999984</v>
      </c>
      <c r="I293" s="70">
        <f t="shared" si="13"/>
        <v>3352.4084000000148</v>
      </c>
    </row>
    <row r="294" spans="1:9" x14ac:dyDescent="0.25">
      <c r="A294" t="s">
        <v>2081</v>
      </c>
      <c r="B294" s="3">
        <v>21000</v>
      </c>
      <c r="C294" s="3" t="s">
        <v>275</v>
      </c>
      <c r="D294" s="72">
        <v>43503</v>
      </c>
      <c r="E294">
        <v>1580060</v>
      </c>
      <c r="F294" s="3">
        <v>22537.97</v>
      </c>
      <c r="G294" s="73">
        <v>43509</v>
      </c>
      <c r="H294" s="70">
        <f t="shared" ref="H294:H303" si="14">B294-F294</f>
        <v>-1537.9700000000012</v>
      </c>
      <c r="I294" s="70">
        <f t="shared" ref="I294:I303" si="15">I293+H294</f>
        <v>1814.4384000000136</v>
      </c>
    </row>
    <row r="295" spans="1:9" x14ac:dyDescent="0.25">
      <c r="A295" t="s">
        <v>2082</v>
      </c>
      <c r="B295" s="3">
        <v>22000</v>
      </c>
      <c r="C295" s="3" t="s">
        <v>29</v>
      </c>
      <c r="D295" s="72">
        <v>43507</v>
      </c>
      <c r="E295">
        <v>1580843</v>
      </c>
      <c r="F295" s="3">
        <v>23741.82</v>
      </c>
      <c r="G295" s="73">
        <v>43511</v>
      </c>
      <c r="H295" s="70">
        <f t="shared" si="14"/>
        <v>-1741.8199999999997</v>
      </c>
      <c r="I295" s="70">
        <f t="shared" si="15"/>
        <v>72.618400000013935</v>
      </c>
    </row>
    <row r="296" spans="1:9" x14ac:dyDescent="0.25">
      <c r="A296" t="s">
        <v>2293</v>
      </c>
      <c r="B296" s="3">
        <v>23000</v>
      </c>
      <c r="C296" s="3" t="s">
        <v>33</v>
      </c>
      <c r="D296" s="72">
        <v>43509</v>
      </c>
      <c r="E296">
        <v>1582151</v>
      </c>
      <c r="F296" s="3">
        <v>22113.35</v>
      </c>
      <c r="G296" s="73">
        <v>43515</v>
      </c>
      <c r="H296" s="70">
        <f t="shared" ref="H296:H297" si="16">B296-F296</f>
        <v>886.65000000000146</v>
      </c>
      <c r="I296" s="70">
        <f t="shared" ref="I296:I297" si="17">I295+H296</f>
        <v>959.26840000001539</v>
      </c>
    </row>
    <row r="297" spans="1:9" x14ac:dyDescent="0.25">
      <c r="A297" t="s">
        <v>2083</v>
      </c>
      <c r="B297" s="3">
        <v>23000</v>
      </c>
      <c r="C297" s="3" t="s">
        <v>275</v>
      </c>
      <c r="D297" s="72">
        <v>43510</v>
      </c>
      <c r="E297">
        <v>1582698</v>
      </c>
      <c r="F297" s="3">
        <v>22195.64</v>
      </c>
      <c r="G297" s="73">
        <v>43516</v>
      </c>
      <c r="H297" s="70">
        <f t="shared" si="16"/>
        <v>804.36000000000058</v>
      </c>
      <c r="I297" s="70">
        <f t="shared" si="17"/>
        <v>1763.628400000016</v>
      </c>
    </row>
    <row r="298" spans="1:9" x14ac:dyDescent="0.25">
      <c r="A298" t="s">
        <v>2084</v>
      </c>
      <c r="B298" s="3">
        <v>23500</v>
      </c>
      <c r="C298" s="3" t="s">
        <v>29</v>
      </c>
      <c r="D298" s="72">
        <v>43514</v>
      </c>
      <c r="E298">
        <v>1583449</v>
      </c>
      <c r="F298" s="3">
        <v>22002.92</v>
      </c>
      <c r="G298" s="73">
        <v>43518</v>
      </c>
      <c r="H298" s="70">
        <f t="shared" si="14"/>
        <v>1497.0800000000017</v>
      </c>
      <c r="I298" s="70">
        <f t="shared" si="15"/>
        <v>3260.7084000000177</v>
      </c>
    </row>
    <row r="299" spans="1:9" x14ac:dyDescent="0.25">
      <c r="A299" t="s">
        <v>2379</v>
      </c>
      <c r="B299" s="3">
        <v>22500</v>
      </c>
      <c r="C299" s="3" t="s">
        <v>33</v>
      </c>
      <c r="D299" s="72">
        <v>43516</v>
      </c>
      <c r="E299">
        <v>1584378</v>
      </c>
      <c r="F299" s="3">
        <v>22654.92</v>
      </c>
      <c r="G299" s="73">
        <v>43522</v>
      </c>
      <c r="H299" s="70">
        <f t="shared" si="14"/>
        <v>-154.91999999999825</v>
      </c>
      <c r="I299" s="70">
        <f t="shared" si="15"/>
        <v>3105.7884000000195</v>
      </c>
    </row>
    <row r="300" spans="1:9" x14ac:dyDescent="0.25">
      <c r="A300" t="s">
        <v>2085</v>
      </c>
      <c r="B300" s="3">
        <v>21000</v>
      </c>
      <c r="C300" s="3" t="s">
        <v>275</v>
      </c>
      <c r="D300" s="72">
        <v>43517</v>
      </c>
      <c r="E300">
        <v>1585629</v>
      </c>
      <c r="F300" s="3">
        <v>22509.49</v>
      </c>
      <c r="G300" s="73">
        <v>43523</v>
      </c>
      <c r="H300" s="70">
        <f t="shared" ref="H300" si="18">B300-F300</f>
        <v>-1509.4900000000016</v>
      </c>
      <c r="I300" s="70">
        <f t="shared" ref="I300" si="19">I299+H300</f>
        <v>1596.2984000000179</v>
      </c>
    </row>
    <row r="301" spans="1:9" x14ac:dyDescent="0.25">
      <c r="A301" t="s">
        <v>2086</v>
      </c>
      <c r="B301" s="3">
        <v>22000</v>
      </c>
      <c r="C301" s="3" t="s">
        <v>29</v>
      </c>
      <c r="D301" s="72">
        <v>43521</v>
      </c>
      <c r="E301">
        <v>1586157</v>
      </c>
      <c r="F301" s="3">
        <v>23555.29</v>
      </c>
      <c r="G301" s="73">
        <v>43525</v>
      </c>
      <c r="H301" s="70">
        <f t="shared" si="14"/>
        <v>-1555.2900000000009</v>
      </c>
      <c r="I301" s="70">
        <f t="shared" si="15"/>
        <v>41.008400000016991</v>
      </c>
    </row>
    <row r="302" spans="1:9" x14ac:dyDescent="0.25">
      <c r="A302" t="s">
        <v>2087</v>
      </c>
      <c r="B302" s="3">
        <v>22000</v>
      </c>
      <c r="C302" s="3" t="s">
        <v>275</v>
      </c>
      <c r="D302" s="72">
        <v>43524</v>
      </c>
      <c r="E302">
        <v>1587910</v>
      </c>
      <c r="F302" s="3">
        <v>24397.13</v>
      </c>
      <c r="G302" s="73">
        <v>43530</v>
      </c>
      <c r="H302" s="70">
        <f t="shared" si="14"/>
        <v>-2397.130000000001</v>
      </c>
      <c r="I302" s="70">
        <f t="shared" si="15"/>
        <v>-2356.121599999984</v>
      </c>
    </row>
    <row r="303" spans="1:9" x14ac:dyDescent="0.25">
      <c r="A303" t="s">
        <v>2088</v>
      </c>
      <c r="B303" s="3">
        <v>27000</v>
      </c>
      <c r="C303" s="3" t="s">
        <v>29</v>
      </c>
      <c r="D303" s="72">
        <v>43528</v>
      </c>
      <c r="E303">
        <v>1589024</v>
      </c>
      <c r="F303" s="3">
        <v>24868.38</v>
      </c>
      <c r="G303" s="73">
        <v>43532</v>
      </c>
      <c r="H303" s="70">
        <f t="shared" si="14"/>
        <v>2131.619999999999</v>
      </c>
      <c r="I303" s="70">
        <f t="shared" si="15"/>
        <v>-224.50159999998505</v>
      </c>
    </row>
    <row r="304" spans="1:9" x14ac:dyDescent="0.25">
      <c r="A304" t="s">
        <v>2508</v>
      </c>
      <c r="B304" s="3">
        <v>26000</v>
      </c>
      <c r="C304" s="3" t="s">
        <v>41</v>
      </c>
      <c r="D304" s="72">
        <v>43538</v>
      </c>
      <c r="E304">
        <v>1590837</v>
      </c>
      <c r="F304" s="3">
        <v>26753.65</v>
      </c>
      <c r="G304" s="73">
        <v>43537</v>
      </c>
      <c r="H304" s="70">
        <f t="shared" ref="H304:H312" si="20">B304-F304</f>
        <v>-753.65000000000146</v>
      </c>
      <c r="I304" s="70">
        <f t="shared" ref="I304:I312" si="21">I303+H304</f>
        <v>-978.1515999999865</v>
      </c>
    </row>
    <row r="305" spans="1:10" x14ac:dyDescent="0.25">
      <c r="A305" t="s">
        <v>2509</v>
      </c>
      <c r="B305" s="3">
        <v>29000</v>
      </c>
      <c r="C305" s="3" t="s">
        <v>29</v>
      </c>
      <c r="D305" s="72">
        <v>43535</v>
      </c>
      <c r="E305">
        <v>1591402</v>
      </c>
      <c r="F305" s="3">
        <v>27364.03</v>
      </c>
      <c r="G305" s="73">
        <v>43539</v>
      </c>
      <c r="H305" s="70">
        <f t="shared" si="20"/>
        <v>1635.9700000000012</v>
      </c>
      <c r="I305" s="70">
        <f t="shared" si="21"/>
        <v>657.81840000001466</v>
      </c>
    </row>
    <row r="306" spans="1:10" x14ac:dyDescent="0.25">
      <c r="A306" t="s">
        <v>2510</v>
      </c>
      <c r="B306" s="3">
        <v>30000</v>
      </c>
      <c r="C306" s="3" t="s">
        <v>41</v>
      </c>
      <c r="D306" s="72">
        <v>43538</v>
      </c>
      <c r="E306">
        <v>1593440</v>
      </c>
      <c r="F306" s="3">
        <v>31424.1</v>
      </c>
      <c r="G306" s="73">
        <v>43544</v>
      </c>
      <c r="H306" s="70">
        <f t="shared" si="20"/>
        <v>-1424.0999999999985</v>
      </c>
      <c r="I306" s="70">
        <f t="shared" si="21"/>
        <v>-766.28159999998388</v>
      </c>
    </row>
    <row r="307" spans="1:10" x14ac:dyDescent="0.25">
      <c r="A307" t="s">
        <v>2511</v>
      </c>
      <c r="B307" s="3">
        <v>35000</v>
      </c>
      <c r="C307" s="3" t="s">
        <v>48</v>
      </c>
      <c r="D307" s="72">
        <v>43543</v>
      </c>
      <c r="E307">
        <v>1594407</v>
      </c>
      <c r="F307" s="3">
        <v>32692.080000000002</v>
      </c>
      <c r="G307" s="73">
        <v>43546</v>
      </c>
      <c r="H307" s="70">
        <f t="shared" ref="H307:H309" si="22">B307-F307</f>
        <v>2307.9199999999983</v>
      </c>
      <c r="I307" s="70">
        <f t="shared" ref="I307:I309" si="23">I306+H307</f>
        <v>1541.6384000000144</v>
      </c>
    </row>
    <row r="308" spans="1:10" x14ac:dyDescent="0.25">
      <c r="A308" t="s">
        <v>2742</v>
      </c>
      <c r="B308" s="3">
        <v>35500</v>
      </c>
      <c r="C308" s="3" t="s">
        <v>33</v>
      </c>
      <c r="D308" s="72">
        <v>43544</v>
      </c>
      <c r="E308">
        <v>1597081</v>
      </c>
      <c r="F308" s="3">
        <v>36249.58</v>
      </c>
      <c r="G308" s="73">
        <v>43550</v>
      </c>
      <c r="H308" s="70">
        <f t="shared" si="22"/>
        <v>-749.58000000000175</v>
      </c>
      <c r="I308" s="70">
        <f t="shared" si="23"/>
        <v>792.05840000001263</v>
      </c>
    </row>
    <row r="309" spans="1:10" x14ac:dyDescent="0.25">
      <c r="A309" t="s">
        <v>2512</v>
      </c>
      <c r="B309" s="3">
        <v>35000</v>
      </c>
      <c r="C309" s="3" t="s">
        <v>41</v>
      </c>
      <c r="D309" s="72">
        <v>43545</v>
      </c>
      <c r="E309">
        <v>1596389</v>
      </c>
      <c r="F309" s="3">
        <v>35624.11</v>
      </c>
      <c r="G309" s="73">
        <v>43551</v>
      </c>
      <c r="H309" s="70">
        <f t="shared" si="22"/>
        <v>-624.11000000000058</v>
      </c>
      <c r="I309" s="70">
        <f t="shared" si="23"/>
        <v>167.94840000001204</v>
      </c>
    </row>
    <row r="310" spans="1:10" x14ac:dyDescent="0.25">
      <c r="A310" t="s">
        <v>2513</v>
      </c>
      <c r="C310" s="3" t="s">
        <v>29</v>
      </c>
      <c r="D310" s="72">
        <v>43549</v>
      </c>
      <c r="E310" s="48" t="s">
        <v>230</v>
      </c>
      <c r="G310" s="48" t="s">
        <v>230</v>
      </c>
      <c r="H310" s="70">
        <f t="shared" si="20"/>
        <v>0</v>
      </c>
      <c r="I310" s="70">
        <f t="shared" si="21"/>
        <v>167.94840000001204</v>
      </c>
      <c r="J310" t="s">
        <v>3025</v>
      </c>
    </row>
    <row r="311" spans="1:10" x14ac:dyDescent="0.25">
      <c r="A311" t="s">
        <v>2514</v>
      </c>
      <c r="B311" s="3">
        <v>37000</v>
      </c>
      <c r="C311" s="3" t="s">
        <v>41</v>
      </c>
      <c r="D311" s="72">
        <v>43549</v>
      </c>
      <c r="E311">
        <v>1598768</v>
      </c>
      <c r="F311" s="3">
        <v>34178.93</v>
      </c>
      <c r="G311" s="73">
        <v>43559</v>
      </c>
      <c r="H311" s="70">
        <f t="shared" si="20"/>
        <v>2821.0699999999997</v>
      </c>
      <c r="I311" s="70">
        <f t="shared" si="21"/>
        <v>2989.0184000000118</v>
      </c>
    </row>
    <row r="312" spans="1:10" x14ac:dyDescent="0.25">
      <c r="A312" t="s">
        <v>2515</v>
      </c>
      <c r="B312" s="3">
        <v>34000</v>
      </c>
      <c r="C312" s="3" t="s">
        <v>45</v>
      </c>
      <c r="D312" s="72">
        <v>43553</v>
      </c>
      <c r="E312">
        <v>1599533</v>
      </c>
      <c r="F312" s="3">
        <v>30817.71</v>
      </c>
      <c r="G312" s="73">
        <v>43560</v>
      </c>
      <c r="H312" s="70">
        <f t="shared" si="20"/>
        <v>3182.2900000000009</v>
      </c>
      <c r="I312" s="70">
        <f t="shared" si="21"/>
        <v>6171.3084000000126</v>
      </c>
    </row>
    <row r="313" spans="1:10" x14ac:dyDescent="0.25">
      <c r="A313" t="s">
        <v>2871</v>
      </c>
      <c r="B313" s="3">
        <v>29000</v>
      </c>
      <c r="C313" s="3" t="s">
        <v>41</v>
      </c>
      <c r="D313" s="72">
        <v>43559</v>
      </c>
      <c r="E313">
        <v>1601533</v>
      </c>
      <c r="F313" s="193">
        <v>30114.37</v>
      </c>
      <c r="G313" s="73">
        <v>43565</v>
      </c>
      <c r="H313" s="70">
        <f t="shared" ref="H313:H328" si="24">B313-F313</f>
        <v>-1114.369999999999</v>
      </c>
      <c r="I313" s="70">
        <f t="shared" ref="I313:I328" si="25">I312+H313</f>
        <v>5056.9384000000136</v>
      </c>
    </row>
    <row r="314" spans="1:10" x14ac:dyDescent="0.25">
      <c r="A314" t="s">
        <v>2872</v>
      </c>
      <c r="B314" s="3">
        <v>27000</v>
      </c>
      <c r="C314" s="3" t="s">
        <v>29</v>
      </c>
      <c r="D314" s="72">
        <v>43563</v>
      </c>
      <c r="E314">
        <v>1602219</v>
      </c>
      <c r="F314" s="193">
        <v>31654.55</v>
      </c>
      <c r="G314" s="73">
        <v>43567</v>
      </c>
      <c r="H314" s="70">
        <f t="shared" si="24"/>
        <v>-4654.5499999999993</v>
      </c>
      <c r="I314" s="70">
        <f t="shared" si="25"/>
        <v>402.38840000001437</v>
      </c>
    </row>
    <row r="315" spans="1:10" x14ac:dyDescent="0.25">
      <c r="A315" t="s">
        <v>2873</v>
      </c>
      <c r="B315" s="3">
        <v>31000</v>
      </c>
      <c r="C315" s="3" t="s">
        <v>41</v>
      </c>
      <c r="D315" s="72">
        <v>43566</v>
      </c>
      <c r="E315">
        <v>1604239</v>
      </c>
      <c r="F315" s="193">
        <v>29786.799999999999</v>
      </c>
      <c r="G315" s="73">
        <v>43572</v>
      </c>
      <c r="H315" s="70">
        <f t="shared" si="24"/>
        <v>1213.2000000000007</v>
      </c>
      <c r="I315" s="70">
        <f t="shared" si="25"/>
        <v>1615.5884000000151</v>
      </c>
    </row>
    <row r="316" spans="1:10" x14ac:dyDescent="0.25">
      <c r="A316" t="s">
        <v>2874</v>
      </c>
      <c r="B316" s="3">
        <v>33000</v>
      </c>
      <c r="C316" s="3" t="s">
        <v>45</v>
      </c>
      <c r="D316" s="72">
        <v>43567</v>
      </c>
      <c r="E316">
        <v>1605005</v>
      </c>
      <c r="F316" s="193">
        <v>31119.8</v>
      </c>
      <c r="G316" s="73">
        <v>43573</v>
      </c>
      <c r="H316" s="70">
        <f t="shared" si="24"/>
        <v>1880.2000000000007</v>
      </c>
      <c r="I316" s="70">
        <f t="shared" si="25"/>
        <v>3495.7884000000158</v>
      </c>
    </row>
    <row r="317" spans="1:10" x14ac:dyDescent="0.25">
      <c r="A317" t="s">
        <v>2875</v>
      </c>
      <c r="B317" s="3">
        <v>29000</v>
      </c>
      <c r="C317" s="3" t="s">
        <v>33</v>
      </c>
      <c r="D317" s="72">
        <v>43572</v>
      </c>
      <c r="E317">
        <v>1606986</v>
      </c>
      <c r="F317" s="193">
        <v>32329.33</v>
      </c>
      <c r="G317" s="73">
        <v>43579</v>
      </c>
      <c r="H317" s="70">
        <f t="shared" si="24"/>
        <v>-3329.3300000000017</v>
      </c>
      <c r="I317" s="70">
        <f t="shared" si="25"/>
        <v>166.45840000001408</v>
      </c>
    </row>
    <row r="318" spans="1:10" x14ac:dyDescent="0.25">
      <c r="A318" t="s">
        <v>2876</v>
      </c>
      <c r="B318" s="3">
        <v>36000</v>
      </c>
      <c r="C318" s="3" t="s">
        <v>41</v>
      </c>
      <c r="D318" s="72">
        <v>43573</v>
      </c>
      <c r="E318">
        <v>1607819</v>
      </c>
      <c r="F318" s="193">
        <v>35103.24</v>
      </c>
      <c r="G318" s="73">
        <v>43581</v>
      </c>
      <c r="H318" s="70">
        <f t="shared" si="24"/>
        <v>896.76000000000204</v>
      </c>
      <c r="I318" s="70">
        <f t="shared" si="25"/>
        <v>1063.2184000000161</v>
      </c>
    </row>
    <row r="319" spans="1:10" x14ac:dyDescent="0.25">
      <c r="A319" t="s">
        <v>2877</v>
      </c>
      <c r="B319" s="3">
        <v>36000</v>
      </c>
      <c r="C319" s="3" t="s">
        <v>41</v>
      </c>
      <c r="D319" s="72">
        <v>43580</v>
      </c>
      <c r="E319">
        <v>1610137</v>
      </c>
      <c r="F319" s="193">
        <v>34883.25</v>
      </c>
      <c r="G319" s="73">
        <v>43587</v>
      </c>
      <c r="H319" s="70">
        <f t="shared" si="24"/>
        <v>1116.75</v>
      </c>
      <c r="I319" s="70">
        <f t="shared" si="25"/>
        <v>2179.9684000000161</v>
      </c>
    </row>
    <row r="320" spans="1:10" x14ac:dyDescent="0.25">
      <c r="A320" t="s">
        <v>2878</v>
      </c>
      <c r="B320" s="3">
        <v>37000</v>
      </c>
      <c r="C320" s="3" t="s">
        <v>29</v>
      </c>
      <c r="D320" s="72">
        <v>43584</v>
      </c>
      <c r="E320">
        <v>1610537</v>
      </c>
      <c r="F320" s="193">
        <v>34990.660000000003</v>
      </c>
      <c r="G320" s="73">
        <v>43588</v>
      </c>
      <c r="H320" s="70">
        <f t="shared" si="24"/>
        <v>2009.3399999999965</v>
      </c>
      <c r="I320" s="70">
        <f t="shared" si="25"/>
        <v>4189.3084000000126</v>
      </c>
    </row>
    <row r="321" spans="1:9" x14ac:dyDescent="0.25">
      <c r="A321" t="s">
        <v>2879</v>
      </c>
      <c r="B321" s="3">
        <v>33000</v>
      </c>
      <c r="C321" s="3" t="s">
        <v>41</v>
      </c>
      <c r="D321" s="72">
        <v>43587</v>
      </c>
      <c r="E321">
        <v>1612754</v>
      </c>
      <c r="F321" s="193">
        <v>34507.230000000003</v>
      </c>
      <c r="G321" s="73">
        <v>43593</v>
      </c>
      <c r="H321" s="70">
        <f t="shared" si="24"/>
        <v>-1507.2300000000032</v>
      </c>
      <c r="I321" s="70">
        <f t="shared" si="25"/>
        <v>2682.0784000000094</v>
      </c>
    </row>
    <row r="322" spans="1:9" x14ac:dyDescent="0.25">
      <c r="A322" t="s">
        <v>2880</v>
      </c>
      <c r="B322" s="3">
        <v>33000</v>
      </c>
      <c r="C322" s="3" t="s">
        <v>29</v>
      </c>
      <c r="D322" s="72">
        <v>43591</v>
      </c>
      <c r="E322">
        <v>1613067</v>
      </c>
      <c r="F322" s="193">
        <v>35655.25</v>
      </c>
      <c r="G322" s="73">
        <v>43595</v>
      </c>
      <c r="H322" s="70">
        <f t="shared" si="24"/>
        <v>-2655.25</v>
      </c>
      <c r="I322" s="70">
        <f t="shared" si="25"/>
        <v>26.828400000009424</v>
      </c>
    </row>
    <row r="323" spans="1:9" x14ac:dyDescent="0.25">
      <c r="A323" t="s">
        <v>3370</v>
      </c>
      <c r="B323" s="3">
        <v>37000</v>
      </c>
      <c r="C323" s="3" t="s">
        <v>41</v>
      </c>
      <c r="D323" s="72">
        <v>43594</v>
      </c>
      <c r="E323">
        <v>1615033</v>
      </c>
      <c r="F323" s="193">
        <v>35834.129999999997</v>
      </c>
      <c r="G323" s="73">
        <v>43600</v>
      </c>
      <c r="H323" s="70">
        <f t="shared" si="24"/>
        <v>1165.8700000000026</v>
      </c>
      <c r="I323" s="70">
        <f t="shared" si="25"/>
        <v>1192.698400000012</v>
      </c>
    </row>
    <row r="324" spans="1:9" x14ac:dyDescent="0.25">
      <c r="A324" t="s">
        <v>3371</v>
      </c>
      <c r="B324" s="3">
        <v>37000</v>
      </c>
      <c r="C324" s="3" t="s">
        <v>29</v>
      </c>
      <c r="D324" s="72">
        <v>43598</v>
      </c>
      <c r="E324">
        <v>1615710</v>
      </c>
      <c r="F324" s="193">
        <v>37464.629999999997</v>
      </c>
      <c r="G324" s="73">
        <v>43602</v>
      </c>
      <c r="H324" s="70">
        <f t="shared" si="24"/>
        <v>-464.62999999999738</v>
      </c>
      <c r="I324" s="70">
        <f t="shared" si="25"/>
        <v>728.06840000001466</v>
      </c>
    </row>
    <row r="325" spans="1:9" x14ac:dyDescent="0.25">
      <c r="A325" t="s">
        <v>3372</v>
      </c>
      <c r="B325" s="3">
        <v>37500</v>
      </c>
      <c r="C325" s="3" t="s">
        <v>41</v>
      </c>
      <c r="D325" s="72">
        <v>43601</v>
      </c>
      <c r="E325">
        <v>1617722</v>
      </c>
      <c r="F325" s="193">
        <v>37791.370000000003</v>
      </c>
      <c r="G325" s="73">
        <v>43607</v>
      </c>
      <c r="H325" s="70">
        <f t="shared" si="24"/>
        <v>-291.37000000000262</v>
      </c>
      <c r="I325" s="70">
        <f t="shared" si="25"/>
        <v>436.69840000001204</v>
      </c>
    </row>
    <row r="326" spans="1:9" x14ac:dyDescent="0.25">
      <c r="A326" t="s">
        <v>3373</v>
      </c>
      <c r="B326" s="3">
        <v>38500</v>
      </c>
      <c r="C326" s="3" t="s">
        <v>228</v>
      </c>
      <c r="D326" s="72">
        <v>43605</v>
      </c>
      <c r="E326">
        <v>1618441</v>
      </c>
      <c r="F326" s="193">
        <v>38409.03</v>
      </c>
      <c r="G326" s="73">
        <v>43609</v>
      </c>
      <c r="H326" s="70">
        <f t="shared" si="24"/>
        <v>90.970000000001164</v>
      </c>
      <c r="I326" s="70">
        <f t="shared" si="25"/>
        <v>527.66840000001321</v>
      </c>
    </row>
    <row r="327" spans="1:9" x14ac:dyDescent="0.25">
      <c r="A327" t="s">
        <v>3374</v>
      </c>
      <c r="B327" s="3">
        <v>38500</v>
      </c>
      <c r="C327" s="3" t="s">
        <v>41</v>
      </c>
      <c r="D327" s="72">
        <v>43608</v>
      </c>
      <c r="E327">
        <v>1620749</v>
      </c>
      <c r="F327" s="193">
        <v>38310.269999999997</v>
      </c>
      <c r="G327" s="73">
        <v>43614</v>
      </c>
      <c r="H327" s="70">
        <f t="shared" si="24"/>
        <v>189.7300000000032</v>
      </c>
      <c r="I327" s="70">
        <f t="shared" si="25"/>
        <v>717.39840000001641</v>
      </c>
    </row>
    <row r="328" spans="1:9" x14ac:dyDescent="0.25">
      <c r="A328" t="s">
        <v>3375</v>
      </c>
      <c r="B328" s="3">
        <v>40000</v>
      </c>
      <c r="C328" s="3" t="s">
        <v>29</v>
      </c>
      <c r="D328" s="72">
        <v>43612</v>
      </c>
      <c r="E328">
        <v>1620750</v>
      </c>
      <c r="F328" s="193">
        <v>38937.14</v>
      </c>
      <c r="G328" s="73">
        <v>43616</v>
      </c>
      <c r="H328" s="70">
        <f t="shared" si="24"/>
        <v>1062.8600000000006</v>
      </c>
      <c r="I328" s="70">
        <f t="shared" si="25"/>
        <v>1780.258400000017</v>
      </c>
    </row>
    <row r="329" spans="1:9" x14ac:dyDescent="0.25">
      <c r="A329" t="s">
        <v>3376</v>
      </c>
      <c r="B329" s="3">
        <v>39500</v>
      </c>
      <c r="C329" s="3" t="s">
        <v>41</v>
      </c>
      <c r="D329" s="72">
        <v>43615</v>
      </c>
      <c r="E329">
        <v>1622864</v>
      </c>
      <c r="F329" s="193">
        <v>38940.03</v>
      </c>
      <c r="G329" s="73">
        <v>43621</v>
      </c>
      <c r="H329" s="70">
        <f t="shared" ref="H329:H330" si="26">B329-F329</f>
        <v>559.97000000000116</v>
      </c>
      <c r="I329" s="70">
        <f t="shared" ref="I329:I330" si="27">I328+H329</f>
        <v>2340.2284000000182</v>
      </c>
    </row>
    <row r="330" spans="1:9" x14ac:dyDescent="0.25">
      <c r="A330" t="s">
        <v>3377</v>
      </c>
      <c r="B330" s="3">
        <v>40000</v>
      </c>
      <c r="C330" s="3" t="s">
        <v>29</v>
      </c>
      <c r="D330" s="72">
        <v>43619</v>
      </c>
      <c r="E330">
        <v>1623913</v>
      </c>
      <c r="F330" s="193">
        <v>40363.25</v>
      </c>
      <c r="G330" s="73">
        <v>43623</v>
      </c>
      <c r="H330" s="70">
        <f t="shared" si="26"/>
        <v>-363.25</v>
      </c>
      <c r="I330" s="70">
        <f t="shared" si="27"/>
        <v>1976.9784000000182</v>
      </c>
    </row>
    <row r="331" spans="1:9" x14ac:dyDescent="0.25">
      <c r="A331" t="s">
        <v>3760</v>
      </c>
      <c r="B331" s="3">
        <v>40000</v>
      </c>
      <c r="C331" s="3" t="s">
        <v>41</v>
      </c>
      <c r="D331" s="72">
        <v>43622</v>
      </c>
      <c r="E331">
        <v>1626054</v>
      </c>
      <c r="F331" s="193">
        <v>39462.32</v>
      </c>
      <c r="G331" s="73">
        <v>43628</v>
      </c>
      <c r="H331" s="70">
        <f t="shared" ref="H331:H342" si="28">B331-F331</f>
        <v>537.68000000000029</v>
      </c>
      <c r="I331" s="70">
        <f t="shared" ref="I331:I342" si="29">I330+H331</f>
        <v>2514.6584000000184</v>
      </c>
    </row>
    <row r="332" spans="1:9" x14ac:dyDescent="0.25">
      <c r="A332" t="s">
        <v>3761</v>
      </c>
      <c r="B332" s="3">
        <v>40500</v>
      </c>
      <c r="C332" s="3" t="s">
        <v>29</v>
      </c>
      <c r="D332" s="72">
        <v>43626</v>
      </c>
      <c r="E332">
        <v>1626430</v>
      </c>
      <c r="F332" s="193">
        <v>37256.620000000003</v>
      </c>
      <c r="G332" s="73">
        <v>43630</v>
      </c>
      <c r="H332" s="70">
        <f t="shared" si="28"/>
        <v>3243.3799999999974</v>
      </c>
      <c r="I332" s="70">
        <f t="shared" si="29"/>
        <v>5758.0384000000158</v>
      </c>
    </row>
    <row r="333" spans="1:9" x14ac:dyDescent="0.25">
      <c r="A333" t="s">
        <v>3762</v>
      </c>
      <c r="B333" s="3">
        <v>39000</v>
      </c>
      <c r="C333" s="3" t="s">
        <v>41</v>
      </c>
      <c r="D333" s="72">
        <v>43629</v>
      </c>
      <c r="E333">
        <v>1628415</v>
      </c>
      <c r="F333" s="193">
        <v>36963.94</v>
      </c>
      <c r="G333" s="73">
        <v>43635</v>
      </c>
      <c r="H333" s="70">
        <f t="shared" si="28"/>
        <v>2036.0599999999977</v>
      </c>
      <c r="I333" s="70">
        <f t="shared" si="29"/>
        <v>7794.0984000000135</v>
      </c>
    </row>
    <row r="334" spans="1:9" x14ac:dyDescent="0.25">
      <c r="A334" t="s">
        <v>3763</v>
      </c>
      <c r="B334" s="3">
        <v>0</v>
      </c>
      <c r="C334" s="3" t="s">
        <v>29</v>
      </c>
      <c r="D334" s="72">
        <v>43633</v>
      </c>
      <c r="E334" s="48" t="s">
        <v>230</v>
      </c>
      <c r="F334" s="50"/>
      <c r="G334" s="48" t="s">
        <v>230</v>
      </c>
      <c r="H334" s="70">
        <f t="shared" si="28"/>
        <v>0</v>
      </c>
      <c r="I334" s="70">
        <f t="shared" si="29"/>
        <v>7794.0984000000135</v>
      </c>
    </row>
    <row r="335" spans="1:9" x14ac:dyDescent="0.25">
      <c r="A335" t="s">
        <v>3769</v>
      </c>
      <c r="B335" s="3">
        <v>32000</v>
      </c>
      <c r="C335" s="3" t="s">
        <v>33</v>
      </c>
      <c r="D335" s="72">
        <v>43635</v>
      </c>
      <c r="E335">
        <v>1630329</v>
      </c>
      <c r="F335" s="193">
        <v>31552.63</v>
      </c>
      <c r="G335" s="73">
        <v>43641</v>
      </c>
      <c r="H335" s="70">
        <f t="shared" ref="H335:H338" si="30">B335-F335</f>
        <v>447.36999999999898</v>
      </c>
      <c r="I335" s="70">
        <f t="shared" ref="I335:I338" si="31">I334+H335</f>
        <v>8241.4684000000125</v>
      </c>
    </row>
    <row r="336" spans="1:9" x14ac:dyDescent="0.25">
      <c r="A336" t="s">
        <v>3764</v>
      </c>
      <c r="B336" s="3">
        <v>32000</v>
      </c>
      <c r="C336" s="3" t="s">
        <v>41</v>
      </c>
      <c r="D336" s="72">
        <v>43636</v>
      </c>
      <c r="E336">
        <v>1631578</v>
      </c>
      <c r="F336" s="193">
        <v>31962.48</v>
      </c>
      <c r="G336" s="73">
        <v>43643</v>
      </c>
      <c r="H336" s="70">
        <f t="shared" si="30"/>
        <v>37.520000000000437</v>
      </c>
      <c r="I336" s="70">
        <f t="shared" si="31"/>
        <v>8278.9884000000129</v>
      </c>
    </row>
    <row r="337" spans="1:9" x14ac:dyDescent="0.25">
      <c r="A337" t="s">
        <v>3765</v>
      </c>
      <c r="B337" s="3">
        <v>32000</v>
      </c>
      <c r="C337" s="3" t="s">
        <v>29</v>
      </c>
      <c r="D337" s="72">
        <v>43633</v>
      </c>
      <c r="E337">
        <v>1631579</v>
      </c>
      <c r="F337" s="193">
        <v>31942.03</v>
      </c>
      <c r="G337" s="73">
        <v>43644</v>
      </c>
      <c r="H337" s="70">
        <f t="shared" si="30"/>
        <v>57.970000000001164</v>
      </c>
      <c r="I337" s="70">
        <f t="shared" si="31"/>
        <v>8336.9584000000141</v>
      </c>
    </row>
    <row r="338" spans="1:9" x14ac:dyDescent="0.25">
      <c r="A338" t="s">
        <v>3766</v>
      </c>
      <c r="B338" s="3">
        <v>29000</v>
      </c>
      <c r="C338" s="3" t="s">
        <v>41</v>
      </c>
      <c r="D338" s="72">
        <v>43643</v>
      </c>
      <c r="E338">
        <v>1634198</v>
      </c>
      <c r="F338" s="193">
        <v>30141.01</v>
      </c>
      <c r="G338" s="73">
        <v>43649</v>
      </c>
      <c r="H338" s="70">
        <f t="shared" si="30"/>
        <v>-1141.0099999999984</v>
      </c>
      <c r="I338" s="70">
        <f t="shared" si="31"/>
        <v>7195.9484000000157</v>
      </c>
    </row>
    <row r="339" spans="1:9" x14ac:dyDescent="0.25">
      <c r="A339" t="s">
        <v>3767</v>
      </c>
      <c r="B339" s="3">
        <v>29000</v>
      </c>
      <c r="C339" s="3" t="s">
        <v>41</v>
      </c>
      <c r="D339" s="72">
        <v>43643</v>
      </c>
      <c r="E339">
        <v>1634199</v>
      </c>
      <c r="F339" s="193">
        <v>30309.38</v>
      </c>
      <c r="G339" s="73">
        <v>43649</v>
      </c>
      <c r="H339" s="70">
        <f t="shared" si="28"/>
        <v>-1309.380000000001</v>
      </c>
      <c r="I339" s="70">
        <f t="shared" si="29"/>
        <v>5886.5684000000147</v>
      </c>
    </row>
    <row r="340" spans="1:9" x14ac:dyDescent="0.25">
      <c r="A340" t="s">
        <v>3768</v>
      </c>
      <c r="B340" s="3">
        <v>29000</v>
      </c>
      <c r="C340" s="3" t="s">
        <v>29</v>
      </c>
      <c r="D340" s="72">
        <v>43647</v>
      </c>
      <c r="E340">
        <v>1634549</v>
      </c>
      <c r="F340" s="193">
        <v>30499.56</v>
      </c>
      <c r="G340" s="73">
        <v>43651</v>
      </c>
      <c r="H340" s="70">
        <f t="shared" si="28"/>
        <v>-1499.5600000000013</v>
      </c>
      <c r="I340" s="70">
        <f t="shared" si="29"/>
        <v>4387.0084000000134</v>
      </c>
    </row>
    <row r="341" spans="1:9" x14ac:dyDescent="0.25">
      <c r="A341" t="s">
        <v>3770</v>
      </c>
      <c r="B341" s="3">
        <v>30000</v>
      </c>
      <c r="C341" s="3" t="s">
        <v>33</v>
      </c>
      <c r="D341" s="72">
        <v>43649</v>
      </c>
      <c r="E341">
        <v>1636901</v>
      </c>
      <c r="F341" s="193">
        <v>29072.95</v>
      </c>
      <c r="G341" s="73">
        <v>43656</v>
      </c>
      <c r="H341" s="70">
        <f t="shared" si="28"/>
        <v>927.04999999999927</v>
      </c>
      <c r="I341" s="70">
        <f t="shared" si="29"/>
        <v>5314.0584000000126</v>
      </c>
    </row>
    <row r="342" spans="1:9" x14ac:dyDescent="0.25">
      <c r="A342" t="s">
        <v>3771</v>
      </c>
      <c r="B342" s="3">
        <v>29000</v>
      </c>
      <c r="C342" s="3" t="s">
        <v>29</v>
      </c>
      <c r="D342" s="72">
        <v>43654</v>
      </c>
      <c r="E342">
        <v>1636902</v>
      </c>
      <c r="F342" s="193">
        <v>30546.06</v>
      </c>
      <c r="G342" s="73">
        <v>43658</v>
      </c>
      <c r="H342" s="70">
        <f t="shared" si="28"/>
        <v>-1546.0600000000013</v>
      </c>
      <c r="I342" s="70">
        <f t="shared" si="29"/>
        <v>3767.9984000000113</v>
      </c>
    </row>
    <row r="343" spans="1:9" x14ac:dyDescent="0.25">
      <c r="A343" t="s">
        <v>4109</v>
      </c>
      <c r="B343" s="3">
        <v>31000</v>
      </c>
      <c r="C343" s="3" t="s">
        <v>41</v>
      </c>
      <c r="D343" s="72">
        <v>43657</v>
      </c>
      <c r="E343">
        <v>1638869</v>
      </c>
      <c r="F343" s="193">
        <v>32320.43</v>
      </c>
      <c r="G343" s="73">
        <v>43633</v>
      </c>
      <c r="H343" s="70">
        <f t="shared" ref="H343:H354" si="32">B343-F343</f>
        <v>-1320.4300000000003</v>
      </c>
      <c r="I343" s="70">
        <f t="shared" ref="I343:I354" si="33">I342+H343</f>
        <v>2447.568400000011</v>
      </c>
    </row>
    <row r="344" spans="1:9" x14ac:dyDescent="0.25">
      <c r="A344" t="s">
        <v>4110</v>
      </c>
      <c r="B344" s="3">
        <v>32500</v>
      </c>
      <c r="C344" s="3" t="s">
        <v>29</v>
      </c>
      <c r="D344" s="72">
        <v>43661</v>
      </c>
      <c r="E344">
        <v>1639867</v>
      </c>
      <c r="F344" s="193">
        <v>33264.089999999997</v>
      </c>
      <c r="G344" s="73">
        <v>43665</v>
      </c>
      <c r="H344" s="70">
        <f t="shared" si="32"/>
        <v>-764.08999999999651</v>
      </c>
      <c r="I344" s="70">
        <f t="shared" si="33"/>
        <v>1683.4784000000145</v>
      </c>
    </row>
    <row r="345" spans="1:9" x14ac:dyDescent="0.25">
      <c r="A345" t="s">
        <v>4111</v>
      </c>
      <c r="B345" s="3">
        <v>34500</v>
      </c>
      <c r="C345" s="3" t="s">
        <v>41</v>
      </c>
      <c r="D345" s="72">
        <v>43664</v>
      </c>
      <c r="E345">
        <v>1641723</v>
      </c>
      <c r="F345" s="193">
        <v>35335.089999999997</v>
      </c>
      <c r="G345" s="73">
        <v>43670</v>
      </c>
      <c r="H345" s="70">
        <f t="shared" ref="H345:H347" si="34">B345-F345</f>
        <v>-835.08999999999651</v>
      </c>
      <c r="I345" s="70">
        <f t="shared" ref="I345:I347" si="35">I344+H345</f>
        <v>848.38840000001801</v>
      </c>
    </row>
    <row r="346" spans="1:9" x14ac:dyDescent="0.25">
      <c r="A346" t="s">
        <v>4116</v>
      </c>
      <c r="B346" s="3">
        <v>35000</v>
      </c>
      <c r="C346" s="3" t="s">
        <v>45</v>
      </c>
      <c r="D346" s="72">
        <v>43665</v>
      </c>
      <c r="E346">
        <v>1642082</v>
      </c>
      <c r="F346" s="193">
        <v>35458.089999999997</v>
      </c>
      <c r="G346" s="73">
        <v>43671</v>
      </c>
      <c r="H346" s="70">
        <f t="shared" si="34"/>
        <v>-458.08999999999651</v>
      </c>
      <c r="I346" s="70">
        <f t="shared" si="35"/>
        <v>390.2984000000215</v>
      </c>
    </row>
    <row r="347" spans="1:9" x14ac:dyDescent="0.25">
      <c r="A347" t="s">
        <v>4112</v>
      </c>
      <c r="B347" s="3">
        <v>38000</v>
      </c>
      <c r="C347" s="3" t="s">
        <v>29</v>
      </c>
      <c r="D347" s="72">
        <v>43668</v>
      </c>
      <c r="E347">
        <v>1642081</v>
      </c>
      <c r="F347" s="193">
        <v>32262.85</v>
      </c>
      <c r="G347" s="73">
        <v>43672</v>
      </c>
      <c r="H347" s="70">
        <f t="shared" si="34"/>
        <v>5737.1500000000015</v>
      </c>
      <c r="I347" s="70">
        <f t="shared" si="35"/>
        <v>6127.448400000023</v>
      </c>
    </row>
    <row r="348" spans="1:9" x14ac:dyDescent="0.25">
      <c r="A348" t="s">
        <v>4113</v>
      </c>
      <c r="B348" s="3">
        <v>40000</v>
      </c>
      <c r="C348" s="3" t="s">
        <v>41</v>
      </c>
      <c r="D348" s="72">
        <v>43671</v>
      </c>
      <c r="E348">
        <v>1644088</v>
      </c>
      <c r="F348" s="193">
        <v>34630.720000000001</v>
      </c>
      <c r="G348" s="73">
        <v>43677</v>
      </c>
      <c r="H348" s="70">
        <f t="shared" si="32"/>
        <v>5369.2799999999988</v>
      </c>
      <c r="I348" s="70">
        <f t="shared" si="33"/>
        <v>11496.728400000022</v>
      </c>
    </row>
    <row r="349" spans="1:9" x14ac:dyDescent="0.25">
      <c r="A349" t="s">
        <v>4114</v>
      </c>
      <c r="B349" s="3">
        <v>40000</v>
      </c>
      <c r="C349" s="3" t="s">
        <v>41</v>
      </c>
      <c r="D349" s="72">
        <v>43671</v>
      </c>
      <c r="E349">
        <v>1644089</v>
      </c>
      <c r="F349" s="193">
        <v>34463.120000000003</v>
      </c>
      <c r="G349" s="73">
        <v>43677</v>
      </c>
      <c r="H349" s="70">
        <f t="shared" si="32"/>
        <v>5536.8799999999974</v>
      </c>
      <c r="I349" s="70">
        <f t="shared" si="33"/>
        <v>17033.608400000019</v>
      </c>
    </row>
    <row r="350" spans="1:9" x14ac:dyDescent="0.25">
      <c r="A350" t="s">
        <v>4115</v>
      </c>
      <c r="B350" s="3">
        <v>42000</v>
      </c>
      <c r="C350" s="3" t="s">
        <v>228</v>
      </c>
      <c r="D350" s="72">
        <v>43675</v>
      </c>
      <c r="E350">
        <v>1646383</v>
      </c>
      <c r="F350" s="193">
        <v>41988.76</v>
      </c>
      <c r="G350" s="73">
        <v>43679</v>
      </c>
      <c r="H350" s="70">
        <f t="shared" si="32"/>
        <v>11.239999999997963</v>
      </c>
      <c r="I350" s="70">
        <f t="shared" si="33"/>
        <v>17044.848400000017</v>
      </c>
    </row>
    <row r="351" spans="1:9" x14ac:dyDescent="0.25">
      <c r="A351" t="s">
        <v>4117</v>
      </c>
      <c r="B351" s="3">
        <v>41000</v>
      </c>
      <c r="C351" s="3" t="s">
        <v>41</v>
      </c>
      <c r="D351" s="72">
        <v>43678</v>
      </c>
      <c r="E351">
        <v>1646763</v>
      </c>
      <c r="F351" s="193">
        <v>42438.89</v>
      </c>
      <c r="G351" s="73">
        <v>43684</v>
      </c>
      <c r="H351" s="70">
        <f t="shared" si="32"/>
        <v>-1438.8899999999994</v>
      </c>
      <c r="I351" s="70">
        <f t="shared" si="33"/>
        <v>15605.958400000018</v>
      </c>
    </row>
    <row r="352" spans="1:9" x14ac:dyDescent="0.25">
      <c r="A352" t="s">
        <v>4118</v>
      </c>
      <c r="B352" s="3">
        <v>35000</v>
      </c>
      <c r="C352" s="3" t="s">
        <v>45</v>
      </c>
      <c r="D352" s="72">
        <v>43679</v>
      </c>
      <c r="E352">
        <v>1647846</v>
      </c>
      <c r="F352" s="193">
        <v>41922.879999999997</v>
      </c>
      <c r="G352" s="73">
        <v>43685</v>
      </c>
      <c r="H352" s="70">
        <f t="shared" si="32"/>
        <v>-6922.8799999999974</v>
      </c>
      <c r="I352" s="70">
        <f t="shared" si="33"/>
        <v>8683.0784000000203</v>
      </c>
    </row>
    <row r="353" spans="1:9" x14ac:dyDescent="0.25">
      <c r="A353" t="s">
        <v>4119</v>
      </c>
      <c r="B353" s="3">
        <v>37000</v>
      </c>
      <c r="C353" s="3" t="s">
        <v>29</v>
      </c>
      <c r="D353" s="72">
        <v>43682</v>
      </c>
      <c r="E353">
        <v>1647847</v>
      </c>
      <c r="F353" s="193">
        <v>42880.88</v>
      </c>
      <c r="G353" s="73">
        <v>43687</v>
      </c>
      <c r="H353" s="70">
        <f t="shared" si="32"/>
        <v>-5880.8799999999974</v>
      </c>
      <c r="I353" s="70">
        <f t="shared" si="33"/>
        <v>2802.198400000023</v>
      </c>
    </row>
    <row r="354" spans="1:9" x14ac:dyDescent="0.25">
      <c r="A354" t="s">
        <v>4582</v>
      </c>
      <c r="B354" s="3">
        <v>40000</v>
      </c>
      <c r="C354" s="3" t="s">
        <v>41</v>
      </c>
      <c r="D354" s="72">
        <v>43685</v>
      </c>
      <c r="E354">
        <v>1649368</v>
      </c>
      <c r="F354" s="193">
        <v>41412.050000000003</v>
      </c>
      <c r="G354" s="73">
        <v>43690</v>
      </c>
      <c r="H354" s="70">
        <f t="shared" si="32"/>
        <v>-1412.0500000000029</v>
      </c>
      <c r="I354" s="70">
        <f t="shared" si="33"/>
        <v>1390.14840000002</v>
      </c>
    </row>
    <row r="355" spans="1:9" x14ac:dyDescent="0.25">
      <c r="A355" t="s">
        <v>4583</v>
      </c>
      <c r="B355" s="3">
        <v>44000</v>
      </c>
      <c r="C355" s="3" t="s">
        <v>29</v>
      </c>
      <c r="D355" s="72">
        <v>43689</v>
      </c>
      <c r="E355">
        <v>1650587</v>
      </c>
      <c r="F355" s="193">
        <v>37026.839999999997</v>
      </c>
      <c r="G355" s="73">
        <v>43693</v>
      </c>
      <c r="H355" s="70">
        <f t="shared" ref="H355:H363" si="36">B355-F355</f>
        <v>6973.1600000000035</v>
      </c>
      <c r="I355" s="70">
        <f t="shared" ref="I355:I363" si="37">I354+H355</f>
        <v>8363.3084000000235</v>
      </c>
    </row>
    <row r="356" spans="1:9" x14ac:dyDescent="0.25">
      <c r="A356" t="s">
        <v>4584</v>
      </c>
      <c r="B356" s="3">
        <v>44000</v>
      </c>
      <c r="C356" s="3" t="s">
        <v>41</v>
      </c>
      <c r="F356" s="50">
        <v>33000</v>
      </c>
      <c r="G356" s="73">
        <v>43698</v>
      </c>
      <c r="H356" s="70">
        <f t="shared" si="36"/>
        <v>11000</v>
      </c>
      <c r="I356" s="70">
        <f t="shared" si="37"/>
        <v>19363.308400000024</v>
      </c>
    </row>
    <row r="357" spans="1:9" x14ac:dyDescent="0.25">
      <c r="A357" t="s">
        <v>4585</v>
      </c>
      <c r="B357" s="3">
        <v>43000</v>
      </c>
      <c r="C357" s="3" t="s">
        <v>45</v>
      </c>
      <c r="F357" s="50">
        <v>33000</v>
      </c>
      <c r="G357" s="73">
        <v>43699</v>
      </c>
      <c r="H357" s="70">
        <f t="shared" si="36"/>
        <v>10000</v>
      </c>
      <c r="I357" s="70">
        <f t="shared" si="37"/>
        <v>29363.308400000024</v>
      </c>
    </row>
    <row r="358" spans="1:9" x14ac:dyDescent="0.25">
      <c r="A358" t="s">
        <v>4586</v>
      </c>
      <c r="B358" s="3">
        <v>15000</v>
      </c>
      <c r="C358" s="3" t="s">
        <v>29</v>
      </c>
      <c r="F358" s="50">
        <v>33000</v>
      </c>
      <c r="G358" s="73">
        <v>43700</v>
      </c>
      <c r="H358" s="70">
        <f t="shared" si="36"/>
        <v>-18000</v>
      </c>
      <c r="I358" s="70">
        <f t="shared" si="37"/>
        <v>11363.308400000024</v>
      </c>
    </row>
    <row r="359" spans="1:9" x14ac:dyDescent="0.25">
      <c r="A359" t="s">
        <v>4587</v>
      </c>
      <c r="F359" s="50"/>
      <c r="G359" s="73">
        <v>43705</v>
      </c>
      <c r="H359" s="70">
        <f t="shared" si="36"/>
        <v>0</v>
      </c>
      <c r="I359" s="70">
        <f t="shared" si="37"/>
        <v>11363.308400000024</v>
      </c>
    </row>
    <row r="360" spans="1:9" x14ac:dyDescent="0.25">
      <c r="A360" t="s">
        <v>4588</v>
      </c>
      <c r="F360" s="50"/>
      <c r="G360" s="73">
        <v>43707</v>
      </c>
      <c r="H360" s="70">
        <f t="shared" si="36"/>
        <v>0</v>
      </c>
      <c r="I360" s="70">
        <f t="shared" si="37"/>
        <v>11363.308400000024</v>
      </c>
    </row>
    <row r="361" spans="1:9" x14ac:dyDescent="0.25">
      <c r="A361" t="s">
        <v>4589</v>
      </c>
      <c r="F361" s="50"/>
      <c r="G361" s="73">
        <v>43712</v>
      </c>
      <c r="H361" s="70">
        <f t="shared" si="36"/>
        <v>0</v>
      </c>
      <c r="I361" s="70">
        <f t="shared" si="37"/>
        <v>11363.308400000024</v>
      </c>
    </row>
    <row r="362" spans="1:9" x14ac:dyDescent="0.25">
      <c r="A362" t="s">
        <v>4590</v>
      </c>
      <c r="F362" s="50"/>
      <c r="G362" s="73">
        <v>43713</v>
      </c>
      <c r="H362" s="70">
        <f t="shared" si="36"/>
        <v>0</v>
      </c>
      <c r="I362" s="70">
        <f t="shared" si="37"/>
        <v>11363.308400000024</v>
      </c>
    </row>
    <row r="363" spans="1:9" x14ac:dyDescent="0.25">
      <c r="A363" t="s">
        <v>4591</v>
      </c>
      <c r="F363" s="50"/>
      <c r="G363" s="73">
        <v>43714</v>
      </c>
      <c r="H363" s="70">
        <f t="shared" si="36"/>
        <v>0</v>
      </c>
      <c r="I363" s="70">
        <f t="shared" si="37"/>
        <v>11363.308400000024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54"/>
  <sheetViews>
    <sheetView topLeftCell="A229" workbookViewId="0">
      <selection activeCell="B252" sqref="B252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3" customWidth="1"/>
  </cols>
  <sheetData>
    <row r="1" spans="1:9" x14ac:dyDescent="0.25">
      <c r="B1" s="3"/>
      <c r="H1" s="3"/>
      <c r="I1" s="3"/>
    </row>
    <row r="2" spans="1:9" x14ac:dyDescent="0.25">
      <c r="A2" t="s">
        <v>509</v>
      </c>
      <c r="B2" s="3"/>
      <c r="C2" s="3"/>
      <c r="F2" s="3" t="s">
        <v>208</v>
      </c>
      <c r="G2" s="3"/>
      <c r="H2" s="3"/>
      <c r="I2" s="3"/>
    </row>
    <row r="3" spans="1:9" x14ac:dyDescent="0.25">
      <c r="B3" s="3"/>
      <c r="C3" s="3"/>
      <c r="G3" s="71" t="s">
        <v>209</v>
      </c>
      <c r="H3" s="3"/>
      <c r="I3" s="3"/>
    </row>
    <row r="4" spans="1:9" x14ac:dyDescent="0.25">
      <c r="A4" t="s">
        <v>210</v>
      </c>
      <c r="B4" s="3" t="s">
        <v>211</v>
      </c>
      <c r="C4" s="3" t="s">
        <v>12</v>
      </c>
      <c r="D4" t="s">
        <v>212</v>
      </c>
      <c r="E4" t="s">
        <v>213</v>
      </c>
      <c r="F4" s="3" t="s">
        <v>214</v>
      </c>
      <c r="G4" s="71" t="s">
        <v>215</v>
      </c>
      <c r="H4" s="3" t="s">
        <v>216</v>
      </c>
      <c r="I4" s="3" t="s">
        <v>217</v>
      </c>
    </row>
    <row r="5" spans="1:9" x14ac:dyDescent="0.25">
      <c r="A5" t="s">
        <v>510</v>
      </c>
      <c r="B5" s="3">
        <v>35000</v>
      </c>
      <c r="C5" s="72" t="s">
        <v>48</v>
      </c>
      <c r="D5" s="72">
        <v>42766</v>
      </c>
      <c r="E5" t="s">
        <v>511</v>
      </c>
      <c r="F5" s="3">
        <v>28528.240000000002</v>
      </c>
      <c r="G5" s="72">
        <v>42773</v>
      </c>
      <c r="H5" s="70">
        <f t="shared" ref="H5:H37" si="0">B5-F5</f>
        <v>6471.7599999999984</v>
      </c>
      <c r="I5" s="70">
        <f>H5</f>
        <v>6471.7599999999984</v>
      </c>
    </row>
    <row r="6" spans="1:9" x14ac:dyDescent="0.25">
      <c r="A6" t="s">
        <v>512</v>
      </c>
      <c r="B6" s="3">
        <v>25000</v>
      </c>
      <c r="C6" s="72" t="s">
        <v>48</v>
      </c>
      <c r="D6" s="72">
        <v>42773</v>
      </c>
      <c r="E6" t="s">
        <v>513</v>
      </c>
      <c r="F6" s="3">
        <v>29562.04</v>
      </c>
      <c r="G6" s="72">
        <v>42779</v>
      </c>
      <c r="H6" s="70">
        <f t="shared" si="0"/>
        <v>-4562.0400000000009</v>
      </c>
      <c r="I6" s="70">
        <f t="shared" ref="I6:I69" si="1">I5+H6</f>
        <v>1909.7199999999975</v>
      </c>
    </row>
    <row r="7" spans="1:9" x14ac:dyDescent="0.25">
      <c r="A7" t="s">
        <v>514</v>
      </c>
      <c r="B7" s="3">
        <v>33000</v>
      </c>
      <c r="C7" s="72" t="s">
        <v>48</v>
      </c>
      <c r="D7" s="72">
        <v>42780</v>
      </c>
      <c r="E7" t="s">
        <v>515</v>
      </c>
      <c r="F7" s="3">
        <v>27979.68</v>
      </c>
      <c r="G7" s="72">
        <v>42787</v>
      </c>
      <c r="H7" s="70">
        <f t="shared" si="0"/>
        <v>5020.32</v>
      </c>
      <c r="I7" s="70">
        <f t="shared" si="1"/>
        <v>6930.0399999999972</v>
      </c>
    </row>
    <row r="8" spans="1:9" x14ac:dyDescent="0.25">
      <c r="A8" t="s">
        <v>516</v>
      </c>
      <c r="B8" s="3">
        <v>25000</v>
      </c>
      <c r="C8" s="72" t="s">
        <v>48</v>
      </c>
      <c r="D8" s="72">
        <v>42787</v>
      </c>
      <c r="E8" t="s">
        <v>517</v>
      </c>
      <c r="F8" s="3">
        <v>26628.18</v>
      </c>
      <c r="G8" s="72">
        <v>42794</v>
      </c>
      <c r="H8" s="70">
        <f t="shared" si="0"/>
        <v>-1628.1800000000003</v>
      </c>
      <c r="I8" s="70">
        <f t="shared" si="1"/>
        <v>5301.8599999999969</v>
      </c>
    </row>
    <row r="9" spans="1:9" x14ac:dyDescent="0.25">
      <c r="A9" t="s">
        <v>518</v>
      </c>
      <c r="B9" s="3">
        <v>26000</v>
      </c>
      <c r="C9" s="72" t="s">
        <v>519</v>
      </c>
      <c r="D9" s="72">
        <v>42794</v>
      </c>
      <c r="E9" s="78" t="s">
        <v>520</v>
      </c>
      <c r="F9" s="3">
        <v>26792.67</v>
      </c>
      <c r="G9" s="72">
        <v>42800</v>
      </c>
      <c r="H9" s="70">
        <f t="shared" si="0"/>
        <v>-792.66999999999825</v>
      </c>
      <c r="I9" s="70">
        <f t="shared" si="1"/>
        <v>4509.1899999999987</v>
      </c>
    </row>
    <row r="10" spans="1:9" x14ac:dyDescent="0.25">
      <c r="A10" t="s">
        <v>521</v>
      </c>
      <c r="B10" s="3">
        <v>25000</v>
      </c>
      <c r="C10" s="72" t="s">
        <v>33</v>
      </c>
      <c r="D10" s="72">
        <v>42795</v>
      </c>
      <c r="E10" s="78" t="s">
        <v>522</v>
      </c>
      <c r="F10" s="3">
        <v>27532.16</v>
      </c>
      <c r="G10" s="72">
        <v>42801</v>
      </c>
      <c r="H10" s="70">
        <f t="shared" si="0"/>
        <v>-2532.16</v>
      </c>
      <c r="I10" s="70">
        <f t="shared" si="1"/>
        <v>1977.0299999999988</v>
      </c>
    </row>
    <row r="11" spans="1:9" x14ac:dyDescent="0.25">
      <c r="A11" t="s">
        <v>523</v>
      </c>
      <c r="B11" s="3">
        <v>30000</v>
      </c>
      <c r="C11" s="72" t="s">
        <v>48</v>
      </c>
      <c r="D11" s="72">
        <v>42801</v>
      </c>
      <c r="E11" s="78" t="s">
        <v>524</v>
      </c>
      <c r="F11" s="3">
        <v>29216.58</v>
      </c>
      <c r="G11" s="72">
        <v>42807</v>
      </c>
      <c r="H11" s="70">
        <f t="shared" si="0"/>
        <v>783.41999999999825</v>
      </c>
      <c r="I11" s="70">
        <f t="shared" si="1"/>
        <v>2760.4499999999971</v>
      </c>
    </row>
    <row r="12" spans="1:9" x14ac:dyDescent="0.25">
      <c r="A12" t="s">
        <v>525</v>
      </c>
      <c r="B12" s="3">
        <v>28000</v>
      </c>
      <c r="C12" s="72" t="s">
        <v>33</v>
      </c>
      <c r="D12" s="72">
        <v>42802</v>
      </c>
      <c r="E12" s="78" t="s">
        <v>526</v>
      </c>
      <c r="F12" s="3">
        <v>28948.47</v>
      </c>
      <c r="G12" s="72">
        <v>42808</v>
      </c>
      <c r="H12" s="70">
        <f t="shared" si="0"/>
        <v>-948.47000000000116</v>
      </c>
      <c r="I12" s="70">
        <f t="shared" si="1"/>
        <v>1811.9799999999959</v>
      </c>
    </row>
    <row r="13" spans="1:9" x14ac:dyDescent="0.25">
      <c r="A13" t="s">
        <v>527</v>
      </c>
      <c r="B13" s="3">
        <v>31500</v>
      </c>
      <c r="C13" s="72" t="s">
        <v>33</v>
      </c>
      <c r="D13" s="72">
        <v>42808</v>
      </c>
      <c r="E13" s="78" t="s">
        <v>528</v>
      </c>
      <c r="F13" s="3">
        <v>30190.74</v>
      </c>
      <c r="G13" s="72">
        <v>42815</v>
      </c>
      <c r="H13" s="70">
        <f t="shared" si="0"/>
        <v>1309.2599999999984</v>
      </c>
      <c r="I13" s="70">
        <f t="shared" si="1"/>
        <v>3121.2399999999943</v>
      </c>
    </row>
    <row r="14" spans="1:9" x14ac:dyDescent="0.25">
      <c r="A14" t="s">
        <v>529</v>
      </c>
      <c r="B14" s="3">
        <v>31500</v>
      </c>
      <c r="C14" s="72" t="s">
        <v>33</v>
      </c>
      <c r="D14" s="72">
        <v>42808</v>
      </c>
      <c r="E14" s="78" t="s">
        <v>530</v>
      </c>
      <c r="F14" s="3">
        <v>30120.29</v>
      </c>
      <c r="G14" s="72">
        <v>42815</v>
      </c>
      <c r="H14" s="70">
        <f t="shared" si="0"/>
        <v>1379.7099999999991</v>
      </c>
      <c r="I14" s="70">
        <f t="shared" si="1"/>
        <v>4500.9499999999935</v>
      </c>
    </row>
    <row r="15" spans="1:9" x14ac:dyDescent="0.25">
      <c r="A15" t="s">
        <v>531</v>
      </c>
      <c r="B15" s="3">
        <v>33000</v>
      </c>
      <c r="C15" s="72" t="s">
        <v>48</v>
      </c>
      <c r="D15" s="72">
        <v>42815</v>
      </c>
      <c r="E15" s="78" t="s">
        <v>532</v>
      </c>
      <c r="F15" s="3">
        <v>30066.91</v>
      </c>
      <c r="G15" s="72">
        <v>42821</v>
      </c>
      <c r="H15" s="70">
        <f t="shared" si="0"/>
        <v>2933.09</v>
      </c>
      <c r="I15" s="70">
        <f t="shared" si="1"/>
        <v>7434.0399999999936</v>
      </c>
    </row>
    <row r="16" spans="1:9" x14ac:dyDescent="0.25">
      <c r="A16" t="s">
        <v>533</v>
      </c>
      <c r="B16" s="3">
        <v>30000</v>
      </c>
      <c r="C16" s="72" t="s">
        <v>48</v>
      </c>
      <c r="D16" s="72">
        <v>42815</v>
      </c>
      <c r="E16" s="78" t="s">
        <v>534</v>
      </c>
      <c r="F16" s="3">
        <v>29673.58</v>
      </c>
      <c r="G16" s="72">
        <v>42822</v>
      </c>
      <c r="H16" s="70">
        <f t="shared" si="0"/>
        <v>326.41999999999825</v>
      </c>
      <c r="I16" s="70">
        <f t="shared" si="1"/>
        <v>7760.4599999999919</v>
      </c>
    </row>
    <row r="17" spans="1:11" x14ac:dyDescent="0.25">
      <c r="A17" t="s">
        <v>535</v>
      </c>
      <c r="B17" s="3">
        <v>29000</v>
      </c>
      <c r="C17" s="72" t="s">
        <v>48</v>
      </c>
      <c r="D17" s="72">
        <v>42822</v>
      </c>
      <c r="E17" s="78" t="s">
        <v>536</v>
      </c>
      <c r="F17" s="3">
        <v>27113.15</v>
      </c>
      <c r="G17" s="72">
        <v>42828</v>
      </c>
      <c r="H17" s="70">
        <f t="shared" si="0"/>
        <v>1886.8499999999985</v>
      </c>
      <c r="I17" s="70">
        <f t="shared" si="1"/>
        <v>9647.3099999999904</v>
      </c>
    </row>
    <row r="18" spans="1:11" x14ac:dyDescent="0.25">
      <c r="A18" t="s">
        <v>537</v>
      </c>
      <c r="B18" s="3">
        <v>28000</v>
      </c>
      <c r="C18" s="72" t="s">
        <v>33</v>
      </c>
      <c r="D18" s="72">
        <v>42823</v>
      </c>
      <c r="E18" s="78" t="s">
        <v>538</v>
      </c>
      <c r="F18" s="3">
        <v>26672.05</v>
      </c>
      <c r="G18" s="72">
        <v>42829</v>
      </c>
      <c r="H18" s="70">
        <f t="shared" si="0"/>
        <v>1327.9500000000007</v>
      </c>
      <c r="I18" s="70">
        <f t="shared" si="1"/>
        <v>10975.259999999991</v>
      </c>
    </row>
    <row r="19" spans="1:11" x14ac:dyDescent="0.25">
      <c r="A19" t="s">
        <v>539</v>
      </c>
      <c r="B19" s="3">
        <v>26000</v>
      </c>
      <c r="C19" s="72" t="s">
        <v>45</v>
      </c>
      <c r="D19" s="72">
        <v>42825</v>
      </c>
      <c r="E19" s="78" t="s">
        <v>540</v>
      </c>
      <c r="F19" s="3">
        <v>27048.07</v>
      </c>
      <c r="G19" s="72">
        <v>42831</v>
      </c>
      <c r="H19" s="70">
        <f t="shared" si="0"/>
        <v>-1048.0699999999997</v>
      </c>
      <c r="I19" s="70">
        <f t="shared" si="1"/>
        <v>9927.1899999999914</v>
      </c>
    </row>
    <row r="20" spans="1:11" x14ac:dyDescent="0.25">
      <c r="A20" t="s">
        <v>541</v>
      </c>
      <c r="B20" s="3">
        <v>24000</v>
      </c>
      <c r="C20" s="72" t="s">
        <v>48</v>
      </c>
      <c r="D20" s="72">
        <v>42829</v>
      </c>
      <c r="E20" s="78" t="s">
        <v>542</v>
      </c>
      <c r="F20" s="3">
        <v>27139.08</v>
      </c>
      <c r="G20" s="72">
        <v>42835</v>
      </c>
      <c r="H20" s="70">
        <f t="shared" si="0"/>
        <v>-3139.0800000000017</v>
      </c>
      <c r="I20" s="70">
        <f t="shared" si="1"/>
        <v>6788.1099999999897</v>
      </c>
      <c r="J20" t="s">
        <v>543</v>
      </c>
    </row>
    <row r="21" spans="1:11" x14ac:dyDescent="0.25">
      <c r="A21" t="s">
        <v>544</v>
      </c>
      <c r="B21" s="3">
        <v>24000</v>
      </c>
      <c r="C21" s="72" t="s">
        <v>33</v>
      </c>
      <c r="D21" s="72">
        <v>42830</v>
      </c>
      <c r="E21" s="78" t="s">
        <v>545</v>
      </c>
      <c r="F21" s="3">
        <v>28089.07</v>
      </c>
      <c r="G21" s="72">
        <v>42836</v>
      </c>
      <c r="H21" s="70">
        <f t="shared" si="0"/>
        <v>-4089.0699999999997</v>
      </c>
      <c r="I21" s="70">
        <f t="shared" si="1"/>
        <v>2699.03999999999</v>
      </c>
      <c r="J21" t="s">
        <v>546</v>
      </c>
    </row>
    <row r="22" spans="1:11" x14ac:dyDescent="0.25">
      <c r="A22" t="s">
        <v>547</v>
      </c>
      <c r="B22" s="3">
        <v>27000</v>
      </c>
      <c r="C22" s="72" t="s">
        <v>48</v>
      </c>
      <c r="D22" s="72">
        <v>42836</v>
      </c>
      <c r="E22" s="78" t="s">
        <v>548</v>
      </c>
      <c r="F22" s="3">
        <v>27974.99</v>
      </c>
      <c r="G22" s="72">
        <v>42842</v>
      </c>
      <c r="H22" s="70">
        <f t="shared" si="0"/>
        <v>-974.9900000000016</v>
      </c>
      <c r="I22" s="70">
        <f t="shared" si="1"/>
        <v>1724.0499999999884</v>
      </c>
    </row>
    <row r="23" spans="1:11" x14ac:dyDescent="0.25">
      <c r="A23" t="s">
        <v>549</v>
      </c>
      <c r="B23" s="3">
        <v>27500</v>
      </c>
      <c r="C23" s="72" t="s">
        <v>33</v>
      </c>
      <c r="D23" s="72">
        <v>42837</v>
      </c>
      <c r="E23" s="78" t="s">
        <v>550</v>
      </c>
      <c r="F23" s="3">
        <v>28014.2</v>
      </c>
      <c r="G23" s="72">
        <v>42843</v>
      </c>
      <c r="H23" s="70">
        <f t="shared" si="0"/>
        <v>-514.20000000000073</v>
      </c>
      <c r="I23" s="70">
        <f t="shared" si="1"/>
        <v>1209.8499999999876</v>
      </c>
    </row>
    <row r="24" spans="1:11" x14ac:dyDescent="0.25">
      <c r="A24" t="s">
        <v>551</v>
      </c>
      <c r="B24" s="3">
        <v>27500</v>
      </c>
      <c r="C24" s="72" t="s">
        <v>33</v>
      </c>
      <c r="D24" s="72">
        <v>42837</v>
      </c>
      <c r="E24" s="78" t="s">
        <v>552</v>
      </c>
      <c r="F24" s="3">
        <v>28283.71</v>
      </c>
      <c r="G24" s="72">
        <v>42845</v>
      </c>
      <c r="H24" s="70">
        <f t="shared" si="0"/>
        <v>-783.70999999999913</v>
      </c>
      <c r="I24" s="70">
        <f t="shared" si="1"/>
        <v>426.1399999999885</v>
      </c>
    </row>
    <row r="25" spans="1:11" x14ac:dyDescent="0.25">
      <c r="A25" t="s">
        <v>553</v>
      </c>
      <c r="B25" s="3">
        <v>29500</v>
      </c>
      <c r="C25" s="72" t="s">
        <v>48</v>
      </c>
      <c r="D25" s="72">
        <v>42843</v>
      </c>
      <c r="E25" s="78" t="s">
        <v>554</v>
      </c>
      <c r="F25" s="3">
        <v>29315.32</v>
      </c>
      <c r="G25" s="72">
        <v>42849</v>
      </c>
      <c r="H25" s="70">
        <f t="shared" si="0"/>
        <v>184.68000000000029</v>
      </c>
      <c r="I25" s="70">
        <f t="shared" si="1"/>
        <v>610.8199999999888</v>
      </c>
    </row>
    <row r="26" spans="1:11" x14ac:dyDescent="0.25">
      <c r="A26" t="s">
        <v>555</v>
      </c>
      <c r="B26" s="3">
        <v>29500</v>
      </c>
      <c r="C26" s="72" t="s">
        <v>33</v>
      </c>
      <c r="D26" s="72">
        <v>42844</v>
      </c>
      <c r="E26" s="78" t="s">
        <v>556</v>
      </c>
      <c r="F26" s="3">
        <v>29743.45</v>
      </c>
      <c r="G26" s="72">
        <v>42850</v>
      </c>
      <c r="H26" s="70">
        <f t="shared" si="0"/>
        <v>-243.45000000000073</v>
      </c>
      <c r="I26" s="70">
        <f t="shared" si="1"/>
        <v>367.36999999998807</v>
      </c>
    </row>
    <row r="27" spans="1:11" x14ac:dyDescent="0.25">
      <c r="A27" t="s">
        <v>557</v>
      </c>
      <c r="B27" s="3">
        <v>30000</v>
      </c>
      <c r="C27" s="72" t="s">
        <v>45</v>
      </c>
      <c r="D27" s="72">
        <v>42846</v>
      </c>
      <c r="E27" s="78" t="s">
        <v>558</v>
      </c>
      <c r="F27" s="3">
        <v>30427.32</v>
      </c>
      <c r="G27" s="72">
        <v>42852</v>
      </c>
      <c r="H27" s="70">
        <f t="shared" si="0"/>
        <v>-427.31999999999971</v>
      </c>
      <c r="I27" s="70">
        <f t="shared" si="1"/>
        <v>-59.950000000011642</v>
      </c>
    </row>
    <row r="28" spans="1:11" x14ac:dyDescent="0.25">
      <c r="A28">
        <v>32610</v>
      </c>
      <c r="B28" s="3">
        <v>31000</v>
      </c>
      <c r="C28" s="72" t="s">
        <v>33</v>
      </c>
      <c r="D28" s="72">
        <v>42851</v>
      </c>
      <c r="E28" s="78" t="s">
        <v>559</v>
      </c>
      <c r="F28" s="3">
        <v>30453.87</v>
      </c>
      <c r="G28" s="72">
        <v>42857</v>
      </c>
      <c r="H28" s="70">
        <f t="shared" si="0"/>
        <v>546.13000000000102</v>
      </c>
      <c r="I28" s="70">
        <f t="shared" si="1"/>
        <v>486.17999999998938</v>
      </c>
    </row>
    <row r="29" spans="1:11" x14ac:dyDescent="0.25">
      <c r="A29">
        <v>32632</v>
      </c>
      <c r="B29" s="3">
        <v>31000</v>
      </c>
      <c r="C29" s="72" t="s">
        <v>45</v>
      </c>
      <c r="D29" s="72">
        <v>42853</v>
      </c>
      <c r="E29" s="78" t="s">
        <v>560</v>
      </c>
      <c r="F29" s="3">
        <v>30235.759999999998</v>
      </c>
      <c r="G29" s="72">
        <v>42859</v>
      </c>
      <c r="H29" s="70">
        <f t="shared" si="0"/>
        <v>764.2400000000016</v>
      </c>
      <c r="I29" s="70">
        <f t="shared" si="1"/>
        <v>1250.419999999991</v>
      </c>
    </row>
    <row r="30" spans="1:11" x14ac:dyDescent="0.25">
      <c r="A30">
        <v>32633</v>
      </c>
      <c r="B30" s="3">
        <v>32000</v>
      </c>
      <c r="C30" s="72" t="s">
        <v>48</v>
      </c>
      <c r="D30" s="72">
        <v>42857</v>
      </c>
      <c r="E30" s="78" t="s">
        <v>561</v>
      </c>
      <c r="F30" s="3">
        <v>31829.03</v>
      </c>
      <c r="G30" s="72">
        <v>42863</v>
      </c>
      <c r="H30" s="70">
        <f t="shared" si="0"/>
        <v>170.97000000000116</v>
      </c>
      <c r="I30" s="70">
        <f t="shared" si="1"/>
        <v>1421.3899999999921</v>
      </c>
    </row>
    <row r="31" spans="1:11" x14ac:dyDescent="0.25">
      <c r="A31">
        <v>60879</v>
      </c>
      <c r="B31" s="3">
        <v>32000</v>
      </c>
      <c r="C31" s="72" t="s">
        <v>41</v>
      </c>
      <c r="D31" s="72">
        <v>42859</v>
      </c>
      <c r="E31" s="78" t="s">
        <v>562</v>
      </c>
      <c r="F31" s="3">
        <v>31423.66</v>
      </c>
      <c r="G31" s="72">
        <v>42863</v>
      </c>
      <c r="H31" s="70">
        <f t="shared" si="0"/>
        <v>576.34000000000015</v>
      </c>
      <c r="I31" s="70">
        <f t="shared" si="1"/>
        <v>1997.7299999999923</v>
      </c>
    </row>
    <row r="32" spans="1:11" x14ac:dyDescent="0.25">
      <c r="A32">
        <v>32634</v>
      </c>
      <c r="B32" s="3"/>
      <c r="C32" s="72" t="s">
        <v>33</v>
      </c>
      <c r="D32" s="72">
        <v>42858</v>
      </c>
      <c r="E32" s="48" t="s">
        <v>563</v>
      </c>
      <c r="G32" s="72">
        <v>42864</v>
      </c>
      <c r="H32" s="70">
        <f t="shared" si="0"/>
        <v>0</v>
      </c>
      <c r="I32" s="70">
        <f t="shared" si="1"/>
        <v>1997.7299999999923</v>
      </c>
      <c r="J32" s="48" t="s">
        <v>563</v>
      </c>
      <c r="K32" t="s">
        <v>564</v>
      </c>
    </row>
    <row r="33" spans="1:10" x14ac:dyDescent="0.25">
      <c r="A33">
        <v>32635</v>
      </c>
      <c r="B33" s="3">
        <v>31500</v>
      </c>
      <c r="C33" s="72" t="s">
        <v>48</v>
      </c>
      <c r="D33" s="72">
        <v>42864</v>
      </c>
      <c r="E33" s="78" t="s">
        <v>565</v>
      </c>
      <c r="F33" s="3">
        <v>32317.86</v>
      </c>
      <c r="G33" s="72">
        <v>42870</v>
      </c>
      <c r="H33" s="70">
        <f t="shared" si="0"/>
        <v>-817.86000000000058</v>
      </c>
      <c r="I33" s="70">
        <f t="shared" si="1"/>
        <v>1179.8699999999917</v>
      </c>
    </row>
    <row r="34" spans="1:10" x14ac:dyDescent="0.25">
      <c r="A34">
        <v>32636</v>
      </c>
      <c r="B34" s="3">
        <v>31500</v>
      </c>
      <c r="C34" s="72" t="s">
        <v>33</v>
      </c>
      <c r="D34" s="72">
        <v>42865</v>
      </c>
      <c r="E34" s="78" t="s">
        <v>566</v>
      </c>
      <c r="F34" s="3">
        <v>32196.51</v>
      </c>
      <c r="G34" s="72">
        <v>42871</v>
      </c>
      <c r="H34" s="70">
        <f t="shared" si="0"/>
        <v>-696.5099999999984</v>
      </c>
      <c r="I34" s="70">
        <f t="shared" si="1"/>
        <v>483.35999999999331</v>
      </c>
    </row>
    <row r="35" spans="1:10" x14ac:dyDescent="0.25">
      <c r="A35">
        <v>81550</v>
      </c>
      <c r="B35" s="3">
        <v>32000</v>
      </c>
      <c r="C35" s="72" t="s">
        <v>33</v>
      </c>
      <c r="D35" s="72">
        <v>42858</v>
      </c>
      <c r="E35" s="78" t="s">
        <v>567</v>
      </c>
      <c r="F35" s="3">
        <v>32827.629999999997</v>
      </c>
      <c r="G35" s="72">
        <v>42877</v>
      </c>
      <c r="H35" s="70">
        <f t="shared" si="0"/>
        <v>-827.62999999999738</v>
      </c>
      <c r="I35" s="70">
        <f t="shared" si="1"/>
        <v>-344.27000000000407</v>
      </c>
      <c r="J35" t="s">
        <v>568</v>
      </c>
    </row>
    <row r="36" spans="1:10" x14ac:dyDescent="0.25">
      <c r="A36">
        <v>32637</v>
      </c>
      <c r="B36" s="3">
        <v>33000</v>
      </c>
      <c r="C36" s="72" t="s">
        <v>48</v>
      </c>
      <c r="D36" s="72">
        <v>42871</v>
      </c>
      <c r="E36" s="78" t="s">
        <v>569</v>
      </c>
      <c r="F36" s="3">
        <v>32909.72</v>
      </c>
      <c r="G36" s="72">
        <v>42877</v>
      </c>
      <c r="H36" s="70">
        <f t="shared" si="0"/>
        <v>90.279999999998836</v>
      </c>
      <c r="I36" s="70">
        <f t="shared" si="1"/>
        <v>-253.99000000000524</v>
      </c>
    </row>
    <row r="37" spans="1:10" x14ac:dyDescent="0.25">
      <c r="A37">
        <v>32638</v>
      </c>
      <c r="B37" s="3">
        <v>34000</v>
      </c>
      <c r="C37" s="72" t="s">
        <v>33</v>
      </c>
      <c r="D37" s="72">
        <v>42872</v>
      </c>
      <c r="E37" s="78" t="s">
        <v>570</v>
      </c>
      <c r="F37" s="3">
        <v>31541.56</v>
      </c>
      <c r="G37" s="72">
        <v>42878</v>
      </c>
      <c r="H37" s="70">
        <f t="shared" si="0"/>
        <v>2458.4399999999987</v>
      </c>
      <c r="I37" s="70">
        <f t="shared" si="1"/>
        <v>2204.4499999999935</v>
      </c>
    </row>
    <row r="38" spans="1:10" x14ac:dyDescent="0.25">
      <c r="A38">
        <v>32639</v>
      </c>
      <c r="B38" s="3">
        <v>33000</v>
      </c>
      <c r="C38" s="72" t="s">
        <v>48</v>
      </c>
      <c r="D38" s="72">
        <v>42878</v>
      </c>
      <c r="E38" s="78" t="s">
        <v>571</v>
      </c>
      <c r="F38" s="3">
        <v>32782.89</v>
      </c>
      <c r="G38" s="72">
        <v>42884</v>
      </c>
      <c r="H38" s="70">
        <f>B38-F38</f>
        <v>217.11000000000058</v>
      </c>
      <c r="I38" s="70">
        <f t="shared" si="1"/>
        <v>2421.559999999994</v>
      </c>
    </row>
    <row r="39" spans="1:10" x14ac:dyDescent="0.25">
      <c r="A39">
        <v>32640</v>
      </c>
      <c r="B39" s="3">
        <v>32000</v>
      </c>
      <c r="C39" s="72" t="s">
        <v>33</v>
      </c>
      <c r="D39" s="72">
        <v>42879</v>
      </c>
      <c r="E39" s="78" t="s">
        <v>572</v>
      </c>
      <c r="F39" s="3">
        <v>33963.15</v>
      </c>
      <c r="G39" s="72">
        <v>42885</v>
      </c>
      <c r="H39" s="70">
        <f>B39-F39</f>
        <v>-1963.1500000000015</v>
      </c>
      <c r="I39" s="70">
        <f t="shared" si="1"/>
        <v>458.40999999999258</v>
      </c>
    </row>
    <row r="40" spans="1:10" x14ac:dyDescent="0.25">
      <c r="A40">
        <v>90287</v>
      </c>
      <c r="B40" s="3">
        <v>35000</v>
      </c>
      <c r="C40" s="72" t="s">
        <v>48</v>
      </c>
      <c r="D40" s="72">
        <v>42885</v>
      </c>
      <c r="E40" s="78" t="s">
        <v>573</v>
      </c>
      <c r="F40" s="3">
        <v>32465.82</v>
      </c>
      <c r="G40" s="72">
        <v>42891</v>
      </c>
      <c r="H40" s="70">
        <f>B40-F40</f>
        <v>2534.1800000000003</v>
      </c>
      <c r="I40" s="70">
        <f t="shared" si="1"/>
        <v>2992.5899999999929</v>
      </c>
    </row>
    <row r="41" spans="1:10" x14ac:dyDescent="0.25">
      <c r="A41">
        <v>90328</v>
      </c>
      <c r="B41" s="3">
        <v>35000</v>
      </c>
      <c r="C41" s="72" t="s">
        <v>33</v>
      </c>
      <c r="D41" s="72">
        <v>42886</v>
      </c>
      <c r="E41" s="78" t="s">
        <v>574</v>
      </c>
      <c r="F41" s="3">
        <v>31071.759999999998</v>
      </c>
      <c r="G41" s="72">
        <v>42892</v>
      </c>
      <c r="H41" s="70">
        <f t="shared" ref="H41:H104" si="2">B41-F41</f>
        <v>3928.2400000000016</v>
      </c>
      <c r="I41" s="70">
        <f t="shared" si="1"/>
        <v>6920.8299999999945</v>
      </c>
    </row>
    <row r="42" spans="1:10" x14ac:dyDescent="0.25">
      <c r="A42">
        <v>90329</v>
      </c>
      <c r="B42" s="3">
        <v>30000</v>
      </c>
      <c r="C42" s="72" t="s">
        <v>48</v>
      </c>
      <c r="D42" s="72">
        <v>42892</v>
      </c>
      <c r="E42" s="78" t="s">
        <v>575</v>
      </c>
      <c r="F42" s="3">
        <v>29384.67</v>
      </c>
      <c r="G42" s="72">
        <v>42898</v>
      </c>
      <c r="H42" s="70">
        <f t="shared" si="2"/>
        <v>615.33000000000175</v>
      </c>
      <c r="I42" s="70">
        <f t="shared" si="1"/>
        <v>7536.1599999999962</v>
      </c>
    </row>
    <row r="43" spans="1:10" x14ac:dyDescent="0.25">
      <c r="A43">
        <v>90373</v>
      </c>
      <c r="B43" s="3">
        <v>30000</v>
      </c>
      <c r="C43" s="72" t="s">
        <v>33</v>
      </c>
      <c r="D43" s="72">
        <v>42893</v>
      </c>
      <c r="E43" s="78" t="s">
        <v>576</v>
      </c>
      <c r="F43" s="3">
        <v>30307.119999999999</v>
      </c>
      <c r="G43" s="72">
        <v>42899</v>
      </c>
      <c r="H43" s="70">
        <f t="shared" si="2"/>
        <v>-307.11999999999898</v>
      </c>
      <c r="I43" s="70">
        <f t="shared" si="1"/>
        <v>7229.0399999999972</v>
      </c>
    </row>
    <row r="44" spans="1:10" x14ac:dyDescent="0.25">
      <c r="A44">
        <v>90331</v>
      </c>
      <c r="B44" s="3">
        <v>30000</v>
      </c>
      <c r="C44" s="72" t="s">
        <v>48</v>
      </c>
      <c r="D44" s="72">
        <v>42899</v>
      </c>
      <c r="E44" s="78" t="s">
        <v>577</v>
      </c>
      <c r="F44" s="3">
        <v>32882.85</v>
      </c>
      <c r="G44" s="72">
        <v>42905</v>
      </c>
      <c r="H44" s="70">
        <f t="shared" si="2"/>
        <v>-2882.8499999999985</v>
      </c>
      <c r="I44" s="70">
        <f t="shared" si="1"/>
        <v>4346.1899999999987</v>
      </c>
    </row>
    <row r="45" spans="1:10" x14ac:dyDescent="0.25">
      <c r="A45">
        <v>90336</v>
      </c>
      <c r="B45" s="3">
        <v>30000</v>
      </c>
      <c r="C45" s="72" t="s">
        <v>33</v>
      </c>
      <c r="D45" s="72">
        <v>42900</v>
      </c>
      <c r="E45" s="78" t="s">
        <v>578</v>
      </c>
      <c r="F45" s="3">
        <v>32207.33</v>
      </c>
      <c r="G45" s="72">
        <v>42906</v>
      </c>
      <c r="H45" s="70">
        <f t="shared" si="2"/>
        <v>-2207.3300000000017</v>
      </c>
      <c r="I45" s="70">
        <f t="shared" si="1"/>
        <v>2138.8599999999969</v>
      </c>
    </row>
    <row r="46" spans="1:10" x14ac:dyDescent="0.25">
      <c r="A46">
        <v>90338</v>
      </c>
      <c r="B46" s="3">
        <v>34500</v>
      </c>
      <c r="C46" s="72" t="s">
        <v>48</v>
      </c>
      <c r="D46" s="72">
        <v>42906</v>
      </c>
      <c r="E46" s="78" t="s">
        <v>579</v>
      </c>
      <c r="F46" s="3">
        <v>33421.769999999997</v>
      </c>
      <c r="G46" s="72">
        <v>42912</v>
      </c>
      <c r="H46" s="70">
        <f t="shared" si="2"/>
        <v>1078.2300000000032</v>
      </c>
      <c r="I46" s="70">
        <f t="shared" si="1"/>
        <v>3217.09</v>
      </c>
    </row>
    <row r="47" spans="1:10" x14ac:dyDescent="0.25">
      <c r="A47">
        <v>90339</v>
      </c>
      <c r="B47" s="3">
        <v>34500</v>
      </c>
      <c r="C47" s="72" t="s">
        <v>33</v>
      </c>
      <c r="D47" s="72">
        <v>42907</v>
      </c>
      <c r="E47" s="78" t="s">
        <v>580</v>
      </c>
      <c r="F47" s="3">
        <v>33081.83</v>
      </c>
      <c r="G47" s="72">
        <v>42913</v>
      </c>
      <c r="H47" s="70">
        <f t="shared" si="2"/>
        <v>1418.1699999999983</v>
      </c>
      <c r="I47" s="70">
        <f t="shared" si="1"/>
        <v>4635.2599999999984</v>
      </c>
    </row>
    <row r="48" spans="1:10" x14ac:dyDescent="0.25">
      <c r="A48" t="s">
        <v>581</v>
      </c>
      <c r="B48" s="3">
        <v>34000</v>
      </c>
      <c r="C48" s="72" t="s">
        <v>48</v>
      </c>
      <c r="D48" s="72">
        <v>42913</v>
      </c>
      <c r="E48" s="78" t="s">
        <v>582</v>
      </c>
      <c r="F48" s="3">
        <v>35245.519999999997</v>
      </c>
      <c r="G48" s="72">
        <v>42919</v>
      </c>
      <c r="H48" s="70">
        <f t="shared" si="2"/>
        <v>-1245.5199999999968</v>
      </c>
      <c r="I48" s="70">
        <f t="shared" si="1"/>
        <v>3389.7400000000016</v>
      </c>
    </row>
    <row r="49" spans="1:9" x14ac:dyDescent="0.25">
      <c r="A49" t="s">
        <v>583</v>
      </c>
      <c r="B49" s="3">
        <v>34000</v>
      </c>
      <c r="C49" s="72" t="s">
        <v>33</v>
      </c>
      <c r="D49" s="72">
        <v>42914</v>
      </c>
      <c r="E49" s="78" t="s">
        <v>584</v>
      </c>
      <c r="F49" s="3">
        <v>35871.230000000003</v>
      </c>
      <c r="G49" s="72">
        <v>42919</v>
      </c>
      <c r="H49" s="70">
        <f t="shared" si="2"/>
        <v>-1871.2300000000032</v>
      </c>
      <c r="I49" s="70">
        <f t="shared" si="1"/>
        <v>1518.5099999999984</v>
      </c>
    </row>
    <row r="50" spans="1:9" x14ac:dyDescent="0.25">
      <c r="A50" t="s">
        <v>585</v>
      </c>
      <c r="B50" s="3">
        <v>35000</v>
      </c>
      <c r="C50" s="72" t="s">
        <v>29</v>
      </c>
      <c r="D50" s="72">
        <v>42919</v>
      </c>
      <c r="E50" s="78" t="s">
        <v>586</v>
      </c>
      <c r="F50" s="3">
        <v>37566.410000000003</v>
      </c>
      <c r="G50" s="72">
        <v>42926</v>
      </c>
      <c r="H50" s="70">
        <f t="shared" si="2"/>
        <v>-2566.4100000000035</v>
      </c>
      <c r="I50" s="70">
        <f t="shared" si="1"/>
        <v>-1047.9000000000051</v>
      </c>
    </row>
    <row r="51" spans="1:9" x14ac:dyDescent="0.25">
      <c r="A51" t="s">
        <v>587</v>
      </c>
      <c r="B51" s="3">
        <v>37000</v>
      </c>
      <c r="C51" s="72" t="s">
        <v>33</v>
      </c>
      <c r="D51" s="72">
        <v>42921</v>
      </c>
      <c r="E51" s="78" t="s">
        <v>588</v>
      </c>
      <c r="F51" s="3">
        <v>38122.910000000003</v>
      </c>
      <c r="G51" s="72">
        <v>42927</v>
      </c>
      <c r="H51" s="70">
        <f t="shared" si="2"/>
        <v>-1122.9100000000035</v>
      </c>
      <c r="I51" s="70">
        <f t="shared" si="1"/>
        <v>-2170.8100000000086</v>
      </c>
    </row>
    <row r="52" spans="1:9" x14ac:dyDescent="0.25">
      <c r="A52" t="s">
        <v>589</v>
      </c>
      <c r="B52" s="3">
        <v>40500</v>
      </c>
      <c r="C52" s="72" t="s">
        <v>519</v>
      </c>
      <c r="D52" s="72">
        <v>42927</v>
      </c>
      <c r="E52" s="78" t="s">
        <v>590</v>
      </c>
      <c r="F52" s="3">
        <v>37884.9</v>
      </c>
      <c r="G52" s="72">
        <v>42933</v>
      </c>
      <c r="H52" s="70">
        <f t="shared" si="2"/>
        <v>2615.0999999999985</v>
      </c>
      <c r="I52" s="70">
        <f t="shared" si="1"/>
        <v>444.28999999998996</v>
      </c>
    </row>
    <row r="53" spans="1:9" x14ac:dyDescent="0.25">
      <c r="A53" t="s">
        <v>591</v>
      </c>
      <c r="B53" s="3">
        <v>40500</v>
      </c>
      <c r="C53" s="72" t="s">
        <v>48</v>
      </c>
      <c r="D53" s="72">
        <v>42927</v>
      </c>
      <c r="E53" s="78" t="s">
        <v>592</v>
      </c>
      <c r="F53" s="3">
        <v>37593.71</v>
      </c>
      <c r="G53" s="72">
        <v>42933</v>
      </c>
      <c r="H53" s="70">
        <f t="shared" si="2"/>
        <v>2906.2900000000009</v>
      </c>
      <c r="I53" s="70">
        <f t="shared" si="1"/>
        <v>3350.5799999999908</v>
      </c>
    </row>
    <row r="54" spans="1:9" x14ac:dyDescent="0.25">
      <c r="A54" t="s">
        <v>593</v>
      </c>
      <c r="B54" s="3">
        <v>40500</v>
      </c>
      <c r="C54" s="72" t="s">
        <v>48</v>
      </c>
      <c r="D54" s="72">
        <v>42934</v>
      </c>
      <c r="E54" s="78" t="s">
        <v>594</v>
      </c>
      <c r="F54" s="3">
        <v>38068.32</v>
      </c>
      <c r="G54" s="72">
        <v>42940</v>
      </c>
      <c r="H54" s="70">
        <f t="shared" si="2"/>
        <v>2431.6800000000003</v>
      </c>
      <c r="I54" s="70">
        <f t="shared" si="1"/>
        <v>5782.2599999999911</v>
      </c>
    </row>
    <row r="55" spans="1:9" x14ac:dyDescent="0.25">
      <c r="A55" t="s">
        <v>595</v>
      </c>
      <c r="B55" s="3">
        <v>40500</v>
      </c>
      <c r="C55" s="72" t="s">
        <v>48</v>
      </c>
      <c r="D55" s="72">
        <v>42934</v>
      </c>
      <c r="E55" s="78" t="s">
        <v>596</v>
      </c>
      <c r="F55" s="3">
        <v>37844.69</v>
      </c>
      <c r="G55" s="72">
        <v>42940</v>
      </c>
      <c r="H55" s="70">
        <f t="shared" si="2"/>
        <v>2655.3099999999977</v>
      </c>
      <c r="I55" s="70">
        <f t="shared" si="1"/>
        <v>8437.5699999999888</v>
      </c>
    </row>
    <row r="56" spans="1:9" x14ac:dyDescent="0.25">
      <c r="A56" t="s">
        <v>597</v>
      </c>
      <c r="B56" s="3">
        <v>38000</v>
      </c>
      <c r="C56" s="72" t="s">
        <v>48</v>
      </c>
      <c r="D56" s="72">
        <v>42941</v>
      </c>
      <c r="E56" s="78" t="s">
        <v>598</v>
      </c>
      <c r="F56" s="3">
        <v>35214.120000000003</v>
      </c>
      <c r="G56" s="72">
        <v>42947</v>
      </c>
      <c r="H56" s="70">
        <f t="shared" si="2"/>
        <v>2785.8799999999974</v>
      </c>
      <c r="I56" s="70">
        <f t="shared" si="1"/>
        <v>11223.449999999986</v>
      </c>
    </row>
    <row r="57" spans="1:9" x14ac:dyDescent="0.25">
      <c r="A57" t="s">
        <v>599</v>
      </c>
      <c r="B57" s="3">
        <v>38000</v>
      </c>
      <c r="C57" s="72" t="s">
        <v>33</v>
      </c>
      <c r="D57" s="72">
        <v>42942</v>
      </c>
      <c r="E57" t="s">
        <v>600</v>
      </c>
      <c r="F57" s="3">
        <v>33664.620000000003</v>
      </c>
      <c r="G57" s="72">
        <v>42948</v>
      </c>
      <c r="H57" s="70">
        <f t="shared" si="2"/>
        <v>4335.3799999999974</v>
      </c>
      <c r="I57" s="70">
        <f t="shared" si="1"/>
        <v>15558.829999999984</v>
      </c>
    </row>
    <row r="58" spans="1:9" x14ac:dyDescent="0.25">
      <c r="A58" t="s">
        <v>601</v>
      </c>
      <c r="B58" s="3">
        <v>38000</v>
      </c>
      <c r="C58" s="72" t="s">
        <v>519</v>
      </c>
      <c r="D58" s="72">
        <v>42948</v>
      </c>
      <c r="E58" s="78" t="s">
        <v>602</v>
      </c>
      <c r="F58" s="3">
        <v>32164.86</v>
      </c>
      <c r="G58" s="72">
        <v>42954</v>
      </c>
      <c r="H58" s="70">
        <f t="shared" si="2"/>
        <v>5835.1399999999994</v>
      </c>
      <c r="I58" s="70">
        <f t="shared" si="1"/>
        <v>21393.969999999983</v>
      </c>
    </row>
    <row r="59" spans="1:9" x14ac:dyDescent="0.25">
      <c r="A59" t="s">
        <v>603</v>
      </c>
      <c r="B59" s="3">
        <v>38000</v>
      </c>
      <c r="C59" s="72" t="s">
        <v>33</v>
      </c>
      <c r="D59" s="72">
        <v>42949</v>
      </c>
      <c r="E59" s="78" t="s">
        <v>604</v>
      </c>
      <c r="F59" s="3">
        <v>31738.17</v>
      </c>
      <c r="G59" s="72">
        <v>42955</v>
      </c>
      <c r="H59" s="70">
        <f t="shared" si="2"/>
        <v>6261.8300000000017</v>
      </c>
      <c r="I59" s="70">
        <f t="shared" si="1"/>
        <v>27655.799999999985</v>
      </c>
    </row>
    <row r="60" spans="1:9" x14ac:dyDescent="0.25">
      <c r="A60" t="s">
        <v>605</v>
      </c>
      <c r="B60" s="3">
        <v>20000</v>
      </c>
      <c r="C60" s="72" t="s">
        <v>48</v>
      </c>
      <c r="D60" s="72">
        <v>42955</v>
      </c>
      <c r="E60" s="78" t="s">
        <v>606</v>
      </c>
      <c r="F60" s="3">
        <v>31497.81</v>
      </c>
      <c r="G60" s="72">
        <v>42961</v>
      </c>
      <c r="H60" s="70">
        <f t="shared" si="2"/>
        <v>-11497.810000000001</v>
      </c>
      <c r="I60" s="70">
        <f t="shared" si="1"/>
        <v>16157.989999999983</v>
      </c>
    </row>
    <row r="61" spans="1:9" x14ac:dyDescent="0.25">
      <c r="A61" t="s">
        <v>607</v>
      </c>
      <c r="B61" s="3">
        <v>20000</v>
      </c>
      <c r="C61" s="72" t="s">
        <v>33</v>
      </c>
      <c r="D61" s="72">
        <v>42956</v>
      </c>
      <c r="E61" s="78" t="s">
        <v>608</v>
      </c>
      <c r="F61" s="3">
        <v>30506.12</v>
      </c>
      <c r="G61" s="72">
        <v>42962</v>
      </c>
      <c r="H61" s="70">
        <f t="shared" si="2"/>
        <v>-10506.119999999999</v>
      </c>
      <c r="I61" s="70">
        <f t="shared" si="1"/>
        <v>5651.8699999999844</v>
      </c>
    </row>
    <row r="62" spans="1:9" x14ac:dyDescent="0.25">
      <c r="A62" t="s">
        <v>609</v>
      </c>
      <c r="B62" s="3">
        <v>28000</v>
      </c>
      <c r="C62" s="72" t="s">
        <v>48</v>
      </c>
      <c r="D62" s="72">
        <v>42962</v>
      </c>
      <c r="E62" s="78" t="s">
        <v>610</v>
      </c>
      <c r="F62" s="3">
        <v>31013.66</v>
      </c>
      <c r="G62" s="72">
        <v>42968</v>
      </c>
      <c r="H62" s="70">
        <f t="shared" si="2"/>
        <v>-3013.66</v>
      </c>
      <c r="I62" s="70">
        <f t="shared" si="1"/>
        <v>2638.2099999999846</v>
      </c>
    </row>
    <row r="63" spans="1:9" x14ac:dyDescent="0.25">
      <c r="A63" t="s">
        <v>611</v>
      </c>
      <c r="B63" s="3">
        <v>30000</v>
      </c>
      <c r="C63" s="72" t="s">
        <v>33</v>
      </c>
      <c r="D63" s="72">
        <v>42963</v>
      </c>
      <c r="E63" s="78" t="s">
        <v>612</v>
      </c>
      <c r="F63" s="3">
        <v>31553.34</v>
      </c>
      <c r="G63" s="72">
        <v>42969</v>
      </c>
      <c r="H63" s="70">
        <f t="shared" si="2"/>
        <v>-1553.3400000000001</v>
      </c>
      <c r="I63" s="70">
        <f t="shared" si="1"/>
        <v>1084.8699999999844</v>
      </c>
    </row>
    <row r="64" spans="1:9" x14ac:dyDescent="0.25">
      <c r="A64" t="s">
        <v>613</v>
      </c>
      <c r="B64" s="3">
        <v>31000</v>
      </c>
      <c r="C64" s="72" t="s">
        <v>48</v>
      </c>
      <c r="D64" s="72">
        <v>42969</v>
      </c>
      <c r="E64" s="78" t="s">
        <v>614</v>
      </c>
      <c r="F64" s="3">
        <v>32450.61</v>
      </c>
      <c r="G64" s="72">
        <v>42975</v>
      </c>
      <c r="H64" s="70">
        <f t="shared" si="2"/>
        <v>-1450.6100000000006</v>
      </c>
      <c r="I64" s="70">
        <f t="shared" si="1"/>
        <v>-365.74000000001615</v>
      </c>
    </row>
    <row r="65" spans="1:10" x14ac:dyDescent="0.25">
      <c r="A65" t="s">
        <v>615</v>
      </c>
      <c r="B65" s="3">
        <v>31000</v>
      </c>
      <c r="C65" s="72" t="s">
        <v>33</v>
      </c>
      <c r="D65" s="72">
        <v>42970</v>
      </c>
      <c r="E65" s="78" t="s">
        <v>616</v>
      </c>
      <c r="F65" s="3">
        <v>32801.22</v>
      </c>
      <c r="G65" s="72">
        <v>42976</v>
      </c>
      <c r="H65" s="70">
        <f t="shared" si="2"/>
        <v>-1801.2200000000012</v>
      </c>
      <c r="I65" s="70">
        <f t="shared" si="1"/>
        <v>-2166.9600000000173</v>
      </c>
      <c r="J65" t="s">
        <v>617</v>
      </c>
    </row>
    <row r="66" spans="1:10" x14ac:dyDescent="0.25">
      <c r="A66" t="s">
        <v>615</v>
      </c>
      <c r="B66" s="3">
        <v>2166.96</v>
      </c>
      <c r="C66" s="72" t="s">
        <v>33</v>
      </c>
      <c r="D66" s="72">
        <v>42977</v>
      </c>
      <c r="E66" s="78"/>
      <c r="G66" s="72"/>
      <c r="H66" s="70">
        <f t="shared" si="2"/>
        <v>2166.96</v>
      </c>
      <c r="I66" s="70">
        <f t="shared" si="1"/>
        <v>-1.7280399333685637E-11</v>
      </c>
    </row>
    <row r="67" spans="1:10" x14ac:dyDescent="0.25">
      <c r="A67" t="s">
        <v>618</v>
      </c>
      <c r="B67" s="3">
        <v>35000</v>
      </c>
      <c r="C67" s="72" t="s">
        <v>48</v>
      </c>
      <c r="D67" s="72">
        <v>42983</v>
      </c>
      <c r="E67" s="78" t="s">
        <v>619</v>
      </c>
      <c r="F67" s="3">
        <v>33830.79</v>
      </c>
      <c r="G67" s="72">
        <v>42989</v>
      </c>
      <c r="H67" s="70">
        <f t="shared" si="2"/>
        <v>1169.2099999999991</v>
      </c>
      <c r="I67" s="70">
        <f t="shared" si="1"/>
        <v>1169.2099999999818</v>
      </c>
    </row>
    <row r="68" spans="1:10" x14ac:dyDescent="0.25">
      <c r="A68" t="s">
        <v>620</v>
      </c>
      <c r="B68" s="3">
        <v>35000</v>
      </c>
      <c r="C68" s="72" t="s">
        <v>33</v>
      </c>
      <c r="D68" s="72">
        <v>42984</v>
      </c>
      <c r="E68" s="78" t="s">
        <v>621</v>
      </c>
      <c r="F68" s="3">
        <v>33484.699999999997</v>
      </c>
      <c r="G68" s="72">
        <v>42990</v>
      </c>
      <c r="H68" s="70">
        <f t="shared" si="2"/>
        <v>1515.3000000000029</v>
      </c>
      <c r="I68" s="70">
        <f t="shared" si="1"/>
        <v>2684.5099999999848</v>
      </c>
    </row>
    <row r="69" spans="1:10" x14ac:dyDescent="0.25">
      <c r="A69" t="s">
        <v>622</v>
      </c>
      <c r="B69" s="3">
        <v>32000</v>
      </c>
      <c r="C69" s="72" t="s">
        <v>48</v>
      </c>
      <c r="D69" s="72">
        <v>42990</v>
      </c>
      <c r="G69" s="72">
        <v>42996</v>
      </c>
      <c r="H69" s="70">
        <f t="shared" si="2"/>
        <v>32000</v>
      </c>
      <c r="I69" s="70">
        <f t="shared" si="1"/>
        <v>34684.509999999987</v>
      </c>
    </row>
    <row r="70" spans="1:10" x14ac:dyDescent="0.25">
      <c r="A70" t="s">
        <v>622</v>
      </c>
      <c r="B70" s="3">
        <v>4000</v>
      </c>
      <c r="C70" s="72" t="s">
        <v>33</v>
      </c>
      <c r="D70" s="72">
        <v>42991</v>
      </c>
      <c r="E70" s="78" t="s">
        <v>623</v>
      </c>
      <c r="F70" s="3">
        <v>32367.29</v>
      </c>
      <c r="G70" s="72">
        <v>42996</v>
      </c>
      <c r="H70" s="70">
        <f t="shared" si="2"/>
        <v>-28367.29</v>
      </c>
      <c r="I70" s="70">
        <f t="shared" ref="I70:I133" si="3">I69+H70</f>
        <v>6317.2199999999866</v>
      </c>
    </row>
    <row r="71" spans="1:10" x14ac:dyDescent="0.25">
      <c r="A71" t="s">
        <v>624</v>
      </c>
      <c r="B71" s="3">
        <v>36000</v>
      </c>
      <c r="C71" s="72" t="s">
        <v>33</v>
      </c>
      <c r="D71" s="72">
        <v>42991</v>
      </c>
      <c r="E71" s="78" t="s">
        <v>625</v>
      </c>
      <c r="F71" s="3">
        <v>31976.86</v>
      </c>
      <c r="G71" s="72">
        <v>42997</v>
      </c>
      <c r="H71" s="70">
        <f t="shared" si="2"/>
        <v>4023.1399999999994</v>
      </c>
      <c r="I71" s="70">
        <f t="shared" si="3"/>
        <v>10340.359999999986</v>
      </c>
    </row>
    <row r="72" spans="1:10" x14ac:dyDescent="0.25">
      <c r="A72" t="s">
        <v>626</v>
      </c>
      <c r="B72" s="3">
        <v>36000</v>
      </c>
      <c r="C72" s="72" t="s">
        <v>33</v>
      </c>
      <c r="D72" s="72">
        <v>42991</v>
      </c>
      <c r="E72" s="78" t="s">
        <v>627</v>
      </c>
      <c r="F72" s="3">
        <v>31487.08</v>
      </c>
      <c r="G72" s="72">
        <v>42997</v>
      </c>
      <c r="H72" s="70">
        <f t="shared" si="2"/>
        <v>4512.9199999999983</v>
      </c>
      <c r="I72" s="70">
        <f t="shared" si="3"/>
        <v>14853.279999999984</v>
      </c>
    </row>
    <row r="73" spans="1:10" x14ac:dyDescent="0.25">
      <c r="A73" t="s">
        <v>628</v>
      </c>
      <c r="B73" s="3">
        <v>28000</v>
      </c>
      <c r="C73" s="72" t="s">
        <v>48</v>
      </c>
      <c r="D73" s="72">
        <v>42997</v>
      </c>
      <c r="E73" s="78" t="s">
        <v>629</v>
      </c>
      <c r="F73" s="3">
        <v>28927</v>
      </c>
      <c r="G73" s="72">
        <v>43003</v>
      </c>
      <c r="H73" s="70">
        <f t="shared" si="2"/>
        <v>-927</v>
      </c>
      <c r="I73" s="70">
        <f t="shared" si="3"/>
        <v>13926.279999999984</v>
      </c>
    </row>
    <row r="74" spans="1:10" x14ac:dyDescent="0.25">
      <c r="A74" t="s">
        <v>630</v>
      </c>
      <c r="B74" s="3">
        <v>28000</v>
      </c>
      <c r="C74" s="72" t="s">
        <v>33</v>
      </c>
      <c r="D74" s="72">
        <v>42998</v>
      </c>
      <c r="E74" s="78" t="s">
        <v>631</v>
      </c>
      <c r="F74" s="3">
        <v>28003.43</v>
      </c>
      <c r="G74" s="72">
        <v>43004</v>
      </c>
      <c r="H74" s="70">
        <f t="shared" si="2"/>
        <v>-3.430000000000291</v>
      </c>
      <c r="I74" s="70">
        <f t="shared" si="3"/>
        <v>13922.849999999984</v>
      </c>
    </row>
    <row r="75" spans="1:10" x14ac:dyDescent="0.25">
      <c r="A75" s="61" t="s">
        <v>632</v>
      </c>
      <c r="B75" s="3">
        <v>28000</v>
      </c>
      <c r="C75" s="72" t="s">
        <v>48</v>
      </c>
      <c r="D75" s="72">
        <v>43004</v>
      </c>
      <c r="E75" s="78" t="s">
        <v>633</v>
      </c>
      <c r="F75" s="3">
        <v>27084.42</v>
      </c>
      <c r="G75" s="72">
        <v>43010</v>
      </c>
      <c r="H75" s="70">
        <f t="shared" si="2"/>
        <v>915.58000000000175</v>
      </c>
      <c r="I75" s="70">
        <f t="shared" si="3"/>
        <v>14838.429999999986</v>
      </c>
    </row>
    <row r="76" spans="1:10" x14ac:dyDescent="0.25">
      <c r="A76" s="61" t="s">
        <v>634</v>
      </c>
      <c r="B76" s="3">
        <v>20000</v>
      </c>
      <c r="C76" s="72" t="s">
        <v>33</v>
      </c>
      <c r="D76" s="72">
        <v>43005</v>
      </c>
      <c r="E76" s="78" t="s">
        <v>635</v>
      </c>
      <c r="F76" s="3">
        <v>28484.44</v>
      </c>
      <c r="G76" s="72">
        <v>43011</v>
      </c>
      <c r="H76" s="70">
        <f t="shared" si="2"/>
        <v>-8484.4399999999987</v>
      </c>
      <c r="I76" s="70">
        <f t="shared" si="3"/>
        <v>6353.989999999987</v>
      </c>
    </row>
    <row r="77" spans="1:10" x14ac:dyDescent="0.25">
      <c r="A77" s="61" t="s">
        <v>636</v>
      </c>
      <c r="B77" s="3">
        <v>26000</v>
      </c>
      <c r="C77" s="72" t="s">
        <v>48</v>
      </c>
      <c r="D77" s="72">
        <v>43011</v>
      </c>
      <c r="E77" s="78" t="s">
        <v>637</v>
      </c>
      <c r="F77" s="3">
        <v>29023.78</v>
      </c>
      <c r="G77" s="72">
        <v>43017</v>
      </c>
      <c r="H77" s="70">
        <f t="shared" si="2"/>
        <v>-3023.7799999999988</v>
      </c>
      <c r="I77" s="70">
        <f t="shared" si="3"/>
        <v>3330.2099999999882</v>
      </c>
    </row>
    <row r="78" spans="1:10" x14ac:dyDescent="0.25">
      <c r="A78" s="61" t="s">
        <v>638</v>
      </c>
      <c r="B78" s="3">
        <v>27000</v>
      </c>
      <c r="C78" s="72" t="s">
        <v>33</v>
      </c>
      <c r="D78" s="72">
        <v>43012</v>
      </c>
      <c r="E78" s="78" t="s">
        <v>639</v>
      </c>
      <c r="F78" s="3">
        <v>28988.77</v>
      </c>
      <c r="G78" s="72">
        <v>43018</v>
      </c>
      <c r="H78" s="70">
        <f t="shared" si="2"/>
        <v>-1988.7700000000004</v>
      </c>
      <c r="I78" s="70">
        <f t="shared" si="3"/>
        <v>1341.4399999999878</v>
      </c>
    </row>
    <row r="79" spans="1:10" x14ac:dyDescent="0.25">
      <c r="A79" s="61" t="s">
        <v>640</v>
      </c>
      <c r="B79" s="3">
        <v>30500</v>
      </c>
      <c r="C79" s="72" t="s">
        <v>48</v>
      </c>
      <c r="D79" s="72">
        <v>43018</v>
      </c>
      <c r="E79" s="78" t="s">
        <v>641</v>
      </c>
      <c r="F79" s="3">
        <v>29206</v>
      </c>
      <c r="G79" s="72">
        <v>43024</v>
      </c>
      <c r="H79" s="70">
        <f t="shared" si="2"/>
        <v>1294</v>
      </c>
      <c r="I79" s="70">
        <f t="shared" si="3"/>
        <v>2635.4399999999878</v>
      </c>
    </row>
    <row r="80" spans="1:10" x14ac:dyDescent="0.25">
      <c r="A80" s="61" t="s">
        <v>642</v>
      </c>
      <c r="B80" s="3">
        <v>31000</v>
      </c>
      <c r="C80" s="72" t="s">
        <v>33</v>
      </c>
      <c r="D80" s="72">
        <v>43019</v>
      </c>
      <c r="E80" s="78" t="s">
        <v>643</v>
      </c>
      <c r="F80" s="3">
        <v>29191.599999999999</v>
      </c>
      <c r="G80" s="72">
        <v>43025</v>
      </c>
      <c r="H80" s="70">
        <f t="shared" si="2"/>
        <v>1808.4000000000015</v>
      </c>
      <c r="I80" s="70">
        <f t="shared" si="3"/>
        <v>4443.8399999999892</v>
      </c>
    </row>
    <row r="81" spans="1:9" x14ac:dyDescent="0.25">
      <c r="A81" s="61" t="s">
        <v>644</v>
      </c>
      <c r="B81" s="3">
        <v>31000</v>
      </c>
      <c r="C81" s="72" t="s">
        <v>33</v>
      </c>
      <c r="D81" s="72">
        <v>43019</v>
      </c>
      <c r="E81" s="78" t="s">
        <v>645</v>
      </c>
      <c r="F81" s="3">
        <v>31015.06</v>
      </c>
      <c r="G81" s="72">
        <v>43025</v>
      </c>
      <c r="H81" s="70">
        <f t="shared" si="2"/>
        <v>-15.06000000000131</v>
      </c>
      <c r="I81" s="70">
        <f t="shared" si="3"/>
        <v>4428.7799999999879</v>
      </c>
    </row>
    <row r="82" spans="1:9" x14ac:dyDescent="0.25">
      <c r="A82" s="61" t="s">
        <v>646</v>
      </c>
      <c r="B82" s="3">
        <v>32000</v>
      </c>
      <c r="C82" s="72" t="s">
        <v>48</v>
      </c>
      <c r="D82" s="72">
        <v>43025</v>
      </c>
      <c r="E82" s="78" t="s">
        <v>647</v>
      </c>
      <c r="F82" s="3">
        <v>31999.7</v>
      </c>
      <c r="G82" s="72">
        <v>43031</v>
      </c>
      <c r="H82" s="70">
        <f t="shared" si="2"/>
        <v>0.2999999999992724</v>
      </c>
      <c r="I82" s="70">
        <f t="shared" si="3"/>
        <v>4429.0799999999872</v>
      </c>
    </row>
    <row r="83" spans="1:9" x14ac:dyDescent="0.25">
      <c r="A83" s="61" t="s">
        <v>648</v>
      </c>
      <c r="B83" s="3">
        <v>32000</v>
      </c>
      <c r="C83" s="72" t="s">
        <v>33</v>
      </c>
      <c r="D83" s="72">
        <v>43026</v>
      </c>
      <c r="E83" s="78" t="s">
        <v>649</v>
      </c>
      <c r="F83" s="3">
        <v>32471.1</v>
      </c>
      <c r="G83" s="72">
        <v>43032</v>
      </c>
      <c r="H83" s="70">
        <f t="shared" si="2"/>
        <v>-471.09999999999854</v>
      </c>
      <c r="I83" s="70">
        <f t="shared" si="3"/>
        <v>3957.9799999999886</v>
      </c>
    </row>
    <row r="84" spans="1:9" x14ac:dyDescent="0.25">
      <c r="A84" s="61" t="s">
        <v>650</v>
      </c>
      <c r="B84" s="3">
        <v>33000</v>
      </c>
      <c r="C84" s="72" t="s">
        <v>48</v>
      </c>
      <c r="D84" s="72">
        <v>43032</v>
      </c>
      <c r="E84" s="78" t="s">
        <v>651</v>
      </c>
      <c r="F84" s="3">
        <v>33508.730000000003</v>
      </c>
      <c r="G84" s="72">
        <v>43038</v>
      </c>
      <c r="H84" s="70">
        <f t="shared" si="2"/>
        <v>-508.7300000000032</v>
      </c>
      <c r="I84" s="70">
        <f t="shared" si="3"/>
        <v>3449.2499999999854</v>
      </c>
    </row>
    <row r="85" spans="1:9" x14ac:dyDescent="0.25">
      <c r="A85" s="61" t="s">
        <v>652</v>
      </c>
      <c r="B85" s="3">
        <v>33500</v>
      </c>
      <c r="C85" s="72" t="s">
        <v>33</v>
      </c>
      <c r="D85" s="72">
        <v>43033</v>
      </c>
      <c r="E85" s="78" t="s">
        <v>653</v>
      </c>
      <c r="F85" s="3">
        <v>34136.199999999997</v>
      </c>
      <c r="G85" s="72">
        <v>43039</v>
      </c>
      <c r="H85" s="70">
        <f t="shared" si="2"/>
        <v>-636.19999999999709</v>
      </c>
      <c r="I85" s="70">
        <f t="shared" si="3"/>
        <v>2813.0499999999884</v>
      </c>
    </row>
    <row r="86" spans="1:9" x14ac:dyDescent="0.25">
      <c r="A86" s="61" t="s">
        <v>654</v>
      </c>
      <c r="B86" s="79">
        <v>0</v>
      </c>
      <c r="C86" s="72" t="s">
        <v>33</v>
      </c>
      <c r="D86" s="79" t="s">
        <v>230</v>
      </c>
      <c r="G86" s="77" t="s">
        <v>230</v>
      </c>
      <c r="H86" s="70">
        <f t="shared" si="2"/>
        <v>0</v>
      </c>
      <c r="I86" s="70">
        <f t="shared" si="3"/>
        <v>2813.0499999999884</v>
      </c>
    </row>
    <row r="87" spans="1:9" x14ac:dyDescent="0.25">
      <c r="A87" s="61">
        <v>79396</v>
      </c>
      <c r="B87" s="3">
        <v>33500</v>
      </c>
      <c r="C87" s="72" t="s">
        <v>48</v>
      </c>
      <c r="D87" s="72">
        <v>43033</v>
      </c>
      <c r="E87" s="78" t="s">
        <v>655</v>
      </c>
      <c r="F87" s="3">
        <v>33744.720000000001</v>
      </c>
      <c r="G87" s="72">
        <v>43045</v>
      </c>
      <c r="H87" s="70">
        <f t="shared" si="2"/>
        <v>-244.72000000000116</v>
      </c>
      <c r="I87" s="70">
        <f t="shared" si="3"/>
        <v>2568.3299999999872</v>
      </c>
    </row>
    <row r="88" spans="1:9" x14ac:dyDescent="0.25">
      <c r="A88" s="61">
        <v>79412</v>
      </c>
      <c r="B88" s="3">
        <v>34000</v>
      </c>
      <c r="C88" s="72" t="s">
        <v>48</v>
      </c>
      <c r="D88" s="72">
        <v>43046</v>
      </c>
      <c r="E88" s="78" t="s">
        <v>656</v>
      </c>
      <c r="F88" s="3">
        <v>34133.1</v>
      </c>
      <c r="G88" s="72">
        <v>43052</v>
      </c>
      <c r="H88" s="70">
        <f t="shared" si="2"/>
        <v>-133.09999999999854</v>
      </c>
      <c r="I88" s="70">
        <f t="shared" si="3"/>
        <v>2435.2299999999886</v>
      </c>
    </row>
    <row r="89" spans="1:9" x14ac:dyDescent="0.25">
      <c r="A89" s="61">
        <v>79414</v>
      </c>
      <c r="B89" s="3">
        <v>34500</v>
      </c>
      <c r="C89" s="72" t="s">
        <v>33</v>
      </c>
      <c r="D89" s="72">
        <v>43047</v>
      </c>
      <c r="E89" s="78" t="s">
        <v>657</v>
      </c>
      <c r="F89" s="3">
        <v>34330.120000000003</v>
      </c>
      <c r="G89" s="72">
        <v>43053</v>
      </c>
      <c r="H89" s="70">
        <f t="shared" si="2"/>
        <v>169.87999999999738</v>
      </c>
      <c r="I89" s="70">
        <f t="shared" si="3"/>
        <v>2605.109999999986</v>
      </c>
    </row>
    <row r="90" spans="1:9" x14ac:dyDescent="0.25">
      <c r="A90">
        <v>79415</v>
      </c>
      <c r="B90" s="3">
        <v>34500</v>
      </c>
      <c r="C90" s="72" t="s">
        <v>33</v>
      </c>
      <c r="D90" s="72">
        <v>43054</v>
      </c>
      <c r="E90" s="78" t="s">
        <v>658</v>
      </c>
      <c r="F90" s="3">
        <v>29613.55</v>
      </c>
      <c r="G90" s="72">
        <v>43060</v>
      </c>
      <c r="H90" s="70">
        <f t="shared" si="2"/>
        <v>4886.4500000000007</v>
      </c>
      <c r="I90" s="70">
        <f t="shared" si="3"/>
        <v>7491.5599999999868</v>
      </c>
    </row>
    <row r="91" spans="1:9" x14ac:dyDescent="0.25">
      <c r="A91">
        <v>79416</v>
      </c>
      <c r="B91" s="3">
        <v>34500</v>
      </c>
      <c r="C91" s="72" t="s">
        <v>33</v>
      </c>
      <c r="D91" s="72">
        <v>43054</v>
      </c>
      <c r="E91" s="78" t="s">
        <v>659</v>
      </c>
      <c r="F91" s="3">
        <v>29785.39</v>
      </c>
      <c r="G91" s="72">
        <v>43060</v>
      </c>
      <c r="H91" s="70">
        <f t="shared" si="2"/>
        <v>4714.6100000000006</v>
      </c>
      <c r="I91" s="70">
        <f t="shared" si="3"/>
        <v>12206.169999999987</v>
      </c>
    </row>
    <row r="92" spans="1:9" x14ac:dyDescent="0.25">
      <c r="A92">
        <v>79417</v>
      </c>
      <c r="B92" s="3">
        <v>25000</v>
      </c>
      <c r="C92" s="72" t="s">
        <v>45</v>
      </c>
      <c r="D92" s="72">
        <v>17</v>
      </c>
      <c r="E92" s="78" t="s">
        <v>660</v>
      </c>
      <c r="F92" s="3">
        <v>28735.61</v>
      </c>
      <c r="G92" s="72">
        <v>43063</v>
      </c>
      <c r="H92" s="70">
        <f t="shared" si="2"/>
        <v>-3735.6100000000006</v>
      </c>
      <c r="I92" s="70">
        <f t="shared" si="3"/>
        <v>8470.5599999999868</v>
      </c>
    </row>
    <row r="93" spans="1:9" x14ac:dyDescent="0.25">
      <c r="A93" t="s">
        <v>661</v>
      </c>
      <c r="B93" s="3">
        <v>30000</v>
      </c>
      <c r="C93" s="72" t="s">
        <v>48</v>
      </c>
      <c r="D93" s="72">
        <v>43074</v>
      </c>
      <c r="E93" s="78" t="s">
        <v>662</v>
      </c>
      <c r="F93" s="3">
        <v>32098.52</v>
      </c>
      <c r="G93" s="72">
        <v>43080</v>
      </c>
      <c r="H93" s="70">
        <f t="shared" si="2"/>
        <v>-2098.5200000000004</v>
      </c>
      <c r="I93" s="70">
        <f t="shared" si="3"/>
        <v>6372.0399999999863</v>
      </c>
    </row>
    <row r="94" spans="1:9" x14ac:dyDescent="0.25">
      <c r="A94" t="s">
        <v>663</v>
      </c>
      <c r="B94" s="3">
        <v>30000</v>
      </c>
      <c r="C94" s="72" t="s">
        <v>48</v>
      </c>
      <c r="D94" s="72">
        <v>43074</v>
      </c>
      <c r="E94" s="78" t="s">
        <v>664</v>
      </c>
      <c r="F94" s="3">
        <v>32292.400000000001</v>
      </c>
      <c r="G94" s="72">
        <v>43080</v>
      </c>
      <c r="H94" s="70">
        <f t="shared" si="2"/>
        <v>-2292.4000000000015</v>
      </c>
      <c r="I94" s="70">
        <f t="shared" si="3"/>
        <v>4079.6399999999849</v>
      </c>
    </row>
    <row r="95" spans="1:9" x14ac:dyDescent="0.25">
      <c r="A95" t="s">
        <v>665</v>
      </c>
      <c r="B95" s="3">
        <v>30000</v>
      </c>
      <c r="C95" s="72" t="s">
        <v>45</v>
      </c>
      <c r="D95" s="72">
        <v>43084</v>
      </c>
      <c r="E95" s="78" t="s">
        <v>666</v>
      </c>
      <c r="F95" s="3">
        <v>25813.07</v>
      </c>
      <c r="G95" s="72">
        <v>43091</v>
      </c>
      <c r="H95" s="70">
        <f t="shared" si="2"/>
        <v>4186.93</v>
      </c>
      <c r="I95" s="70">
        <f t="shared" si="3"/>
        <v>8266.5699999999852</v>
      </c>
    </row>
    <row r="96" spans="1:9" x14ac:dyDescent="0.25">
      <c r="A96" t="s">
        <v>667</v>
      </c>
      <c r="B96" s="3">
        <v>25000</v>
      </c>
      <c r="C96" s="72" t="s">
        <v>33</v>
      </c>
      <c r="D96" s="72">
        <v>43089</v>
      </c>
      <c r="E96" s="78" t="s">
        <v>668</v>
      </c>
      <c r="F96" s="3">
        <v>26158.74</v>
      </c>
      <c r="G96" s="72">
        <v>43095</v>
      </c>
      <c r="H96" s="70">
        <f t="shared" si="2"/>
        <v>-1158.7400000000016</v>
      </c>
      <c r="I96" s="70">
        <f t="shared" si="3"/>
        <v>7107.8299999999836</v>
      </c>
    </row>
    <row r="97" spans="1:10" x14ac:dyDescent="0.25">
      <c r="A97" t="s">
        <v>669</v>
      </c>
      <c r="B97" s="3">
        <v>25000</v>
      </c>
      <c r="C97" s="72" t="s">
        <v>33</v>
      </c>
      <c r="D97" s="72">
        <v>43089</v>
      </c>
      <c r="E97" s="78" t="s">
        <v>670</v>
      </c>
      <c r="F97" s="3">
        <v>25987.03</v>
      </c>
      <c r="G97" s="72">
        <v>43095</v>
      </c>
      <c r="H97" s="70">
        <f t="shared" si="2"/>
        <v>-987.02999999999884</v>
      </c>
      <c r="I97" s="70">
        <f t="shared" si="3"/>
        <v>6120.7999999999847</v>
      </c>
    </row>
    <row r="98" spans="1:10" x14ac:dyDescent="0.25">
      <c r="A98" t="s">
        <v>671</v>
      </c>
      <c r="B98" s="3">
        <v>25000</v>
      </c>
      <c r="C98" s="72" t="s">
        <v>33</v>
      </c>
      <c r="D98" s="72">
        <v>43096</v>
      </c>
      <c r="E98" s="78" t="s">
        <v>672</v>
      </c>
      <c r="F98" s="3">
        <v>27174.83</v>
      </c>
      <c r="G98" s="72">
        <v>43102</v>
      </c>
      <c r="H98" s="70">
        <f t="shared" si="2"/>
        <v>-2174.8300000000017</v>
      </c>
      <c r="I98" s="70">
        <f t="shared" si="3"/>
        <v>3945.969999999983</v>
      </c>
    </row>
    <row r="99" spans="1:10" x14ac:dyDescent="0.25">
      <c r="A99" t="s">
        <v>673</v>
      </c>
      <c r="B99" s="3">
        <v>25000</v>
      </c>
      <c r="C99" s="72" t="s">
        <v>33</v>
      </c>
      <c r="D99" s="72">
        <v>43096</v>
      </c>
      <c r="E99" s="78" t="s">
        <v>674</v>
      </c>
      <c r="F99" s="3">
        <v>27586.78</v>
      </c>
      <c r="G99" s="72">
        <v>43102</v>
      </c>
      <c r="H99" s="70">
        <f t="shared" si="2"/>
        <v>-2586.7799999999988</v>
      </c>
      <c r="I99" s="70">
        <f t="shared" si="3"/>
        <v>1359.1899999999841</v>
      </c>
    </row>
    <row r="100" spans="1:10" x14ac:dyDescent="0.25">
      <c r="A100" t="s">
        <v>675</v>
      </c>
      <c r="B100" s="3">
        <v>28000</v>
      </c>
      <c r="C100" s="72" t="s">
        <v>48</v>
      </c>
      <c r="D100" s="72">
        <v>43109</v>
      </c>
      <c r="E100" s="78" t="s">
        <v>676</v>
      </c>
      <c r="F100" s="3">
        <v>29183.759999999998</v>
      </c>
      <c r="G100" s="72">
        <v>43115</v>
      </c>
      <c r="H100" s="70">
        <f t="shared" si="2"/>
        <v>-1183.7599999999984</v>
      </c>
      <c r="I100" s="70">
        <f t="shared" si="3"/>
        <v>175.42999999998574</v>
      </c>
    </row>
    <row r="101" spans="1:10" x14ac:dyDescent="0.25">
      <c r="A101" t="s">
        <v>677</v>
      </c>
      <c r="B101" s="3"/>
      <c r="C101" s="72"/>
      <c r="D101" s="48" t="s">
        <v>563</v>
      </c>
      <c r="G101" s="72"/>
      <c r="H101" s="70">
        <f t="shared" si="2"/>
        <v>0</v>
      </c>
      <c r="I101" s="70">
        <f t="shared" si="3"/>
        <v>175.42999999998574</v>
      </c>
      <c r="J101" s="48" t="s">
        <v>563</v>
      </c>
    </row>
    <row r="102" spans="1:10" x14ac:dyDescent="0.25">
      <c r="A102" t="s">
        <v>678</v>
      </c>
      <c r="B102" s="3">
        <v>28000</v>
      </c>
      <c r="C102" s="72" t="s">
        <v>33</v>
      </c>
      <c r="D102" s="72">
        <v>43110</v>
      </c>
      <c r="E102" s="78" t="s">
        <v>679</v>
      </c>
      <c r="F102" s="3">
        <v>30868.37</v>
      </c>
      <c r="G102" s="72">
        <v>43116</v>
      </c>
      <c r="H102" s="70">
        <f t="shared" si="2"/>
        <v>-2868.369999999999</v>
      </c>
      <c r="I102" s="70">
        <f t="shared" si="3"/>
        <v>-2692.9400000000132</v>
      </c>
    </row>
    <row r="103" spans="1:10" x14ac:dyDescent="0.25">
      <c r="A103" t="s">
        <v>680</v>
      </c>
      <c r="B103" s="3">
        <v>32000</v>
      </c>
      <c r="C103" s="72" t="s">
        <v>281</v>
      </c>
      <c r="D103" s="72">
        <v>43117</v>
      </c>
      <c r="E103" s="78" t="s">
        <v>681</v>
      </c>
      <c r="F103" s="3">
        <v>31408.94</v>
      </c>
      <c r="G103" s="72">
        <v>43123</v>
      </c>
      <c r="H103" s="70">
        <f t="shared" si="2"/>
        <v>591.06000000000131</v>
      </c>
      <c r="I103" s="70">
        <f t="shared" si="3"/>
        <v>-2101.8800000000119</v>
      </c>
    </row>
    <row r="104" spans="1:10" x14ac:dyDescent="0.25">
      <c r="A104" t="s">
        <v>682</v>
      </c>
      <c r="B104" s="3">
        <v>35000</v>
      </c>
      <c r="C104" s="72" t="s">
        <v>683</v>
      </c>
      <c r="D104" s="72">
        <v>43123</v>
      </c>
      <c r="E104" s="78" t="s">
        <v>684</v>
      </c>
      <c r="F104" s="3">
        <v>33144.050000000003</v>
      </c>
      <c r="G104" s="72">
        <v>43129</v>
      </c>
      <c r="H104" s="70">
        <f t="shared" si="2"/>
        <v>1855.9499999999971</v>
      </c>
      <c r="I104" s="70">
        <f t="shared" si="3"/>
        <v>-245.93000000001484</v>
      </c>
    </row>
    <row r="105" spans="1:10" x14ac:dyDescent="0.25">
      <c r="A105" t="s">
        <v>685</v>
      </c>
      <c r="B105" s="3">
        <v>33000</v>
      </c>
      <c r="C105" s="72" t="s">
        <v>33</v>
      </c>
      <c r="D105" s="72">
        <v>43124</v>
      </c>
      <c r="E105" s="78" t="s">
        <v>686</v>
      </c>
      <c r="F105" s="3">
        <v>32316.19</v>
      </c>
      <c r="G105" s="72">
        <v>43130</v>
      </c>
      <c r="H105" s="70">
        <f t="shared" ref="H105:H168" si="4">B105-F105</f>
        <v>683.81000000000131</v>
      </c>
      <c r="I105" s="70">
        <f t="shared" si="3"/>
        <v>437.87999999998647</v>
      </c>
    </row>
    <row r="106" spans="1:10" x14ac:dyDescent="0.25">
      <c r="A106" t="s">
        <v>687</v>
      </c>
      <c r="B106" s="3">
        <v>34500</v>
      </c>
      <c r="C106" s="72" t="s">
        <v>683</v>
      </c>
      <c r="D106" s="72">
        <v>43130</v>
      </c>
      <c r="E106" s="78" t="s">
        <v>688</v>
      </c>
      <c r="F106" s="3">
        <v>29375.33</v>
      </c>
      <c r="G106" s="72">
        <v>43137</v>
      </c>
      <c r="H106" s="70">
        <f t="shared" si="4"/>
        <v>5124.6699999999983</v>
      </c>
      <c r="I106" s="70">
        <f t="shared" si="3"/>
        <v>5562.5499999999847</v>
      </c>
    </row>
    <row r="107" spans="1:10" x14ac:dyDescent="0.25">
      <c r="A107" t="s">
        <v>689</v>
      </c>
      <c r="B107" s="3">
        <v>34500</v>
      </c>
      <c r="C107" s="72" t="s">
        <v>683</v>
      </c>
      <c r="D107" s="72">
        <v>43130</v>
      </c>
      <c r="E107" s="78" t="s">
        <v>690</v>
      </c>
      <c r="F107" s="3">
        <v>29890.14</v>
      </c>
      <c r="G107" s="72">
        <v>43137</v>
      </c>
      <c r="H107" s="70">
        <f t="shared" si="4"/>
        <v>4609.8600000000006</v>
      </c>
      <c r="I107" s="70">
        <f t="shared" si="3"/>
        <v>10172.409999999985</v>
      </c>
    </row>
    <row r="108" spans="1:10" x14ac:dyDescent="0.25">
      <c r="A108" t="s">
        <v>691</v>
      </c>
      <c r="B108" s="3"/>
      <c r="C108" s="72" t="s">
        <v>683</v>
      </c>
      <c r="D108" s="48" t="s">
        <v>563</v>
      </c>
      <c r="G108" s="72"/>
      <c r="H108" s="70">
        <f t="shared" si="4"/>
        <v>0</v>
      </c>
      <c r="I108" s="70">
        <f t="shared" si="3"/>
        <v>10172.409999999985</v>
      </c>
      <c r="J108" s="48" t="s">
        <v>563</v>
      </c>
    </row>
    <row r="109" spans="1:10" x14ac:dyDescent="0.25">
      <c r="A109" t="s">
        <v>692</v>
      </c>
      <c r="B109" s="3">
        <v>26000</v>
      </c>
      <c r="C109" s="72" t="s">
        <v>683</v>
      </c>
      <c r="D109" s="72">
        <v>43151</v>
      </c>
      <c r="E109" s="78" t="s">
        <v>693</v>
      </c>
      <c r="F109" s="3">
        <v>29474.66</v>
      </c>
      <c r="G109" s="72">
        <v>43157</v>
      </c>
      <c r="H109" s="70">
        <f t="shared" si="4"/>
        <v>-3474.66</v>
      </c>
      <c r="I109" s="70">
        <f t="shared" si="3"/>
        <v>6697.7499999999854</v>
      </c>
    </row>
    <row r="110" spans="1:10" x14ac:dyDescent="0.25">
      <c r="A110" t="s">
        <v>694</v>
      </c>
      <c r="B110" s="3">
        <v>26000</v>
      </c>
      <c r="C110" s="72" t="s">
        <v>683</v>
      </c>
      <c r="D110" s="72">
        <v>43158</v>
      </c>
      <c r="E110" s="78" t="s">
        <v>695</v>
      </c>
      <c r="F110" s="3">
        <v>30172.84</v>
      </c>
      <c r="G110" s="72">
        <v>43164</v>
      </c>
      <c r="H110" s="70">
        <f t="shared" si="4"/>
        <v>-4172.84</v>
      </c>
      <c r="I110" s="70">
        <f t="shared" si="3"/>
        <v>2524.9099999999853</v>
      </c>
    </row>
    <row r="111" spans="1:10" x14ac:dyDescent="0.25">
      <c r="A111" t="s">
        <v>696</v>
      </c>
      <c r="B111" s="3">
        <v>32000</v>
      </c>
      <c r="C111" s="72" t="s">
        <v>33</v>
      </c>
      <c r="D111" s="72">
        <v>43187</v>
      </c>
      <c r="E111" s="78" t="s">
        <v>697</v>
      </c>
      <c r="F111" s="3">
        <v>30570.71</v>
      </c>
      <c r="G111" s="72">
        <v>43165</v>
      </c>
      <c r="H111" s="70">
        <f t="shared" si="4"/>
        <v>1429.2900000000009</v>
      </c>
      <c r="I111" s="70">
        <f t="shared" si="3"/>
        <v>3954.1999999999862</v>
      </c>
    </row>
    <row r="112" spans="1:10" x14ac:dyDescent="0.25">
      <c r="A112" t="s">
        <v>698</v>
      </c>
      <c r="B112" s="3">
        <v>31000</v>
      </c>
      <c r="C112" s="72" t="s">
        <v>33</v>
      </c>
      <c r="D112" s="72">
        <v>43166</v>
      </c>
      <c r="E112" s="78" t="s">
        <v>699</v>
      </c>
      <c r="F112" s="3">
        <v>28330.44</v>
      </c>
      <c r="G112" s="72">
        <v>43172</v>
      </c>
      <c r="H112" s="70">
        <f t="shared" si="4"/>
        <v>2669.5600000000013</v>
      </c>
      <c r="I112" s="70">
        <f t="shared" si="3"/>
        <v>6623.7599999999875</v>
      </c>
    </row>
    <row r="113" spans="1:9" x14ac:dyDescent="0.25">
      <c r="A113" t="s">
        <v>700</v>
      </c>
      <c r="B113" s="3">
        <v>27500</v>
      </c>
      <c r="C113" s="72" t="s">
        <v>33</v>
      </c>
      <c r="D113" s="72">
        <v>43173</v>
      </c>
      <c r="E113" s="78" t="s">
        <v>701</v>
      </c>
      <c r="F113" s="3">
        <v>26477.64</v>
      </c>
      <c r="G113" s="72">
        <v>43179</v>
      </c>
      <c r="H113" s="70">
        <f t="shared" si="4"/>
        <v>1022.3600000000006</v>
      </c>
      <c r="I113" s="70">
        <f t="shared" si="3"/>
        <v>7646.1199999999881</v>
      </c>
    </row>
    <row r="114" spans="1:9" x14ac:dyDescent="0.25">
      <c r="A114" t="s">
        <v>702</v>
      </c>
      <c r="B114" s="3">
        <v>27500</v>
      </c>
      <c r="C114" s="72" t="s">
        <v>33</v>
      </c>
      <c r="D114" s="72">
        <v>43173</v>
      </c>
      <c r="E114" s="78" t="s">
        <v>703</v>
      </c>
      <c r="F114" s="3">
        <v>26512.73</v>
      </c>
      <c r="G114" s="72">
        <v>43179</v>
      </c>
      <c r="H114" s="70">
        <f t="shared" si="4"/>
        <v>987.27000000000044</v>
      </c>
      <c r="I114" s="70">
        <f t="shared" si="3"/>
        <v>8633.3899999999885</v>
      </c>
    </row>
    <row r="115" spans="1:9" x14ac:dyDescent="0.25">
      <c r="A115" t="s">
        <v>704</v>
      </c>
      <c r="B115" s="3">
        <v>20000</v>
      </c>
      <c r="C115" s="72" t="s">
        <v>33</v>
      </c>
      <c r="D115" s="72">
        <v>43152</v>
      </c>
      <c r="E115" s="78" t="s">
        <v>705</v>
      </c>
      <c r="F115" s="3">
        <v>25489.81</v>
      </c>
      <c r="G115" s="72">
        <v>43186</v>
      </c>
      <c r="H115" s="70">
        <f t="shared" si="4"/>
        <v>-5489.8100000000013</v>
      </c>
      <c r="I115" s="70">
        <f t="shared" si="3"/>
        <v>3143.5799999999872</v>
      </c>
    </row>
    <row r="116" spans="1:9" x14ac:dyDescent="0.25">
      <c r="A116" t="s">
        <v>706</v>
      </c>
      <c r="B116" s="3">
        <v>25000</v>
      </c>
      <c r="C116" s="72" t="s">
        <v>48</v>
      </c>
      <c r="D116" s="72">
        <v>43186</v>
      </c>
      <c r="E116" s="78" t="s">
        <v>707</v>
      </c>
      <c r="F116" s="3">
        <v>25578.53</v>
      </c>
      <c r="G116" s="72">
        <v>43192</v>
      </c>
      <c r="H116" s="70">
        <f t="shared" si="4"/>
        <v>-578.52999999999884</v>
      </c>
      <c r="I116" s="70">
        <f t="shared" si="3"/>
        <v>2565.0499999999884</v>
      </c>
    </row>
    <row r="117" spans="1:9" x14ac:dyDescent="0.25">
      <c r="A117" t="s">
        <v>708</v>
      </c>
      <c r="B117" s="3">
        <v>25000</v>
      </c>
      <c r="C117" s="72" t="s">
        <v>33</v>
      </c>
      <c r="D117" s="72">
        <v>43187</v>
      </c>
      <c r="E117" s="78" t="s">
        <v>709</v>
      </c>
      <c r="F117" s="3">
        <v>25943.68</v>
      </c>
      <c r="G117" s="72">
        <v>43193</v>
      </c>
      <c r="H117" s="70">
        <f t="shared" si="4"/>
        <v>-943.68000000000029</v>
      </c>
      <c r="I117" s="70">
        <f t="shared" si="3"/>
        <v>1621.3699999999881</v>
      </c>
    </row>
    <row r="118" spans="1:9" x14ac:dyDescent="0.25">
      <c r="A118">
        <v>43772</v>
      </c>
      <c r="B118" s="3">
        <v>25000</v>
      </c>
      <c r="C118" s="72" t="s">
        <v>48</v>
      </c>
      <c r="D118" s="72">
        <v>43193</v>
      </c>
      <c r="E118" s="78" t="s">
        <v>710</v>
      </c>
      <c r="F118" s="3">
        <v>26537.64</v>
      </c>
      <c r="G118" s="72">
        <v>43199</v>
      </c>
      <c r="H118" s="70">
        <f t="shared" si="4"/>
        <v>-1537.6399999999994</v>
      </c>
      <c r="I118" s="70">
        <f t="shared" si="3"/>
        <v>83.72999999998865</v>
      </c>
    </row>
    <row r="119" spans="1:9" x14ac:dyDescent="0.25">
      <c r="A119">
        <v>43791</v>
      </c>
      <c r="B119" s="3">
        <v>27000</v>
      </c>
      <c r="C119" s="72" t="s">
        <v>33</v>
      </c>
      <c r="D119" s="72">
        <v>43194</v>
      </c>
      <c r="E119" s="78" t="s">
        <v>711</v>
      </c>
      <c r="F119" s="3">
        <v>26655.82</v>
      </c>
      <c r="G119" s="72">
        <v>43200</v>
      </c>
      <c r="H119" s="70">
        <f t="shared" si="4"/>
        <v>344.18000000000029</v>
      </c>
      <c r="I119" s="70">
        <f t="shared" si="3"/>
        <v>427.90999999998894</v>
      </c>
    </row>
    <row r="120" spans="1:9" x14ac:dyDescent="0.25">
      <c r="A120">
        <v>43792</v>
      </c>
      <c r="B120" s="3">
        <v>27000</v>
      </c>
      <c r="C120" s="72" t="s">
        <v>33</v>
      </c>
      <c r="D120" s="72">
        <v>43201</v>
      </c>
      <c r="E120" s="78" t="s">
        <v>550</v>
      </c>
      <c r="F120" s="3">
        <v>26541.21</v>
      </c>
      <c r="G120" s="72">
        <v>43207</v>
      </c>
      <c r="H120" s="70">
        <f t="shared" si="4"/>
        <v>458.79000000000087</v>
      </c>
      <c r="I120" s="70">
        <f t="shared" si="3"/>
        <v>886.69999999998981</v>
      </c>
    </row>
    <row r="121" spans="1:9" x14ac:dyDescent="0.25">
      <c r="A121">
        <v>43793</v>
      </c>
      <c r="B121" s="3">
        <v>27000</v>
      </c>
      <c r="C121" s="72" t="s">
        <v>33</v>
      </c>
      <c r="D121" s="72">
        <v>43201</v>
      </c>
      <c r="E121" s="78" t="s">
        <v>712</v>
      </c>
      <c r="F121" s="3">
        <v>26499.43</v>
      </c>
      <c r="G121" s="72">
        <v>43207</v>
      </c>
      <c r="H121" s="70">
        <f t="shared" si="4"/>
        <v>500.56999999999971</v>
      </c>
      <c r="I121" s="70">
        <f t="shared" si="3"/>
        <v>1387.2699999999895</v>
      </c>
    </row>
    <row r="122" spans="1:9" x14ac:dyDescent="0.25">
      <c r="A122">
        <v>43794</v>
      </c>
      <c r="B122" s="3">
        <v>28000</v>
      </c>
      <c r="C122" s="72" t="s">
        <v>48</v>
      </c>
      <c r="D122" s="72">
        <v>43207</v>
      </c>
      <c r="E122" s="78" t="s">
        <v>713</v>
      </c>
      <c r="F122" s="3">
        <v>27161.13</v>
      </c>
      <c r="G122" s="72">
        <v>43213</v>
      </c>
      <c r="H122" s="70">
        <f t="shared" si="4"/>
        <v>838.86999999999898</v>
      </c>
      <c r="I122" s="70">
        <f t="shared" si="3"/>
        <v>2226.1399999999885</v>
      </c>
    </row>
    <row r="123" spans="1:9" x14ac:dyDescent="0.25">
      <c r="A123">
        <v>43795</v>
      </c>
      <c r="B123" s="3">
        <v>28000</v>
      </c>
      <c r="C123" s="72" t="s">
        <v>33</v>
      </c>
      <c r="D123" s="72">
        <v>43208</v>
      </c>
      <c r="E123" s="78" t="s">
        <v>714</v>
      </c>
      <c r="F123" s="3">
        <v>28267.65</v>
      </c>
      <c r="G123" s="72">
        <v>43214</v>
      </c>
      <c r="H123" s="70">
        <f t="shared" si="4"/>
        <v>-267.65000000000146</v>
      </c>
      <c r="I123" s="70">
        <f t="shared" si="3"/>
        <v>1958.489999999987</v>
      </c>
    </row>
    <row r="124" spans="1:9" x14ac:dyDescent="0.25">
      <c r="A124">
        <v>43796</v>
      </c>
      <c r="B124" s="3">
        <v>28000</v>
      </c>
      <c r="C124" s="72" t="s">
        <v>48</v>
      </c>
      <c r="D124" s="72">
        <v>43214</v>
      </c>
      <c r="E124" s="78" t="s">
        <v>715</v>
      </c>
      <c r="F124" s="3">
        <v>26972.99</v>
      </c>
      <c r="G124" s="72">
        <v>43220</v>
      </c>
      <c r="H124" s="70">
        <f t="shared" si="4"/>
        <v>1027.0099999999984</v>
      </c>
      <c r="I124" s="70">
        <f t="shared" si="3"/>
        <v>2985.4999999999854</v>
      </c>
    </row>
    <row r="125" spans="1:9" x14ac:dyDescent="0.25">
      <c r="A125">
        <v>43797</v>
      </c>
      <c r="B125" s="3">
        <v>29000</v>
      </c>
      <c r="C125" s="72" t="s">
        <v>33</v>
      </c>
      <c r="D125" s="72">
        <v>43215</v>
      </c>
      <c r="E125" s="78" t="s">
        <v>716</v>
      </c>
      <c r="F125" s="3">
        <v>25769.61</v>
      </c>
      <c r="G125" s="72">
        <v>43222</v>
      </c>
      <c r="H125" s="70">
        <f t="shared" si="4"/>
        <v>3230.3899999999994</v>
      </c>
      <c r="I125" s="70">
        <f t="shared" si="3"/>
        <v>6215.8899999999849</v>
      </c>
    </row>
    <row r="126" spans="1:9" x14ac:dyDescent="0.25">
      <c r="A126">
        <v>43798</v>
      </c>
      <c r="B126" s="3">
        <v>23000</v>
      </c>
      <c r="C126" s="72" t="s">
        <v>29</v>
      </c>
      <c r="D126" s="72">
        <v>43220</v>
      </c>
      <c r="E126" s="78" t="s">
        <v>717</v>
      </c>
      <c r="F126" s="3">
        <v>24787.94</v>
      </c>
      <c r="G126" s="72">
        <v>43227</v>
      </c>
      <c r="H126" s="70">
        <f t="shared" si="4"/>
        <v>-1787.9399999999987</v>
      </c>
      <c r="I126" s="70">
        <f t="shared" si="3"/>
        <v>4427.9499999999862</v>
      </c>
    </row>
    <row r="127" spans="1:9" x14ac:dyDescent="0.25">
      <c r="A127">
        <v>43799</v>
      </c>
      <c r="B127" s="3">
        <v>23000</v>
      </c>
      <c r="C127" s="72" t="s">
        <v>33</v>
      </c>
      <c r="D127" s="72">
        <v>43222</v>
      </c>
      <c r="E127" s="78" t="s">
        <v>718</v>
      </c>
      <c r="F127" s="3">
        <v>24772.720000000001</v>
      </c>
      <c r="G127" s="72">
        <v>43228</v>
      </c>
      <c r="H127" s="70">
        <f t="shared" si="4"/>
        <v>-1772.7200000000012</v>
      </c>
      <c r="I127" s="70">
        <f t="shared" si="3"/>
        <v>2655.229999999985</v>
      </c>
    </row>
    <row r="128" spans="1:9" x14ac:dyDescent="0.25">
      <c r="A128" t="s">
        <v>719</v>
      </c>
      <c r="B128" s="3">
        <v>25000</v>
      </c>
      <c r="C128" s="72" t="s">
        <v>48</v>
      </c>
      <c r="D128" s="72">
        <v>43228</v>
      </c>
      <c r="E128" s="78" t="s">
        <v>720</v>
      </c>
      <c r="F128" s="3">
        <v>25611.91</v>
      </c>
      <c r="G128" s="72">
        <v>43234</v>
      </c>
      <c r="H128" s="70">
        <f t="shared" si="4"/>
        <v>-611.90999999999985</v>
      </c>
      <c r="I128" s="70">
        <f t="shared" si="3"/>
        <v>2043.3199999999852</v>
      </c>
    </row>
    <row r="129" spans="1:10" x14ac:dyDescent="0.25">
      <c r="A129" t="s">
        <v>721</v>
      </c>
      <c r="B129" s="3">
        <v>25000</v>
      </c>
      <c r="C129" s="72" t="s">
        <v>45</v>
      </c>
      <c r="D129" s="72">
        <v>43231</v>
      </c>
      <c r="E129" s="78" t="s">
        <v>722</v>
      </c>
      <c r="F129" s="3">
        <v>24783.61</v>
      </c>
      <c r="G129" s="72">
        <v>43237</v>
      </c>
      <c r="H129" s="70">
        <f t="shared" si="4"/>
        <v>216.38999999999942</v>
      </c>
      <c r="I129" s="70">
        <f t="shared" si="3"/>
        <v>2259.7099999999846</v>
      </c>
    </row>
    <row r="130" spans="1:10" x14ac:dyDescent="0.25">
      <c r="A130" t="s">
        <v>723</v>
      </c>
      <c r="B130" s="3">
        <v>25000</v>
      </c>
      <c r="C130" s="72" t="s">
        <v>33</v>
      </c>
      <c r="D130" s="72">
        <v>43236</v>
      </c>
      <c r="E130" s="78" t="s">
        <v>724</v>
      </c>
      <c r="F130" s="3">
        <v>24932.03</v>
      </c>
      <c r="G130" s="72">
        <v>43242</v>
      </c>
      <c r="H130" s="70">
        <f t="shared" si="4"/>
        <v>67.970000000001164</v>
      </c>
      <c r="I130" s="70">
        <f t="shared" si="3"/>
        <v>2327.6799999999857</v>
      </c>
    </row>
    <row r="131" spans="1:10" x14ac:dyDescent="0.25">
      <c r="A131" t="s">
        <v>725</v>
      </c>
      <c r="B131" s="3">
        <v>25500</v>
      </c>
      <c r="C131" s="72" t="s">
        <v>48</v>
      </c>
      <c r="D131" s="72">
        <v>43242</v>
      </c>
      <c r="E131" s="78" t="s">
        <v>726</v>
      </c>
      <c r="F131" s="3">
        <v>26303.73</v>
      </c>
      <c r="G131" s="72">
        <v>43248</v>
      </c>
      <c r="H131" s="70">
        <f t="shared" si="4"/>
        <v>-803.72999999999956</v>
      </c>
      <c r="I131" s="70">
        <f t="shared" si="3"/>
        <v>1523.9499999999862</v>
      </c>
    </row>
    <row r="132" spans="1:10" x14ac:dyDescent="0.25">
      <c r="A132" t="s">
        <v>727</v>
      </c>
      <c r="B132" s="79"/>
      <c r="C132" s="72" t="s">
        <v>33</v>
      </c>
      <c r="D132" s="72">
        <v>43243</v>
      </c>
      <c r="E132" s="48"/>
      <c r="F132" s="79">
        <v>0</v>
      </c>
      <c r="G132" s="72">
        <v>43249</v>
      </c>
      <c r="H132" s="70">
        <f t="shared" si="4"/>
        <v>0</v>
      </c>
      <c r="I132" s="70">
        <f t="shared" si="3"/>
        <v>1523.9499999999862</v>
      </c>
      <c r="J132" t="s">
        <v>728</v>
      </c>
    </row>
    <row r="133" spans="1:10" x14ac:dyDescent="0.25">
      <c r="A133" t="s">
        <v>729</v>
      </c>
      <c r="B133" s="3">
        <v>26000</v>
      </c>
      <c r="C133" s="72" t="s">
        <v>33</v>
      </c>
      <c r="D133" s="72">
        <v>43243</v>
      </c>
      <c r="E133" s="78" t="s">
        <v>730</v>
      </c>
      <c r="F133" s="3">
        <v>30561.34</v>
      </c>
      <c r="G133" s="72">
        <v>43256</v>
      </c>
      <c r="H133" s="70">
        <f t="shared" si="4"/>
        <v>-4561.34</v>
      </c>
      <c r="I133" s="70">
        <f t="shared" si="3"/>
        <v>-3037.390000000014</v>
      </c>
    </row>
    <row r="134" spans="1:10" x14ac:dyDescent="0.25">
      <c r="A134" t="s">
        <v>731</v>
      </c>
      <c r="B134" s="3">
        <v>29000</v>
      </c>
      <c r="C134" s="72" t="s">
        <v>33</v>
      </c>
      <c r="D134" s="72">
        <v>43250</v>
      </c>
      <c r="E134" s="78" t="s">
        <v>732</v>
      </c>
      <c r="F134" s="3">
        <v>30668.13</v>
      </c>
      <c r="G134" s="72">
        <v>43256</v>
      </c>
      <c r="H134" s="70">
        <f t="shared" si="4"/>
        <v>-1668.130000000001</v>
      </c>
      <c r="I134" s="70">
        <f t="shared" ref="I134:I197" si="5">I133+H134</f>
        <v>-4705.520000000015</v>
      </c>
    </row>
    <row r="135" spans="1:10" x14ac:dyDescent="0.25">
      <c r="A135" t="s">
        <v>733</v>
      </c>
      <c r="B135" s="3">
        <v>34000</v>
      </c>
      <c r="C135" s="72" t="s">
        <v>29</v>
      </c>
      <c r="D135" s="72">
        <v>43255</v>
      </c>
      <c r="E135" s="78" t="s">
        <v>734</v>
      </c>
      <c r="F135" s="3">
        <v>30343.11</v>
      </c>
      <c r="G135" s="72">
        <v>43259</v>
      </c>
      <c r="H135" s="70">
        <f t="shared" si="4"/>
        <v>3656.8899999999994</v>
      </c>
      <c r="I135" s="70">
        <f t="shared" si="5"/>
        <v>-1048.6300000000156</v>
      </c>
    </row>
    <row r="136" spans="1:10" x14ac:dyDescent="0.25">
      <c r="A136" t="s">
        <v>735</v>
      </c>
      <c r="B136" s="79"/>
      <c r="C136" s="72" t="s">
        <v>29</v>
      </c>
      <c r="D136" s="72">
        <v>43255</v>
      </c>
      <c r="E136" s="48"/>
      <c r="F136" s="79">
        <v>0</v>
      </c>
      <c r="G136" s="72">
        <v>43259</v>
      </c>
      <c r="H136" s="70">
        <f t="shared" si="4"/>
        <v>0</v>
      </c>
      <c r="I136" s="70">
        <f t="shared" si="5"/>
        <v>-1048.6300000000156</v>
      </c>
      <c r="J136" t="s">
        <v>728</v>
      </c>
    </row>
    <row r="137" spans="1:10" x14ac:dyDescent="0.25">
      <c r="A137" t="s">
        <v>736</v>
      </c>
      <c r="B137" s="3">
        <v>34000</v>
      </c>
      <c r="C137" s="72" t="s">
        <v>29</v>
      </c>
      <c r="D137" s="72">
        <v>43255</v>
      </c>
      <c r="E137" s="78" t="s">
        <v>737</v>
      </c>
      <c r="F137" s="3">
        <v>29726.9</v>
      </c>
      <c r="G137" s="72">
        <v>43266</v>
      </c>
      <c r="H137" s="70">
        <f t="shared" si="4"/>
        <v>4273.0999999999985</v>
      </c>
      <c r="I137" s="70">
        <f t="shared" si="5"/>
        <v>3224.469999999983</v>
      </c>
    </row>
    <row r="138" spans="1:10" x14ac:dyDescent="0.25">
      <c r="A138" t="s">
        <v>738</v>
      </c>
      <c r="B138" s="79"/>
      <c r="C138" s="72" t="s">
        <v>29</v>
      </c>
      <c r="D138" s="72">
        <v>43255</v>
      </c>
      <c r="E138" s="48"/>
      <c r="F138" s="79"/>
      <c r="G138" s="72">
        <v>43266</v>
      </c>
      <c r="H138" s="70">
        <f t="shared" si="4"/>
        <v>0</v>
      </c>
      <c r="I138" s="70">
        <f t="shared" si="5"/>
        <v>3224.469999999983</v>
      </c>
      <c r="J138" t="s">
        <v>728</v>
      </c>
    </row>
    <row r="139" spans="1:10" x14ac:dyDescent="0.25">
      <c r="A139" t="s">
        <v>739</v>
      </c>
      <c r="B139" s="3">
        <v>30000</v>
      </c>
      <c r="C139" s="72" t="s">
        <v>29</v>
      </c>
      <c r="D139" s="72">
        <v>43262</v>
      </c>
      <c r="E139" s="78" t="s">
        <v>740</v>
      </c>
      <c r="F139" s="3">
        <v>29678.43</v>
      </c>
      <c r="G139" s="72">
        <v>43272</v>
      </c>
      <c r="H139" s="70">
        <f t="shared" si="4"/>
        <v>321.56999999999971</v>
      </c>
      <c r="I139" s="70">
        <f t="shared" si="5"/>
        <v>3546.0399999999827</v>
      </c>
    </row>
    <row r="140" spans="1:10" x14ac:dyDescent="0.25">
      <c r="A140" t="s">
        <v>741</v>
      </c>
      <c r="B140" s="3">
        <v>29000</v>
      </c>
      <c r="C140" s="72" t="s">
        <v>29</v>
      </c>
      <c r="D140" s="72">
        <v>43269</v>
      </c>
      <c r="E140" t="s">
        <v>742</v>
      </c>
      <c r="F140" s="3">
        <v>29443.63</v>
      </c>
      <c r="G140" s="72">
        <v>43273</v>
      </c>
      <c r="H140" s="70">
        <f t="shared" si="4"/>
        <v>-443.63000000000102</v>
      </c>
      <c r="I140" s="70">
        <f t="shared" si="5"/>
        <v>3102.4099999999817</v>
      </c>
    </row>
    <row r="141" spans="1:10" x14ac:dyDescent="0.25">
      <c r="A141" t="s">
        <v>743</v>
      </c>
      <c r="B141" s="3">
        <v>29000</v>
      </c>
      <c r="C141" s="72" t="s">
        <v>29</v>
      </c>
      <c r="D141" s="72">
        <v>43276</v>
      </c>
      <c r="E141" t="s">
        <v>744</v>
      </c>
      <c r="F141" s="3">
        <v>33293.11</v>
      </c>
      <c r="G141" s="72">
        <v>43280</v>
      </c>
      <c r="H141" s="70">
        <f t="shared" si="4"/>
        <v>-4293.1100000000006</v>
      </c>
      <c r="I141" s="70">
        <f t="shared" si="5"/>
        <v>-1190.7000000000189</v>
      </c>
    </row>
    <row r="142" spans="1:10" x14ac:dyDescent="0.25">
      <c r="A142" t="s">
        <v>745</v>
      </c>
      <c r="B142" s="79"/>
      <c r="C142" s="72" t="s">
        <v>29</v>
      </c>
      <c r="D142" s="72">
        <v>43276</v>
      </c>
      <c r="E142" s="48"/>
      <c r="F142" s="79"/>
      <c r="G142" s="72">
        <v>43280</v>
      </c>
      <c r="H142" s="70">
        <f t="shared" si="4"/>
        <v>0</v>
      </c>
      <c r="I142" s="70">
        <f t="shared" si="5"/>
        <v>-1190.7000000000189</v>
      </c>
      <c r="J142" t="s">
        <v>728</v>
      </c>
    </row>
    <row r="143" spans="1:10" x14ac:dyDescent="0.25">
      <c r="A143" t="s">
        <v>746</v>
      </c>
      <c r="B143" s="3">
        <v>29000</v>
      </c>
      <c r="C143" s="72" t="s">
        <v>29</v>
      </c>
      <c r="D143" s="72">
        <v>43276</v>
      </c>
      <c r="E143" t="s">
        <v>747</v>
      </c>
      <c r="F143" s="3">
        <v>29877.9</v>
      </c>
      <c r="G143" s="72">
        <v>43283</v>
      </c>
      <c r="H143" s="70">
        <f t="shared" si="4"/>
        <v>-877.90000000000146</v>
      </c>
      <c r="I143" s="70">
        <f t="shared" si="5"/>
        <v>-2068.6000000000204</v>
      </c>
    </row>
    <row r="144" spans="1:10" x14ac:dyDescent="0.25">
      <c r="A144" t="s">
        <v>748</v>
      </c>
      <c r="B144" s="3">
        <v>32000</v>
      </c>
      <c r="C144" s="72" t="s">
        <v>29</v>
      </c>
      <c r="D144" s="72">
        <v>43283</v>
      </c>
      <c r="E144" t="s">
        <v>749</v>
      </c>
      <c r="F144" s="3">
        <v>26962.02</v>
      </c>
      <c r="G144" s="72">
        <v>43287</v>
      </c>
      <c r="H144" s="70">
        <f t="shared" si="4"/>
        <v>5037.9799999999996</v>
      </c>
      <c r="I144" s="70">
        <f t="shared" si="5"/>
        <v>2969.3799999999792</v>
      </c>
    </row>
    <row r="145" spans="1:9" x14ac:dyDescent="0.25">
      <c r="A145" t="s">
        <v>750</v>
      </c>
      <c r="B145" s="3">
        <v>32000</v>
      </c>
      <c r="C145" s="72" t="s">
        <v>29</v>
      </c>
      <c r="D145" s="72">
        <v>43283</v>
      </c>
      <c r="E145" t="s">
        <v>751</v>
      </c>
      <c r="F145" s="3">
        <v>26812.04</v>
      </c>
      <c r="G145" s="72">
        <v>43287</v>
      </c>
      <c r="H145" s="70">
        <f t="shared" si="4"/>
        <v>5187.9599999999991</v>
      </c>
      <c r="I145" s="70">
        <f t="shared" si="5"/>
        <v>8157.3399999999783</v>
      </c>
    </row>
    <row r="146" spans="1:9" x14ac:dyDescent="0.25">
      <c r="A146" t="s">
        <v>752</v>
      </c>
      <c r="B146" s="3">
        <v>23000</v>
      </c>
      <c r="C146" s="72" t="s">
        <v>33</v>
      </c>
      <c r="D146" s="72">
        <v>43285</v>
      </c>
      <c r="E146" t="s">
        <v>753</v>
      </c>
      <c r="F146" s="3">
        <v>25284.22</v>
      </c>
      <c r="G146" s="72">
        <v>43291</v>
      </c>
      <c r="H146" s="70">
        <f t="shared" si="4"/>
        <v>-2284.2200000000012</v>
      </c>
      <c r="I146" s="70">
        <f t="shared" si="5"/>
        <v>5873.1199999999772</v>
      </c>
    </row>
    <row r="147" spans="1:9" x14ac:dyDescent="0.25">
      <c r="A147" t="s">
        <v>754</v>
      </c>
      <c r="B147" s="3">
        <v>24000</v>
      </c>
      <c r="C147" s="72" t="s">
        <v>33</v>
      </c>
      <c r="D147" s="72">
        <v>43292</v>
      </c>
      <c r="E147" t="s">
        <v>755</v>
      </c>
      <c r="F147" s="3">
        <v>24951.86</v>
      </c>
      <c r="G147" s="72">
        <v>43298</v>
      </c>
      <c r="H147" s="70">
        <f t="shared" si="4"/>
        <v>-951.86000000000058</v>
      </c>
      <c r="I147" s="70">
        <f t="shared" si="5"/>
        <v>4921.2599999999766</v>
      </c>
    </row>
    <row r="148" spans="1:9" x14ac:dyDescent="0.25">
      <c r="A148" t="s">
        <v>756</v>
      </c>
      <c r="B148" s="3">
        <v>24000</v>
      </c>
      <c r="C148" s="72" t="s">
        <v>33</v>
      </c>
      <c r="D148" s="72">
        <v>43292</v>
      </c>
      <c r="E148" t="s">
        <v>757</v>
      </c>
      <c r="F148" s="3">
        <v>24930.77</v>
      </c>
      <c r="G148" s="72">
        <v>43298</v>
      </c>
      <c r="H148" s="70">
        <f t="shared" si="4"/>
        <v>-930.77000000000044</v>
      </c>
      <c r="I148" s="70">
        <f t="shared" si="5"/>
        <v>3990.4899999999761</v>
      </c>
    </row>
    <row r="149" spans="1:9" x14ac:dyDescent="0.25">
      <c r="A149" t="s">
        <v>758</v>
      </c>
      <c r="B149" s="3">
        <v>24000</v>
      </c>
      <c r="C149" s="72" t="s">
        <v>33</v>
      </c>
      <c r="D149" s="72">
        <v>43299</v>
      </c>
      <c r="E149" t="s">
        <v>596</v>
      </c>
      <c r="F149" s="3">
        <v>26555.41</v>
      </c>
      <c r="G149" s="72">
        <v>43305</v>
      </c>
      <c r="H149" s="70">
        <f t="shared" si="4"/>
        <v>-2555.41</v>
      </c>
      <c r="I149" s="70">
        <f t="shared" si="5"/>
        <v>1435.0799999999763</v>
      </c>
    </row>
    <row r="150" spans="1:9" x14ac:dyDescent="0.25">
      <c r="A150" t="s">
        <v>759</v>
      </c>
      <c r="B150" s="3">
        <v>24000</v>
      </c>
      <c r="C150" s="72" t="s">
        <v>33</v>
      </c>
      <c r="D150" s="72">
        <v>43299</v>
      </c>
      <c r="E150" t="s">
        <v>760</v>
      </c>
      <c r="F150" s="3">
        <v>26663.35</v>
      </c>
      <c r="G150" s="72">
        <v>43305</v>
      </c>
      <c r="H150" s="70">
        <f t="shared" si="4"/>
        <v>-2663.3499999999985</v>
      </c>
      <c r="I150" s="70">
        <f t="shared" si="5"/>
        <v>-1228.2700000000223</v>
      </c>
    </row>
    <row r="151" spans="1:9" x14ac:dyDescent="0.25">
      <c r="A151" t="s">
        <v>761</v>
      </c>
      <c r="B151" s="3">
        <v>29000</v>
      </c>
      <c r="C151" s="72" t="s">
        <v>33</v>
      </c>
      <c r="D151" s="72">
        <v>43306</v>
      </c>
      <c r="E151" t="s">
        <v>762</v>
      </c>
      <c r="F151" s="3">
        <v>27617.38</v>
      </c>
      <c r="G151" s="72">
        <v>43312</v>
      </c>
      <c r="H151" s="70">
        <f t="shared" si="4"/>
        <v>1382.619999999999</v>
      </c>
      <c r="I151" s="70">
        <f t="shared" si="5"/>
        <v>154.34999999997672</v>
      </c>
    </row>
    <row r="152" spans="1:9" x14ac:dyDescent="0.25">
      <c r="A152" t="s">
        <v>763</v>
      </c>
      <c r="B152" s="3">
        <v>29000</v>
      </c>
      <c r="C152" s="72" t="s">
        <v>33</v>
      </c>
      <c r="D152" s="72">
        <v>43306</v>
      </c>
      <c r="E152" t="s">
        <v>764</v>
      </c>
      <c r="F152" s="3">
        <v>27406.33</v>
      </c>
      <c r="G152" s="72">
        <v>43312</v>
      </c>
      <c r="H152" s="70">
        <f t="shared" si="4"/>
        <v>1593.6699999999983</v>
      </c>
      <c r="I152" s="70">
        <f t="shared" si="5"/>
        <v>1748.019999999975</v>
      </c>
    </row>
    <row r="153" spans="1:9" x14ac:dyDescent="0.25">
      <c r="A153" t="s">
        <v>765</v>
      </c>
      <c r="B153" s="3">
        <v>30000</v>
      </c>
      <c r="C153" s="72" t="s">
        <v>33</v>
      </c>
      <c r="D153" s="72">
        <v>43313</v>
      </c>
      <c r="E153" t="s">
        <v>766</v>
      </c>
      <c r="F153" s="3">
        <v>29401.69</v>
      </c>
      <c r="G153" s="72">
        <v>43319</v>
      </c>
      <c r="H153" s="70">
        <f t="shared" si="4"/>
        <v>598.31000000000131</v>
      </c>
      <c r="I153" s="70">
        <f t="shared" si="5"/>
        <v>2346.3299999999763</v>
      </c>
    </row>
    <row r="154" spans="1:9" x14ac:dyDescent="0.25">
      <c r="A154" t="s">
        <v>767</v>
      </c>
      <c r="B154" s="3">
        <v>30000</v>
      </c>
      <c r="C154" s="72" t="s">
        <v>33</v>
      </c>
      <c r="D154" s="72">
        <v>43313</v>
      </c>
      <c r="E154" t="s">
        <v>768</v>
      </c>
      <c r="F154" s="3">
        <v>29619.25</v>
      </c>
      <c r="G154" s="72">
        <v>43319</v>
      </c>
      <c r="H154" s="70">
        <f t="shared" si="4"/>
        <v>380.75</v>
      </c>
      <c r="I154" s="70">
        <f t="shared" si="5"/>
        <v>2727.0799999999763</v>
      </c>
    </row>
    <row r="155" spans="1:9" x14ac:dyDescent="0.25">
      <c r="A155" t="s">
        <v>769</v>
      </c>
      <c r="B155" s="3">
        <v>30500</v>
      </c>
      <c r="C155" s="72" t="s">
        <v>33</v>
      </c>
      <c r="D155" s="72">
        <v>43319</v>
      </c>
      <c r="E155" t="s">
        <v>770</v>
      </c>
      <c r="F155" s="3">
        <v>29129.15</v>
      </c>
      <c r="G155" s="72">
        <v>43326</v>
      </c>
      <c r="H155" s="70">
        <f t="shared" si="4"/>
        <v>1370.8499999999985</v>
      </c>
      <c r="I155" s="70">
        <f t="shared" si="5"/>
        <v>4097.9299999999748</v>
      </c>
    </row>
    <row r="156" spans="1:9" x14ac:dyDescent="0.25">
      <c r="A156" t="s">
        <v>771</v>
      </c>
      <c r="B156" s="3">
        <v>30500</v>
      </c>
      <c r="C156" s="72" t="s">
        <v>33</v>
      </c>
      <c r="D156" s="72">
        <v>43319</v>
      </c>
      <c r="E156" t="s">
        <v>772</v>
      </c>
      <c r="F156" s="3">
        <v>29438.85</v>
      </c>
      <c r="G156" s="72">
        <v>43326</v>
      </c>
      <c r="H156" s="70">
        <f t="shared" si="4"/>
        <v>1061.1500000000015</v>
      </c>
      <c r="I156" s="70">
        <f t="shared" si="5"/>
        <v>5159.0799999999763</v>
      </c>
    </row>
    <row r="157" spans="1:9" x14ac:dyDescent="0.25">
      <c r="A157" t="s">
        <v>773</v>
      </c>
      <c r="B157" s="3">
        <v>28000</v>
      </c>
      <c r="C157" s="72" t="s">
        <v>33</v>
      </c>
      <c r="D157" s="72">
        <v>43327</v>
      </c>
      <c r="E157" t="s">
        <v>774</v>
      </c>
      <c r="F157" s="3">
        <v>27781.41</v>
      </c>
      <c r="G157" s="72">
        <v>43333</v>
      </c>
      <c r="H157" s="70">
        <f t="shared" si="4"/>
        <v>218.59000000000015</v>
      </c>
      <c r="I157" s="70">
        <f t="shared" si="5"/>
        <v>5377.6699999999764</v>
      </c>
    </row>
    <row r="158" spans="1:9" x14ac:dyDescent="0.25">
      <c r="A158" t="s">
        <v>775</v>
      </c>
      <c r="B158" s="3">
        <v>28000</v>
      </c>
      <c r="C158" s="72" t="s">
        <v>33</v>
      </c>
      <c r="D158" s="72">
        <v>43327</v>
      </c>
      <c r="E158" t="s">
        <v>776</v>
      </c>
      <c r="F158" s="3">
        <v>27819.02</v>
      </c>
      <c r="G158" s="72">
        <v>43333</v>
      </c>
      <c r="H158" s="70">
        <f t="shared" si="4"/>
        <v>180.97999999999956</v>
      </c>
      <c r="I158" s="70">
        <f t="shared" si="5"/>
        <v>5558.649999999976</v>
      </c>
    </row>
    <row r="159" spans="1:9" x14ac:dyDescent="0.25">
      <c r="A159" t="s">
        <v>777</v>
      </c>
      <c r="B159" s="3">
        <v>26000</v>
      </c>
      <c r="C159" s="72" t="s">
        <v>33</v>
      </c>
      <c r="D159" s="72">
        <v>43334</v>
      </c>
      <c r="E159" t="s">
        <v>778</v>
      </c>
      <c r="F159" s="3">
        <v>25529.97</v>
      </c>
      <c r="G159" s="72">
        <v>43340</v>
      </c>
      <c r="H159" s="70">
        <f t="shared" si="4"/>
        <v>470.02999999999884</v>
      </c>
      <c r="I159" s="70">
        <f t="shared" si="5"/>
        <v>6028.6799999999748</v>
      </c>
    </row>
    <row r="160" spans="1:9" x14ac:dyDescent="0.25">
      <c r="A160" t="s">
        <v>779</v>
      </c>
      <c r="B160" s="3">
        <v>26000</v>
      </c>
      <c r="C160" s="72" t="s">
        <v>33</v>
      </c>
      <c r="D160" s="72">
        <v>43334</v>
      </c>
      <c r="E160" t="s">
        <v>780</v>
      </c>
      <c r="F160" s="3">
        <v>25113.67</v>
      </c>
      <c r="G160" s="72">
        <v>43340</v>
      </c>
      <c r="H160" s="70">
        <f t="shared" si="4"/>
        <v>886.33000000000175</v>
      </c>
      <c r="I160" s="70">
        <f t="shared" si="5"/>
        <v>6915.0099999999766</v>
      </c>
    </row>
    <row r="161" spans="1:9" x14ac:dyDescent="0.25">
      <c r="A161" t="s">
        <v>781</v>
      </c>
      <c r="B161" s="3">
        <v>23000</v>
      </c>
      <c r="C161" s="72" t="s">
        <v>281</v>
      </c>
      <c r="D161" s="72">
        <v>43341</v>
      </c>
      <c r="E161" t="s">
        <v>782</v>
      </c>
      <c r="F161" s="3">
        <v>24516.35</v>
      </c>
      <c r="G161" s="72">
        <v>43346</v>
      </c>
      <c r="H161" s="70">
        <f t="shared" si="4"/>
        <v>-1516.3499999999985</v>
      </c>
      <c r="I161" s="70">
        <f t="shared" si="5"/>
        <v>5398.659999999978</v>
      </c>
    </row>
    <row r="162" spans="1:9" x14ac:dyDescent="0.25">
      <c r="A162" t="s">
        <v>783</v>
      </c>
      <c r="B162" s="3">
        <v>23000</v>
      </c>
      <c r="C162" s="72" t="s">
        <v>33</v>
      </c>
      <c r="D162" s="72">
        <v>43341</v>
      </c>
      <c r="E162" t="s">
        <v>784</v>
      </c>
      <c r="F162" s="3">
        <v>25486.42</v>
      </c>
      <c r="G162" s="72">
        <v>43346</v>
      </c>
      <c r="H162" s="70">
        <f t="shared" si="4"/>
        <v>-2486.4199999999983</v>
      </c>
      <c r="I162" s="70">
        <f t="shared" si="5"/>
        <v>2912.2399999999798</v>
      </c>
    </row>
    <row r="163" spans="1:9" x14ac:dyDescent="0.25">
      <c r="A163" s="61" t="s">
        <v>785</v>
      </c>
      <c r="B163" s="3">
        <v>25000</v>
      </c>
      <c r="C163" s="72" t="s">
        <v>48</v>
      </c>
      <c r="D163" s="72">
        <v>43347</v>
      </c>
      <c r="E163" t="s">
        <v>786</v>
      </c>
      <c r="F163" s="3">
        <v>24928.09</v>
      </c>
      <c r="G163" s="72">
        <v>43353</v>
      </c>
      <c r="H163" s="70">
        <f t="shared" si="4"/>
        <v>71.909999999999854</v>
      </c>
      <c r="I163" s="70">
        <f t="shared" si="5"/>
        <v>2984.1499999999796</v>
      </c>
    </row>
    <row r="164" spans="1:9" x14ac:dyDescent="0.25">
      <c r="A164" s="61" t="s">
        <v>787</v>
      </c>
      <c r="B164" s="3">
        <v>25000</v>
      </c>
      <c r="C164" s="72" t="s">
        <v>48</v>
      </c>
      <c r="D164" s="72">
        <v>43347</v>
      </c>
      <c r="E164" t="s">
        <v>788</v>
      </c>
      <c r="F164" s="3">
        <v>24929.3</v>
      </c>
      <c r="G164" s="72">
        <v>43353</v>
      </c>
      <c r="H164" s="70">
        <f t="shared" si="4"/>
        <v>70.700000000000728</v>
      </c>
      <c r="I164" s="70">
        <f t="shared" si="5"/>
        <v>3054.8499999999804</v>
      </c>
    </row>
    <row r="165" spans="1:9" x14ac:dyDescent="0.25">
      <c r="A165" s="61" t="s">
        <v>789</v>
      </c>
      <c r="B165" s="3">
        <v>25000</v>
      </c>
      <c r="C165" s="72" t="s">
        <v>33</v>
      </c>
      <c r="D165" s="72">
        <v>43355</v>
      </c>
      <c r="E165" t="s">
        <v>790</v>
      </c>
      <c r="F165" s="3">
        <v>25391.23</v>
      </c>
      <c r="G165" s="72">
        <v>43361</v>
      </c>
      <c r="H165" s="70">
        <f t="shared" si="4"/>
        <v>-391.22999999999956</v>
      </c>
      <c r="I165" s="70">
        <f t="shared" si="5"/>
        <v>2663.6199999999808</v>
      </c>
    </row>
    <row r="166" spans="1:9" x14ac:dyDescent="0.25">
      <c r="A166" s="61" t="s">
        <v>791</v>
      </c>
      <c r="B166" s="3">
        <v>25000</v>
      </c>
      <c r="C166" s="72" t="s">
        <v>33</v>
      </c>
      <c r="D166" s="72">
        <v>43355</v>
      </c>
      <c r="E166" t="s">
        <v>792</v>
      </c>
      <c r="F166" s="3">
        <v>25803.5</v>
      </c>
      <c r="G166" s="72">
        <v>43361</v>
      </c>
      <c r="H166" s="70">
        <f t="shared" si="4"/>
        <v>-803.5</v>
      </c>
      <c r="I166" s="70">
        <f t="shared" si="5"/>
        <v>1860.1199999999808</v>
      </c>
    </row>
    <row r="167" spans="1:9" x14ac:dyDescent="0.25">
      <c r="A167" s="61" t="s">
        <v>793</v>
      </c>
      <c r="B167" s="79"/>
      <c r="C167" s="72" t="s">
        <v>33</v>
      </c>
      <c r="D167" s="72">
        <v>43362</v>
      </c>
      <c r="E167" s="48" t="s">
        <v>563</v>
      </c>
      <c r="F167" s="79">
        <v>0</v>
      </c>
      <c r="G167" s="72">
        <v>43368</v>
      </c>
      <c r="H167" s="70">
        <f t="shared" si="4"/>
        <v>0</v>
      </c>
      <c r="I167" s="70">
        <f t="shared" si="5"/>
        <v>1860.1199999999808</v>
      </c>
    </row>
    <row r="168" spans="1:9" x14ac:dyDescent="0.25">
      <c r="A168" s="61" t="s">
        <v>794</v>
      </c>
      <c r="B168" s="3">
        <v>27000</v>
      </c>
      <c r="C168" s="72" t="s">
        <v>33</v>
      </c>
      <c r="D168" s="72">
        <v>43362</v>
      </c>
      <c r="E168" t="s">
        <v>795</v>
      </c>
      <c r="F168" s="3">
        <v>29678.66</v>
      </c>
      <c r="G168" s="72">
        <v>43368</v>
      </c>
      <c r="H168" s="70">
        <f t="shared" si="4"/>
        <v>-2678.66</v>
      </c>
      <c r="I168" s="70">
        <f t="shared" si="5"/>
        <v>-818.54000000001906</v>
      </c>
    </row>
    <row r="169" spans="1:9" x14ac:dyDescent="0.25">
      <c r="A169" s="61" t="s">
        <v>796</v>
      </c>
      <c r="B169" s="3">
        <v>27000</v>
      </c>
      <c r="C169" s="72" t="s">
        <v>33</v>
      </c>
      <c r="D169" s="72">
        <v>43369</v>
      </c>
      <c r="E169" t="s">
        <v>797</v>
      </c>
      <c r="F169" s="3">
        <v>29035.45</v>
      </c>
      <c r="G169" s="72">
        <v>43376</v>
      </c>
      <c r="H169" s="70">
        <f t="shared" ref="H169:H197" si="6">B169-F169</f>
        <v>-2035.4500000000007</v>
      </c>
      <c r="I169" s="70">
        <f t="shared" si="5"/>
        <v>-2853.9900000000198</v>
      </c>
    </row>
    <row r="170" spans="1:9" x14ac:dyDescent="0.25">
      <c r="A170" s="61" t="s">
        <v>798</v>
      </c>
      <c r="B170" s="3">
        <v>37000</v>
      </c>
      <c r="C170" s="72" t="s">
        <v>33</v>
      </c>
      <c r="D170" s="72">
        <v>43369</v>
      </c>
      <c r="E170" t="s">
        <v>799</v>
      </c>
      <c r="F170" s="3">
        <v>29167.51</v>
      </c>
      <c r="G170" s="72">
        <v>43376</v>
      </c>
      <c r="H170" s="70">
        <f t="shared" si="6"/>
        <v>7832.4900000000016</v>
      </c>
      <c r="I170" s="70">
        <f t="shared" si="5"/>
        <v>4978.4999999999818</v>
      </c>
    </row>
    <row r="171" spans="1:9" x14ac:dyDescent="0.25">
      <c r="A171" s="61" t="s">
        <v>800</v>
      </c>
      <c r="B171" s="3">
        <v>28500</v>
      </c>
      <c r="C171" s="72" t="s">
        <v>48</v>
      </c>
      <c r="D171" s="72">
        <v>43375</v>
      </c>
      <c r="E171" t="s">
        <v>801</v>
      </c>
      <c r="F171" s="3">
        <v>30869.07</v>
      </c>
      <c r="G171" s="72">
        <v>43381</v>
      </c>
      <c r="H171" s="70">
        <f t="shared" si="6"/>
        <v>-2369.0699999999997</v>
      </c>
      <c r="I171" s="70">
        <f t="shared" si="5"/>
        <v>2609.4299999999821</v>
      </c>
    </row>
    <row r="172" spans="1:9" x14ac:dyDescent="0.25">
      <c r="A172" s="61" t="s">
        <v>802</v>
      </c>
      <c r="B172" s="3">
        <v>28500</v>
      </c>
      <c r="C172" s="72" t="s">
        <v>48</v>
      </c>
      <c r="D172" s="72">
        <v>43375</v>
      </c>
      <c r="E172" t="s">
        <v>803</v>
      </c>
      <c r="F172" s="3">
        <v>30804.18</v>
      </c>
      <c r="G172" s="72">
        <v>43381</v>
      </c>
      <c r="H172" s="70">
        <f t="shared" si="6"/>
        <v>-2304.1800000000003</v>
      </c>
      <c r="I172" s="70">
        <f t="shared" si="5"/>
        <v>305.24999999998181</v>
      </c>
    </row>
    <row r="173" spans="1:9" x14ac:dyDescent="0.25">
      <c r="A173" s="61" t="s">
        <v>804</v>
      </c>
      <c r="B173" s="3">
        <v>30500</v>
      </c>
      <c r="C173" s="72" t="s">
        <v>48</v>
      </c>
      <c r="D173" s="72">
        <v>43382</v>
      </c>
      <c r="E173" t="s">
        <v>805</v>
      </c>
      <c r="F173" s="3">
        <v>25541.47</v>
      </c>
      <c r="G173" s="72">
        <v>43388</v>
      </c>
      <c r="H173" s="70">
        <f t="shared" si="6"/>
        <v>4958.5299999999988</v>
      </c>
      <c r="I173" s="70">
        <f t="shared" si="5"/>
        <v>5263.7799999999806</v>
      </c>
    </row>
    <row r="174" spans="1:9" x14ac:dyDescent="0.25">
      <c r="A174" s="61" t="s">
        <v>806</v>
      </c>
      <c r="B174" s="3">
        <v>30500</v>
      </c>
      <c r="C174" s="72" t="s">
        <v>48</v>
      </c>
      <c r="D174" s="72">
        <v>43382</v>
      </c>
      <c r="E174" t="s">
        <v>807</v>
      </c>
      <c r="F174" s="3">
        <v>25287.15</v>
      </c>
      <c r="G174" s="72">
        <v>43388</v>
      </c>
      <c r="H174" s="70">
        <f t="shared" si="6"/>
        <v>5212.8499999999985</v>
      </c>
      <c r="I174" s="70">
        <f t="shared" si="5"/>
        <v>10476.629999999979</v>
      </c>
    </row>
    <row r="175" spans="1:9" x14ac:dyDescent="0.25">
      <c r="A175" s="61" t="s">
        <v>808</v>
      </c>
      <c r="B175" s="3">
        <v>20000</v>
      </c>
      <c r="C175" s="72" t="s">
        <v>48</v>
      </c>
      <c r="D175" s="72">
        <v>43389</v>
      </c>
      <c r="E175" t="s">
        <v>809</v>
      </c>
      <c r="F175" s="3">
        <v>24651.82</v>
      </c>
      <c r="G175" s="72">
        <v>43395</v>
      </c>
      <c r="H175" s="70">
        <f t="shared" si="6"/>
        <v>-4651.82</v>
      </c>
      <c r="I175" s="70">
        <f t="shared" si="5"/>
        <v>5824.8099999999795</v>
      </c>
    </row>
    <row r="176" spans="1:9" x14ac:dyDescent="0.25">
      <c r="A176" s="61" t="s">
        <v>810</v>
      </c>
      <c r="B176" s="3">
        <v>23000</v>
      </c>
      <c r="C176" s="72" t="s">
        <v>33</v>
      </c>
      <c r="D176" s="72">
        <v>43397</v>
      </c>
      <c r="E176" t="s">
        <v>811</v>
      </c>
      <c r="F176" s="3">
        <v>25033.55</v>
      </c>
      <c r="G176" s="72">
        <v>43403</v>
      </c>
      <c r="H176" s="70">
        <f t="shared" si="6"/>
        <v>-2033.5499999999993</v>
      </c>
      <c r="I176" s="70">
        <f t="shared" si="5"/>
        <v>3791.2599999999802</v>
      </c>
    </row>
    <row r="177" spans="1:9" x14ac:dyDescent="0.25">
      <c r="A177" s="61" t="s">
        <v>812</v>
      </c>
      <c r="B177" s="3">
        <v>23000</v>
      </c>
      <c r="C177" s="72" t="s">
        <v>33</v>
      </c>
      <c r="D177" s="72">
        <v>43397</v>
      </c>
      <c r="E177" t="s">
        <v>813</v>
      </c>
      <c r="F177" s="3">
        <v>25141.61</v>
      </c>
      <c r="G177" s="72">
        <v>43403</v>
      </c>
      <c r="H177" s="70">
        <f t="shared" si="6"/>
        <v>-2141.6100000000006</v>
      </c>
      <c r="I177" s="70">
        <f t="shared" si="5"/>
        <v>1649.6499999999796</v>
      </c>
    </row>
    <row r="178" spans="1:9" x14ac:dyDescent="0.25">
      <c r="A178" s="61" t="s">
        <v>814</v>
      </c>
      <c r="B178" s="3">
        <v>26000</v>
      </c>
      <c r="C178" s="72" t="s">
        <v>33</v>
      </c>
      <c r="D178" s="72">
        <v>43404</v>
      </c>
      <c r="E178" t="s">
        <v>815</v>
      </c>
      <c r="F178" s="3">
        <v>25368.03</v>
      </c>
      <c r="G178" s="72">
        <v>43410</v>
      </c>
      <c r="H178" s="70">
        <f t="shared" si="6"/>
        <v>631.97000000000116</v>
      </c>
      <c r="I178" s="70">
        <f t="shared" si="5"/>
        <v>2281.6199999999808</v>
      </c>
    </row>
    <row r="179" spans="1:9" x14ac:dyDescent="0.25">
      <c r="A179" s="61" t="s">
        <v>816</v>
      </c>
      <c r="B179" s="3">
        <v>26000</v>
      </c>
      <c r="C179" s="72" t="s">
        <v>33</v>
      </c>
      <c r="D179" s="72">
        <v>43404</v>
      </c>
      <c r="E179" t="s">
        <v>817</v>
      </c>
      <c r="F179" s="3">
        <v>25622.18</v>
      </c>
      <c r="G179" s="72">
        <v>43410</v>
      </c>
      <c r="H179" s="70">
        <f t="shared" si="6"/>
        <v>377.81999999999971</v>
      </c>
      <c r="I179" s="70">
        <f t="shared" si="5"/>
        <v>2659.4399999999805</v>
      </c>
    </row>
    <row r="180" spans="1:9" x14ac:dyDescent="0.25">
      <c r="A180" t="s">
        <v>818</v>
      </c>
      <c r="B180" s="79"/>
      <c r="C180" s="72" t="s">
        <v>33</v>
      </c>
      <c r="D180" s="72">
        <v>43411</v>
      </c>
      <c r="E180" s="48" t="s">
        <v>563</v>
      </c>
      <c r="F180" s="79">
        <v>0</v>
      </c>
      <c r="G180" s="72">
        <v>43417</v>
      </c>
      <c r="H180" s="70">
        <f t="shared" si="6"/>
        <v>0</v>
      </c>
      <c r="I180" s="70">
        <f t="shared" si="5"/>
        <v>2659.4399999999805</v>
      </c>
    </row>
    <row r="181" spans="1:9" x14ac:dyDescent="0.25">
      <c r="A181" t="s">
        <v>819</v>
      </c>
      <c r="B181" s="3">
        <v>25500</v>
      </c>
      <c r="C181" s="72" t="s">
        <v>33</v>
      </c>
      <c r="D181" s="72">
        <v>43418</v>
      </c>
      <c r="E181" t="s">
        <v>820</v>
      </c>
      <c r="F181" s="3">
        <v>24259.29</v>
      </c>
      <c r="G181" s="72">
        <v>43424</v>
      </c>
      <c r="H181" s="70">
        <f t="shared" si="6"/>
        <v>1240.7099999999991</v>
      </c>
      <c r="I181" s="70">
        <f t="shared" si="5"/>
        <v>3900.1499999999796</v>
      </c>
    </row>
    <row r="182" spans="1:9" x14ac:dyDescent="0.25">
      <c r="A182" t="s">
        <v>821</v>
      </c>
      <c r="B182" s="79"/>
      <c r="C182" s="72" t="s">
        <v>33</v>
      </c>
      <c r="D182" s="72">
        <v>43425</v>
      </c>
      <c r="E182" s="48" t="s">
        <v>563</v>
      </c>
      <c r="F182" s="79">
        <v>0</v>
      </c>
      <c r="G182" s="72">
        <v>43431</v>
      </c>
      <c r="H182" s="70">
        <f t="shared" si="6"/>
        <v>0</v>
      </c>
      <c r="I182" s="70">
        <f t="shared" si="5"/>
        <v>3900.1499999999796</v>
      </c>
    </row>
    <row r="183" spans="1:9" x14ac:dyDescent="0.25">
      <c r="A183" t="s">
        <v>822</v>
      </c>
      <c r="B183" s="3">
        <v>23000</v>
      </c>
      <c r="C183" s="72" t="s">
        <v>33</v>
      </c>
      <c r="D183" s="72">
        <v>43425</v>
      </c>
      <c r="E183" t="s">
        <v>823</v>
      </c>
      <c r="F183" s="3">
        <v>24938.52</v>
      </c>
      <c r="G183" s="72">
        <v>43438</v>
      </c>
      <c r="H183" s="70">
        <f t="shared" si="6"/>
        <v>-1938.5200000000004</v>
      </c>
      <c r="I183" s="70">
        <f t="shared" si="5"/>
        <v>1961.6299999999792</v>
      </c>
    </row>
    <row r="184" spans="1:9" x14ac:dyDescent="0.25">
      <c r="A184" t="s">
        <v>824</v>
      </c>
      <c r="B184" s="3">
        <v>26000</v>
      </c>
      <c r="C184" s="72" t="s">
        <v>33</v>
      </c>
      <c r="D184" s="72">
        <v>43432</v>
      </c>
      <c r="E184" t="s">
        <v>825</v>
      </c>
      <c r="F184" s="3">
        <v>25835.02</v>
      </c>
      <c r="G184" s="72">
        <v>43438</v>
      </c>
      <c r="H184" s="70">
        <f t="shared" si="6"/>
        <v>164.97999999999956</v>
      </c>
      <c r="I184" s="70">
        <f t="shared" si="5"/>
        <v>2126.6099999999788</v>
      </c>
    </row>
    <row r="185" spans="1:9" x14ac:dyDescent="0.25">
      <c r="A185" t="s">
        <v>826</v>
      </c>
      <c r="B185" s="3">
        <v>23500</v>
      </c>
      <c r="C185" s="72" t="s">
        <v>48</v>
      </c>
      <c r="D185" s="72">
        <v>43452</v>
      </c>
      <c r="E185" t="s">
        <v>670</v>
      </c>
      <c r="F185" s="3">
        <v>22977.86</v>
      </c>
      <c r="G185" s="72">
        <v>43458</v>
      </c>
      <c r="H185" s="70">
        <f t="shared" si="6"/>
        <v>522.13999999999942</v>
      </c>
      <c r="I185" s="70">
        <f t="shared" si="5"/>
        <v>2648.7499999999782</v>
      </c>
    </row>
    <row r="186" spans="1:9" x14ac:dyDescent="0.25">
      <c r="A186" t="s">
        <v>827</v>
      </c>
      <c r="B186" s="3">
        <v>23000</v>
      </c>
      <c r="C186" s="72" t="s">
        <v>33</v>
      </c>
      <c r="D186" s="72">
        <v>43453</v>
      </c>
      <c r="E186" t="s">
        <v>828</v>
      </c>
      <c r="F186" s="3">
        <v>23122.79</v>
      </c>
      <c r="G186" s="72">
        <v>43460</v>
      </c>
      <c r="H186" s="70">
        <f t="shared" si="6"/>
        <v>-122.79000000000087</v>
      </c>
      <c r="I186" s="70">
        <f t="shared" si="5"/>
        <v>2525.9599999999773</v>
      </c>
    </row>
    <row r="187" spans="1:9" x14ac:dyDescent="0.25">
      <c r="A187" t="s">
        <v>195</v>
      </c>
      <c r="B187" s="3">
        <v>23000</v>
      </c>
      <c r="C187" s="72" t="s">
        <v>29</v>
      </c>
      <c r="D187" s="72">
        <v>43458</v>
      </c>
      <c r="E187" t="s">
        <v>829</v>
      </c>
      <c r="F187" s="3">
        <v>22704.81</v>
      </c>
      <c r="G187" s="72">
        <v>43465</v>
      </c>
      <c r="H187" s="70">
        <f t="shared" si="6"/>
        <v>295.18999999999869</v>
      </c>
      <c r="I187" s="70">
        <f t="shared" si="5"/>
        <v>2821.149999999976</v>
      </c>
    </row>
    <row r="188" spans="1:9" x14ac:dyDescent="0.25">
      <c r="A188" t="s">
        <v>830</v>
      </c>
      <c r="B188" s="3">
        <v>22500</v>
      </c>
      <c r="C188" s="72" t="s">
        <v>33</v>
      </c>
      <c r="D188" s="72">
        <v>43467</v>
      </c>
      <c r="E188" t="s">
        <v>1694</v>
      </c>
      <c r="F188" s="3">
        <v>22955.59</v>
      </c>
      <c r="G188" s="72">
        <v>43473</v>
      </c>
      <c r="H188" s="70">
        <f t="shared" si="6"/>
        <v>-455.59000000000015</v>
      </c>
      <c r="I188" s="70">
        <f t="shared" si="5"/>
        <v>2365.5599999999758</v>
      </c>
    </row>
    <row r="189" spans="1:9" x14ac:dyDescent="0.25">
      <c r="A189" t="s">
        <v>831</v>
      </c>
      <c r="B189" s="3">
        <v>22500</v>
      </c>
      <c r="C189" s="72" t="s">
        <v>33</v>
      </c>
      <c r="D189" s="72">
        <v>43467</v>
      </c>
      <c r="E189" t="s">
        <v>1695</v>
      </c>
      <c r="F189" s="3">
        <v>22141.9</v>
      </c>
      <c r="G189" s="72">
        <v>43473</v>
      </c>
      <c r="H189" s="70">
        <f t="shared" si="6"/>
        <v>358.09999999999854</v>
      </c>
      <c r="I189" s="70">
        <f t="shared" si="5"/>
        <v>2723.6599999999744</v>
      </c>
    </row>
    <row r="190" spans="1:9" x14ac:dyDescent="0.25">
      <c r="A190" t="s">
        <v>1647</v>
      </c>
      <c r="B190" s="3">
        <v>22000</v>
      </c>
      <c r="C190" s="72" t="s">
        <v>33</v>
      </c>
      <c r="D190" s="72">
        <v>43474</v>
      </c>
      <c r="E190" t="s">
        <v>1838</v>
      </c>
      <c r="F190" s="3">
        <v>24251.49</v>
      </c>
      <c r="G190" s="72">
        <v>43480</v>
      </c>
      <c r="H190" s="70">
        <f t="shared" si="6"/>
        <v>-2251.4900000000016</v>
      </c>
      <c r="I190" s="70">
        <f t="shared" si="5"/>
        <v>472.16999999997279</v>
      </c>
    </row>
    <row r="191" spans="1:9" x14ac:dyDescent="0.25">
      <c r="A191" t="s">
        <v>1652</v>
      </c>
      <c r="B191" s="3">
        <v>22000</v>
      </c>
      <c r="C191" s="72" t="s">
        <v>33</v>
      </c>
      <c r="D191" s="72">
        <v>43474</v>
      </c>
      <c r="E191" t="s">
        <v>1839</v>
      </c>
      <c r="F191" s="3">
        <v>24619.02</v>
      </c>
      <c r="G191" s="72">
        <v>43480</v>
      </c>
      <c r="H191" s="70">
        <f t="shared" si="6"/>
        <v>-2619.0200000000004</v>
      </c>
      <c r="I191" s="70">
        <f t="shared" si="5"/>
        <v>-2146.8500000000276</v>
      </c>
    </row>
    <row r="192" spans="1:9" x14ac:dyDescent="0.25">
      <c r="A192" t="s">
        <v>1653</v>
      </c>
      <c r="B192" s="3">
        <v>26000</v>
      </c>
      <c r="C192" s="72" t="s">
        <v>33</v>
      </c>
      <c r="D192" s="72">
        <v>43481</v>
      </c>
      <c r="E192" t="s">
        <v>1930</v>
      </c>
      <c r="F192" s="3">
        <v>25189.79</v>
      </c>
      <c r="G192" s="72">
        <v>43487</v>
      </c>
      <c r="H192" s="70">
        <f t="shared" si="6"/>
        <v>810.20999999999913</v>
      </c>
      <c r="I192" s="70">
        <f t="shared" si="5"/>
        <v>-1336.6400000000285</v>
      </c>
    </row>
    <row r="193" spans="1:10" x14ac:dyDescent="0.25">
      <c r="A193" t="s">
        <v>1654</v>
      </c>
      <c r="B193" s="3">
        <v>26000</v>
      </c>
      <c r="C193" s="72" t="s">
        <v>33</v>
      </c>
      <c r="D193" s="72">
        <v>43481</v>
      </c>
      <c r="E193" t="s">
        <v>1931</v>
      </c>
      <c r="F193" s="51">
        <v>25482.34</v>
      </c>
      <c r="G193" s="72">
        <v>43487</v>
      </c>
      <c r="H193" s="70">
        <f t="shared" si="6"/>
        <v>517.65999999999985</v>
      </c>
      <c r="I193" s="163">
        <f t="shared" si="5"/>
        <v>-818.98000000002867</v>
      </c>
    </row>
    <row r="194" spans="1:10" x14ac:dyDescent="0.25">
      <c r="A194" t="s">
        <v>1655</v>
      </c>
      <c r="B194" s="3">
        <v>27500</v>
      </c>
      <c r="C194" s="72" t="s">
        <v>33</v>
      </c>
      <c r="D194" s="72">
        <v>43488</v>
      </c>
      <c r="E194" t="s">
        <v>2035</v>
      </c>
      <c r="F194" s="51">
        <v>23000</v>
      </c>
      <c r="G194" s="72">
        <v>43494</v>
      </c>
      <c r="H194" s="70">
        <f t="shared" si="6"/>
        <v>4500</v>
      </c>
      <c r="I194" s="70">
        <f t="shared" si="5"/>
        <v>3681.0199999999713</v>
      </c>
    </row>
    <row r="195" spans="1:10" x14ac:dyDescent="0.25">
      <c r="A195" t="s">
        <v>1656</v>
      </c>
      <c r="B195" s="3">
        <v>27500</v>
      </c>
      <c r="C195" s="72" t="s">
        <v>33</v>
      </c>
      <c r="D195" s="72">
        <v>43488</v>
      </c>
      <c r="E195" t="s">
        <v>2066</v>
      </c>
      <c r="F195" s="51">
        <v>23129.119999999999</v>
      </c>
      <c r="G195" s="72">
        <v>43494</v>
      </c>
      <c r="H195" s="70">
        <f t="shared" si="6"/>
        <v>4370.880000000001</v>
      </c>
      <c r="I195" s="163">
        <f t="shared" si="5"/>
        <v>8051.8999999999724</v>
      </c>
    </row>
    <row r="196" spans="1:10" x14ac:dyDescent="0.25">
      <c r="A196" t="s">
        <v>1657</v>
      </c>
      <c r="B196" s="3">
        <v>22000</v>
      </c>
      <c r="C196" s="72" t="s">
        <v>33</v>
      </c>
      <c r="D196" s="72">
        <v>43495</v>
      </c>
      <c r="E196" t="s">
        <v>511</v>
      </c>
      <c r="F196" s="51">
        <v>23259.77</v>
      </c>
      <c r="G196" s="72">
        <v>43501</v>
      </c>
      <c r="H196" s="70">
        <f t="shared" si="6"/>
        <v>-1259.7700000000004</v>
      </c>
      <c r="I196" s="70">
        <f t="shared" si="5"/>
        <v>6792.1299999999719</v>
      </c>
    </row>
    <row r="197" spans="1:10" x14ac:dyDescent="0.25">
      <c r="A197" t="s">
        <v>1658</v>
      </c>
      <c r="B197" s="3">
        <v>22000</v>
      </c>
      <c r="C197" s="72" t="s">
        <v>33</v>
      </c>
      <c r="D197" s="72">
        <v>43495</v>
      </c>
      <c r="E197" t="s">
        <v>2188</v>
      </c>
      <c r="F197" s="51">
        <v>23335.63</v>
      </c>
      <c r="G197" s="72">
        <v>43501</v>
      </c>
      <c r="H197" s="70">
        <f t="shared" si="6"/>
        <v>-1335.630000000001</v>
      </c>
      <c r="I197" s="163">
        <f t="shared" si="5"/>
        <v>5456.4999999999709</v>
      </c>
    </row>
    <row r="198" spans="1:10" x14ac:dyDescent="0.25">
      <c r="A198" t="s">
        <v>2157</v>
      </c>
      <c r="B198" s="3">
        <v>20000</v>
      </c>
      <c r="C198" s="72" t="s">
        <v>33</v>
      </c>
      <c r="D198" s="72">
        <v>43502</v>
      </c>
      <c r="E198" t="s">
        <v>2292</v>
      </c>
      <c r="F198" s="51">
        <v>21652.52</v>
      </c>
      <c r="G198" s="72">
        <v>43508</v>
      </c>
      <c r="H198" s="70">
        <f t="shared" ref="H198:H203" si="7">B198-F198</f>
        <v>-1652.5200000000004</v>
      </c>
      <c r="I198" s="70">
        <f t="shared" ref="I198:I203" si="8">I197+H198</f>
        <v>3803.9799999999705</v>
      </c>
    </row>
    <row r="199" spans="1:10" x14ac:dyDescent="0.25">
      <c r="A199" t="s">
        <v>2158</v>
      </c>
      <c r="B199" s="3">
        <v>20000</v>
      </c>
      <c r="C199" s="72" t="s">
        <v>33</v>
      </c>
      <c r="D199" s="72">
        <v>43509</v>
      </c>
      <c r="E199" t="s">
        <v>2391</v>
      </c>
      <c r="F199" s="51">
        <v>21840.240000000002</v>
      </c>
      <c r="G199" s="72">
        <v>43515</v>
      </c>
      <c r="H199" s="70">
        <f t="shared" si="7"/>
        <v>-1840.2400000000016</v>
      </c>
      <c r="I199" s="163">
        <f t="shared" si="8"/>
        <v>1963.7399999999689</v>
      </c>
    </row>
    <row r="200" spans="1:10" x14ac:dyDescent="0.25">
      <c r="A200" t="s">
        <v>2159</v>
      </c>
      <c r="B200" s="3">
        <v>22000</v>
      </c>
      <c r="C200" s="72" t="s">
        <v>33</v>
      </c>
      <c r="D200" s="72">
        <v>43523</v>
      </c>
      <c r="E200" t="s">
        <v>2570</v>
      </c>
      <c r="F200" s="51">
        <v>23149.62</v>
      </c>
      <c r="G200" s="72">
        <v>43529</v>
      </c>
      <c r="H200" s="70">
        <f t="shared" si="7"/>
        <v>-1149.619999999999</v>
      </c>
      <c r="I200" s="70">
        <f t="shared" si="8"/>
        <v>814.11999999996988</v>
      </c>
    </row>
    <row r="201" spans="1:10" x14ac:dyDescent="0.25">
      <c r="A201" t="s">
        <v>2160</v>
      </c>
      <c r="B201" s="3">
        <v>22000</v>
      </c>
      <c r="C201" s="72" t="s">
        <v>33</v>
      </c>
      <c r="D201" s="72">
        <v>43523</v>
      </c>
      <c r="E201" t="s">
        <v>2571</v>
      </c>
      <c r="F201" s="51">
        <v>22841.8</v>
      </c>
      <c r="G201" s="72">
        <v>43529</v>
      </c>
      <c r="H201" s="70">
        <f t="shared" si="7"/>
        <v>-841.79999999999927</v>
      </c>
      <c r="I201" s="163">
        <f t="shared" si="8"/>
        <v>-27.680000000029395</v>
      </c>
    </row>
    <row r="202" spans="1:10" x14ac:dyDescent="0.25">
      <c r="A202">
        <v>57059</v>
      </c>
      <c r="B202" s="3">
        <v>25000</v>
      </c>
      <c r="C202" s="72" t="s">
        <v>33</v>
      </c>
      <c r="D202" s="72">
        <v>43530</v>
      </c>
      <c r="E202" s="78" t="s">
        <v>2671</v>
      </c>
      <c r="F202" s="51">
        <v>25003.79</v>
      </c>
      <c r="G202" s="72">
        <v>43536</v>
      </c>
      <c r="H202" s="70">
        <f t="shared" si="7"/>
        <v>-3.7900000000008731</v>
      </c>
      <c r="I202" s="163">
        <f t="shared" si="8"/>
        <v>-31.470000000030268</v>
      </c>
    </row>
    <row r="203" spans="1:10" x14ac:dyDescent="0.25">
      <c r="A203">
        <v>57060</v>
      </c>
      <c r="B203" s="3">
        <v>25500</v>
      </c>
      <c r="C203" s="72" t="s">
        <v>460</v>
      </c>
      <c r="D203" s="72">
        <v>43532</v>
      </c>
      <c r="E203" s="78" t="s">
        <v>2712</v>
      </c>
      <c r="F203" s="51">
        <v>26542.5</v>
      </c>
      <c r="G203" s="72">
        <v>43538</v>
      </c>
      <c r="H203" s="70">
        <f t="shared" si="7"/>
        <v>-1042.5</v>
      </c>
      <c r="I203" s="163">
        <f t="shared" si="8"/>
        <v>-1073.9700000000303</v>
      </c>
      <c r="J203" t="s">
        <v>2713</v>
      </c>
    </row>
    <row r="204" spans="1:10" x14ac:dyDescent="0.25">
      <c r="A204">
        <v>57061</v>
      </c>
      <c r="B204" s="3">
        <v>29000</v>
      </c>
      <c r="C204" s="72" t="s">
        <v>33</v>
      </c>
      <c r="D204" s="72">
        <v>43537</v>
      </c>
      <c r="E204" s="78" t="s">
        <v>2740</v>
      </c>
      <c r="F204" s="3">
        <v>29308.62</v>
      </c>
      <c r="G204" s="72">
        <v>43543</v>
      </c>
      <c r="H204" s="70">
        <f t="shared" ref="H204:H209" si="9">B204-F204</f>
        <v>-308.61999999999898</v>
      </c>
      <c r="I204" s="70">
        <f t="shared" ref="I204:I209" si="10">I203+H204</f>
        <v>-1382.5900000000292</v>
      </c>
    </row>
    <row r="205" spans="1:10" x14ac:dyDescent="0.25">
      <c r="A205">
        <v>57062</v>
      </c>
      <c r="B205" s="3">
        <f>28000+3000</f>
        <v>31000</v>
      </c>
      <c r="C205" s="72" t="s">
        <v>45</v>
      </c>
      <c r="D205" s="72">
        <v>43539</v>
      </c>
      <c r="E205" s="78" t="s">
        <v>2778</v>
      </c>
      <c r="F205" s="3">
        <v>31748.720000000001</v>
      </c>
      <c r="G205" s="72">
        <v>43545</v>
      </c>
      <c r="H205" s="70">
        <f t="shared" si="9"/>
        <v>-748.72000000000116</v>
      </c>
      <c r="I205" s="70">
        <f t="shared" si="10"/>
        <v>-2131.3100000000304</v>
      </c>
    </row>
    <row r="206" spans="1:10" x14ac:dyDescent="0.25">
      <c r="A206">
        <v>57063</v>
      </c>
      <c r="B206" s="3">
        <v>35000</v>
      </c>
      <c r="C206" s="72" t="s">
        <v>48</v>
      </c>
      <c r="D206" s="72">
        <v>39891</v>
      </c>
      <c r="E206" s="78" t="s">
        <v>2828</v>
      </c>
      <c r="F206" s="3">
        <v>32489.47</v>
      </c>
      <c r="G206" s="72">
        <v>43549</v>
      </c>
      <c r="H206" s="70">
        <f t="shared" si="9"/>
        <v>2510.5299999999988</v>
      </c>
      <c r="I206" s="70">
        <f t="shared" si="10"/>
        <v>379.21999999996842</v>
      </c>
    </row>
    <row r="207" spans="1:10" x14ac:dyDescent="0.25">
      <c r="A207">
        <v>57064</v>
      </c>
      <c r="B207" s="3">
        <v>33000</v>
      </c>
      <c r="C207" s="72" t="s">
        <v>33</v>
      </c>
      <c r="D207" s="72">
        <v>43544</v>
      </c>
      <c r="E207" s="78" t="s">
        <v>2866</v>
      </c>
      <c r="F207" s="3">
        <v>34083.910000000003</v>
      </c>
      <c r="G207" s="72">
        <v>43550</v>
      </c>
      <c r="H207" s="70">
        <f t="shared" si="9"/>
        <v>-1083.9100000000035</v>
      </c>
      <c r="I207" s="70">
        <f t="shared" si="10"/>
        <v>-704.69000000003507</v>
      </c>
    </row>
    <row r="208" spans="1:10" x14ac:dyDescent="0.25">
      <c r="A208">
        <v>57065</v>
      </c>
      <c r="B208" s="3">
        <v>37000</v>
      </c>
      <c r="C208" s="72" t="s">
        <v>519</v>
      </c>
      <c r="D208" s="72">
        <v>43550</v>
      </c>
      <c r="E208" s="78" t="s">
        <v>3017</v>
      </c>
      <c r="F208" s="3">
        <v>34960.47</v>
      </c>
      <c r="G208" s="72">
        <v>43556</v>
      </c>
      <c r="H208" s="70">
        <f t="shared" si="9"/>
        <v>2039.5299999999988</v>
      </c>
      <c r="I208" s="70">
        <f t="shared" si="10"/>
        <v>1334.8399999999638</v>
      </c>
    </row>
    <row r="209" spans="1:10" x14ac:dyDescent="0.25">
      <c r="A209">
        <v>57066</v>
      </c>
      <c r="B209" s="3">
        <v>36000</v>
      </c>
      <c r="C209" s="72" t="s">
        <v>45</v>
      </c>
      <c r="D209" s="72">
        <v>43553</v>
      </c>
      <c r="E209" s="78" t="s">
        <v>3040</v>
      </c>
      <c r="F209" s="3">
        <v>31857.94</v>
      </c>
      <c r="G209" s="72">
        <v>43559</v>
      </c>
      <c r="H209" s="70">
        <f t="shared" si="9"/>
        <v>4142.0600000000013</v>
      </c>
      <c r="I209" s="70">
        <f t="shared" si="10"/>
        <v>5476.8999999999651</v>
      </c>
    </row>
    <row r="210" spans="1:10" x14ac:dyDescent="0.25">
      <c r="A210" t="s">
        <v>2902</v>
      </c>
      <c r="B210" s="3">
        <v>35000</v>
      </c>
      <c r="C210" s="72" t="s">
        <v>48</v>
      </c>
      <c r="D210" s="72">
        <v>43557</v>
      </c>
      <c r="E210" s="78" t="s">
        <v>3087</v>
      </c>
      <c r="F210" s="193">
        <v>29129.23</v>
      </c>
      <c r="G210" s="72">
        <v>43564</v>
      </c>
      <c r="H210" s="70">
        <f t="shared" ref="H210:H216" si="11">B210-F210</f>
        <v>5870.77</v>
      </c>
      <c r="I210" s="70">
        <f t="shared" ref="I210:I216" si="12">I209+H210</f>
        <v>11347.669999999966</v>
      </c>
    </row>
    <row r="211" spans="1:10" x14ac:dyDescent="0.25">
      <c r="A211" t="s">
        <v>2905</v>
      </c>
      <c r="B211" s="3">
        <v>28000</v>
      </c>
      <c r="C211" s="72" t="s">
        <v>275</v>
      </c>
      <c r="D211" s="72">
        <v>43566</v>
      </c>
      <c r="E211" s="78" t="s">
        <v>3108</v>
      </c>
      <c r="F211" s="193">
        <v>29906.19</v>
      </c>
      <c r="G211" s="72">
        <v>43566</v>
      </c>
      <c r="H211" s="70">
        <f t="shared" si="11"/>
        <v>-1906.1899999999987</v>
      </c>
      <c r="I211" s="70">
        <f t="shared" si="12"/>
        <v>9441.4799999999668</v>
      </c>
    </row>
    <row r="212" spans="1:10" x14ac:dyDescent="0.25">
      <c r="A212" t="s">
        <v>2914</v>
      </c>
      <c r="B212" s="3">
        <v>25000</v>
      </c>
      <c r="C212" s="72" t="s">
        <v>48</v>
      </c>
      <c r="D212" s="72">
        <v>43564</v>
      </c>
      <c r="E212" s="78" t="s">
        <v>3152</v>
      </c>
      <c r="F212" s="193">
        <v>30540.68</v>
      </c>
      <c r="G212" s="72">
        <v>43570</v>
      </c>
      <c r="H212" s="70">
        <f t="shared" si="11"/>
        <v>-5540.68</v>
      </c>
      <c r="I212" s="70">
        <f t="shared" si="12"/>
        <v>3900.7999999999665</v>
      </c>
    </row>
    <row r="213" spans="1:10" x14ac:dyDescent="0.25">
      <c r="A213" t="s">
        <v>2916</v>
      </c>
      <c r="B213" s="3">
        <v>25000</v>
      </c>
      <c r="C213" s="72" t="s">
        <v>33</v>
      </c>
      <c r="D213" s="72">
        <v>43565</v>
      </c>
      <c r="E213" s="78" t="s">
        <v>3153</v>
      </c>
      <c r="F213" s="193">
        <v>29427.55</v>
      </c>
      <c r="G213" s="72">
        <v>43571</v>
      </c>
      <c r="H213" s="70">
        <f t="shared" si="11"/>
        <v>-4427.5499999999993</v>
      </c>
      <c r="I213" s="70">
        <f t="shared" si="12"/>
        <v>-526.75000000003274</v>
      </c>
    </row>
    <row r="214" spans="1:10" x14ac:dyDescent="0.25">
      <c r="A214" t="s">
        <v>2917</v>
      </c>
      <c r="B214" s="3">
        <v>33000</v>
      </c>
      <c r="C214" s="72" t="s">
        <v>33</v>
      </c>
      <c r="D214" s="72">
        <v>43565</v>
      </c>
      <c r="E214" s="78" t="s">
        <v>3154</v>
      </c>
      <c r="F214" s="193">
        <v>28878.46</v>
      </c>
      <c r="G214" s="72">
        <v>43571</v>
      </c>
      <c r="H214" s="70">
        <f t="shared" si="11"/>
        <v>4121.5400000000009</v>
      </c>
      <c r="I214" s="70">
        <f t="shared" si="12"/>
        <v>3594.7899999999681</v>
      </c>
    </row>
    <row r="215" spans="1:10" x14ac:dyDescent="0.25">
      <c r="A215" t="s">
        <v>2927</v>
      </c>
      <c r="B215" s="3">
        <v>30000</v>
      </c>
      <c r="C215" s="72" t="s">
        <v>48</v>
      </c>
      <c r="D215" s="72">
        <v>43571</v>
      </c>
      <c r="E215" s="78" t="s">
        <v>3219</v>
      </c>
      <c r="F215" s="193">
        <v>32460.47</v>
      </c>
      <c r="G215" s="72">
        <v>43578</v>
      </c>
      <c r="H215" s="70">
        <f t="shared" si="11"/>
        <v>-2460.4700000000012</v>
      </c>
      <c r="I215" s="70">
        <f t="shared" si="12"/>
        <v>1134.319999999967</v>
      </c>
    </row>
    <row r="216" spans="1:10" x14ac:dyDescent="0.25">
      <c r="A216" t="s">
        <v>2930</v>
      </c>
      <c r="B216" s="3">
        <v>30000</v>
      </c>
      <c r="C216" s="72" t="s">
        <v>48</v>
      </c>
      <c r="D216" s="72">
        <v>43571</v>
      </c>
      <c r="E216" s="78" t="s">
        <v>3246</v>
      </c>
      <c r="F216" s="193">
        <v>33727.19</v>
      </c>
      <c r="G216" s="72">
        <v>43580</v>
      </c>
      <c r="H216" s="70">
        <f t="shared" si="11"/>
        <v>-3727.1900000000023</v>
      </c>
      <c r="I216" s="70">
        <f t="shared" si="12"/>
        <v>-2592.8700000000354</v>
      </c>
    </row>
    <row r="217" spans="1:10" x14ac:dyDescent="0.25">
      <c r="A217" t="s">
        <v>2939</v>
      </c>
      <c r="B217" s="3"/>
      <c r="C217" s="72" t="s">
        <v>48</v>
      </c>
      <c r="D217" s="72">
        <v>43578</v>
      </c>
      <c r="E217" s="203" t="s">
        <v>563</v>
      </c>
      <c r="F217" s="193"/>
      <c r="G217" s="203" t="s">
        <v>563</v>
      </c>
      <c r="H217" s="70">
        <f t="shared" ref="H217:H223" si="13">B217-F217</f>
        <v>0</v>
      </c>
      <c r="I217" s="70">
        <f t="shared" ref="I217:I223" si="14">I216+H217</f>
        <v>-2592.8700000000354</v>
      </c>
    </row>
    <row r="218" spans="1:10" x14ac:dyDescent="0.25">
      <c r="A218" t="s">
        <v>2940</v>
      </c>
      <c r="B218" s="3">
        <v>37000</v>
      </c>
      <c r="C218" s="72" t="s">
        <v>48</v>
      </c>
      <c r="D218" s="72">
        <v>43578</v>
      </c>
      <c r="E218" s="78" t="s">
        <v>3289</v>
      </c>
      <c r="F218" s="193">
        <v>35535.949999999997</v>
      </c>
      <c r="G218" s="72">
        <v>43585</v>
      </c>
      <c r="H218" s="70">
        <f t="shared" si="13"/>
        <v>1464.0500000000029</v>
      </c>
      <c r="I218" s="70">
        <f t="shared" si="14"/>
        <v>-1128.8200000000325</v>
      </c>
    </row>
    <row r="219" spans="1:10" x14ac:dyDescent="0.25">
      <c r="A219" t="s">
        <v>2943</v>
      </c>
      <c r="B219" s="3">
        <v>35000</v>
      </c>
      <c r="C219" s="72" t="s">
        <v>275</v>
      </c>
      <c r="D219" s="72">
        <v>43580</v>
      </c>
      <c r="E219" s="78" t="s">
        <v>3319</v>
      </c>
      <c r="F219" s="193">
        <v>33213.86</v>
      </c>
      <c r="G219" s="72">
        <v>43587</v>
      </c>
      <c r="H219" s="70">
        <f t="shared" si="13"/>
        <v>1786.1399999999994</v>
      </c>
      <c r="I219" s="70">
        <f t="shared" si="14"/>
        <v>657.31999999996697</v>
      </c>
    </row>
    <row r="220" spans="1:10" x14ac:dyDescent="0.25">
      <c r="A220" t="s">
        <v>3048</v>
      </c>
      <c r="B220" s="3">
        <v>37000</v>
      </c>
      <c r="C220" s="72" t="s">
        <v>48</v>
      </c>
      <c r="D220" s="72">
        <v>39926</v>
      </c>
      <c r="E220" s="78" t="s">
        <v>3387</v>
      </c>
      <c r="F220" s="193">
        <v>32909.24</v>
      </c>
      <c r="G220" s="72">
        <v>43592</v>
      </c>
      <c r="H220" s="70">
        <f t="shared" si="13"/>
        <v>4090.760000000002</v>
      </c>
      <c r="I220" s="70">
        <f t="shared" si="14"/>
        <v>4748.079999999969</v>
      </c>
      <c r="J220" t="s">
        <v>3290</v>
      </c>
    </row>
    <row r="221" spans="1:10" x14ac:dyDescent="0.25">
      <c r="A221" t="s">
        <v>3049</v>
      </c>
      <c r="B221" s="3">
        <v>32000</v>
      </c>
      <c r="C221" s="72" t="s">
        <v>48</v>
      </c>
      <c r="D221" s="72">
        <v>43585</v>
      </c>
      <c r="E221" s="78" t="s">
        <v>3388</v>
      </c>
      <c r="F221" s="193">
        <v>33078.93</v>
      </c>
      <c r="G221" s="72">
        <v>43592</v>
      </c>
      <c r="H221" s="70">
        <f t="shared" si="13"/>
        <v>-1078.9300000000003</v>
      </c>
      <c r="I221" s="70">
        <f t="shared" si="14"/>
        <v>3669.1499999999687</v>
      </c>
    </row>
    <row r="222" spans="1:10" x14ac:dyDescent="0.25">
      <c r="A222" t="s">
        <v>3270</v>
      </c>
      <c r="B222" s="3">
        <v>32000</v>
      </c>
      <c r="C222" s="72" t="s">
        <v>48</v>
      </c>
      <c r="D222" s="72">
        <v>43592</v>
      </c>
      <c r="E222" s="78" t="s">
        <v>3499</v>
      </c>
      <c r="F222" s="193">
        <v>34575.919999999998</v>
      </c>
      <c r="G222" s="72">
        <v>43599</v>
      </c>
      <c r="H222" s="70">
        <f t="shared" si="13"/>
        <v>-2575.9199999999983</v>
      </c>
      <c r="I222" s="70">
        <f t="shared" si="14"/>
        <v>1093.2299999999705</v>
      </c>
    </row>
    <row r="223" spans="1:10" x14ac:dyDescent="0.25">
      <c r="A223" t="s">
        <v>3271</v>
      </c>
      <c r="B223" s="3">
        <v>33000</v>
      </c>
      <c r="C223" s="72" t="s">
        <v>275</v>
      </c>
      <c r="D223" s="72">
        <v>43594</v>
      </c>
      <c r="E223" s="78" t="s">
        <v>3519</v>
      </c>
      <c r="F223" s="193">
        <v>34973.51</v>
      </c>
      <c r="G223" s="72">
        <v>43601</v>
      </c>
      <c r="H223" s="70">
        <f t="shared" si="13"/>
        <v>-1973.510000000002</v>
      </c>
      <c r="I223" s="70">
        <f t="shared" si="14"/>
        <v>-880.28000000003158</v>
      </c>
    </row>
    <row r="224" spans="1:10" x14ac:dyDescent="0.25">
      <c r="A224" t="s">
        <v>3272</v>
      </c>
      <c r="B224" s="3">
        <v>38000</v>
      </c>
      <c r="C224" s="72" t="s">
        <v>48</v>
      </c>
      <c r="D224" s="72">
        <v>43599</v>
      </c>
      <c r="E224" s="78" t="s">
        <v>3571</v>
      </c>
      <c r="F224" s="193">
        <v>36527.040000000001</v>
      </c>
      <c r="G224" s="72">
        <v>43606</v>
      </c>
      <c r="H224" s="70">
        <f t="shared" ref="H224:H229" si="15">B224-F224</f>
        <v>1472.9599999999991</v>
      </c>
      <c r="I224" s="70">
        <f t="shared" ref="I224:I229" si="16">I223+H224</f>
        <v>592.67999999996755</v>
      </c>
    </row>
    <row r="225" spans="1:10" x14ac:dyDescent="0.25">
      <c r="A225" t="s">
        <v>3273</v>
      </c>
      <c r="B225" s="3">
        <v>38000</v>
      </c>
      <c r="C225" s="72" t="s">
        <v>48</v>
      </c>
      <c r="D225" s="72">
        <v>43599</v>
      </c>
      <c r="E225" s="78" t="s">
        <v>3572</v>
      </c>
      <c r="F225" s="193">
        <v>36755.14</v>
      </c>
      <c r="G225" s="72">
        <v>43606</v>
      </c>
      <c r="H225" s="70">
        <f t="shared" si="15"/>
        <v>1244.8600000000006</v>
      </c>
      <c r="I225" s="70">
        <f t="shared" si="16"/>
        <v>1837.5399999999681</v>
      </c>
    </row>
    <row r="226" spans="1:10" x14ac:dyDescent="0.25">
      <c r="A226" t="s">
        <v>3274</v>
      </c>
      <c r="B226" s="3">
        <v>36500</v>
      </c>
      <c r="C226" s="72" t="s">
        <v>48</v>
      </c>
      <c r="D226" s="72">
        <v>43606</v>
      </c>
      <c r="E226" s="78" t="s">
        <v>3699</v>
      </c>
      <c r="F226" s="193">
        <v>36985.550000000003</v>
      </c>
      <c r="G226" s="72">
        <v>43613</v>
      </c>
      <c r="H226" s="70">
        <f t="shared" si="15"/>
        <v>-485.55000000000291</v>
      </c>
      <c r="I226" s="70">
        <f t="shared" si="16"/>
        <v>1351.9899999999652</v>
      </c>
    </row>
    <row r="227" spans="1:10" x14ac:dyDescent="0.25">
      <c r="A227" t="s">
        <v>3275</v>
      </c>
      <c r="B227" s="3">
        <v>36500</v>
      </c>
      <c r="C227" s="72" t="s">
        <v>48</v>
      </c>
      <c r="D227" s="72">
        <v>43606</v>
      </c>
      <c r="E227" s="78" t="s">
        <v>3700</v>
      </c>
      <c r="F227" s="193">
        <v>37061.22</v>
      </c>
      <c r="G227" s="72">
        <v>43613</v>
      </c>
      <c r="H227" s="70">
        <f t="shared" si="15"/>
        <v>-561.22000000000116</v>
      </c>
      <c r="I227" s="70">
        <f t="shared" si="16"/>
        <v>790.76999999996406</v>
      </c>
    </row>
    <row r="228" spans="1:10" x14ac:dyDescent="0.25">
      <c r="A228" t="s">
        <v>3276</v>
      </c>
      <c r="B228" s="3">
        <v>38000</v>
      </c>
      <c r="C228" s="72" t="s">
        <v>48</v>
      </c>
      <c r="D228" s="72">
        <v>43613</v>
      </c>
      <c r="E228" s="78" t="s">
        <v>3772</v>
      </c>
      <c r="F228" s="193">
        <v>38336.06</v>
      </c>
      <c r="G228" s="72">
        <v>43620</v>
      </c>
      <c r="H228" s="70">
        <f t="shared" si="15"/>
        <v>-336.05999999999767</v>
      </c>
      <c r="I228" s="70">
        <f t="shared" si="16"/>
        <v>454.70999999996639</v>
      </c>
    </row>
    <row r="229" spans="1:10" x14ac:dyDescent="0.25">
      <c r="A229" t="s">
        <v>3277</v>
      </c>
      <c r="B229" s="3">
        <v>38000</v>
      </c>
      <c r="C229" s="72" t="s">
        <v>48</v>
      </c>
      <c r="D229" s="72">
        <v>43613</v>
      </c>
      <c r="E229" s="78" t="s">
        <v>3773</v>
      </c>
      <c r="F229" s="193">
        <v>38895.1</v>
      </c>
      <c r="G229" s="72">
        <v>43620</v>
      </c>
      <c r="H229" s="70">
        <f t="shared" si="15"/>
        <v>-895.09999999999854</v>
      </c>
      <c r="I229" s="70">
        <f t="shared" si="16"/>
        <v>-440.39000000003216</v>
      </c>
    </row>
    <row r="230" spans="1:10" x14ac:dyDescent="0.25">
      <c r="A230" t="s">
        <v>3670</v>
      </c>
      <c r="B230" s="3">
        <v>40000</v>
      </c>
      <c r="C230" s="72" t="s">
        <v>48</v>
      </c>
      <c r="D230" s="72">
        <v>43620</v>
      </c>
      <c r="E230" s="78" t="s">
        <v>3876</v>
      </c>
      <c r="F230" s="193">
        <v>38526.01</v>
      </c>
      <c r="G230" s="72">
        <v>43627</v>
      </c>
      <c r="H230" s="70">
        <f t="shared" ref="H230:H247" si="17">B230-F230</f>
        <v>1473.989999999998</v>
      </c>
      <c r="I230" s="70">
        <f t="shared" ref="I230:I247" si="18">I229+H230</f>
        <v>1033.5999999999658</v>
      </c>
    </row>
    <row r="231" spans="1:10" x14ac:dyDescent="0.25">
      <c r="A231" t="s">
        <v>3671</v>
      </c>
      <c r="B231" s="3">
        <v>39500</v>
      </c>
      <c r="C231" s="72" t="s">
        <v>48</v>
      </c>
      <c r="D231" s="72">
        <v>43627</v>
      </c>
      <c r="E231" s="78" t="s">
        <v>577</v>
      </c>
      <c r="F231" s="193">
        <v>36095.71</v>
      </c>
      <c r="G231" s="72">
        <v>43634</v>
      </c>
      <c r="H231" s="70">
        <f t="shared" si="17"/>
        <v>3404.2900000000009</v>
      </c>
      <c r="I231" s="70">
        <f t="shared" si="18"/>
        <v>4437.8899999999667</v>
      </c>
    </row>
    <row r="232" spans="1:10" x14ac:dyDescent="0.25">
      <c r="A232" t="s">
        <v>3672</v>
      </c>
      <c r="B232" s="3">
        <v>39500</v>
      </c>
      <c r="C232" s="72" t="s">
        <v>48</v>
      </c>
      <c r="D232" s="72">
        <v>43627</v>
      </c>
      <c r="E232" s="78" t="s">
        <v>3958</v>
      </c>
      <c r="F232" s="193">
        <v>36410.300000000003</v>
      </c>
      <c r="G232" s="72">
        <v>43634</v>
      </c>
      <c r="H232" s="70">
        <f t="shared" si="17"/>
        <v>3089.6999999999971</v>
      </c>
      <c r="I232" s="70">
        <f t="shared" si="18"/>
        <v>7527.5899999999638</v>
      </c>
    </row>
    <row r="233" spans="1:10" x14ac:dyDescent="0.25">
      <c r="A233" t="s">
        <v>3673</v>
      </c>
      <c r="B233" s="3"/>
      <c r="C233" s="72" t="s">
        <v>48</v>
      </c>
      <c r="D233" s="72">
        <v>43641</v>
      </c>
      <c r="E233" s="203" t="s">
        <v>563</v>
      </c>
      <c r="F233" s="193"/>
      <c r="G233" s="203" t="s">
        <v>563</v>
      </c>
      <c r="H233" s="70">
        <f t="shared" si="17"/>
        <v>0</v>
      </c>
      <c r="I233" s="70">
        <f t="shared" si="18"/>
        <v>7527.5899999999638</v>
      </c>
    </row>
    <row r="234" spans="1:10" x14ac:dyDescent="0.25">
      <c r="A234" t="s">
        <v>3674</v>
      </c>
      <c r="B234" s="3">
        <v>27000</v>
      </c>
      <c r="C234" s="72" t="s">
        <v>48</v>
      </c>
      <c r="D234" s="72">
        <v>43641</v>
      </c>
      <c r="E234" s="78" t="s">
        <v>4127</v>
      </c>
      <c r="F234" s="193">
        <v>30121.99</v>
      </c>
      <c r="G234" s="72">
        <v>43648</v>
      </c>
      <c r="H234" s="70">
        <f t="shared" si="17"/>
        <v>-3121.9900000000016</v>
      </c>
      <c r="I234" s="70">
        <f t="shared" si="18"/>
        <v>4405.5999999999622</v>
      </c>
    </row>
    <row r="235" spans="1:10" x14ac:dyDescent="0.25">
      <c r="A235" t="s">
        <v>4076</v>
      </c>
      <c r="B235" s="3">
        <v>27000</v>
      </c>
      <c r="C235" s="72" t="s">
        <v>48</v>
      </c>
      <c r="D235" s="72">
        <v>43641</v>
      </c>
      <c r="E235" s="78" t="s">
        <v>4248</v>
      </c>
      <c r="F235" s="193">
        <v>30569.22</v>
      </c>
      <c r="G235" s="72">
        <v>43655</v>
      </c>
      <c r="H235" s="70">
        <f t="shared" si="17"/>
        <v>-3569.2200000000012</v>
      </c>
      <c r="I235" s="70">
        <f t="shared" si="18"/>
        <v>836.379999999961</v>
      </c>
    </row>
    <row r="236" spans="1:10" x14ac:dyDescent="0.25">
      <c r="A236" t="s">
        <v>4077</v>
      </c>
      <c r="B236" s="3">
        <v>30000</v>
      </c>
      <c r="C236" s="72" t="s">
        <v>48</v>
      </c>
      <c r="D236" s="72">
        <v>43648</v>
      </c>
      <c r="E236" s="78" t="s">
        <v>4249</v>
      </c>
      <c r="F236" s="193">
        <v>29853.55</v>
      </c>
      <c r="G236" s="72">
        <v>43655</v>
      </c>
      <c r="H236" s="70">
        <f t="shared" si="17"/>
        <v>146.45000000000073</v>
      </c>
      <c r="I236" s="70">
        <f t="shared" si="18"/>
        <v>982.82999999996173</v>
      </c>
    </row>
    <row r="237" spans="1:10" x14ac:dyDescent="0.25">
      <c r="A237" t="s">
        <v>4078</v>
      </c>
      <c r="B237" s="3">
        <v>30500</v>
      </c>
      <c r="C237" s="72" t="s">
        <v>48</v>
      </c>
      <c r="D237" s="72">
        <v>43655</v>
      </c>
      <c r="E237" s="78" t="s">
        <v>4359</v>
      </c>
      <c r="F237" s="193">
        <v>31770.32</v>
      </c>
      <c r="G237" s="72">
        <v>43662</v>
      </c>
      <c r="H237" s="70">
        <f t="shared" si="17"/>
        <v>-1270.3199999999997</v>
      </c>
      <c r="I237" s="70">
        <f t="shared" si="18"/>
        <v>-287.49000000003798</v>
      </c>
    </row>
    <row r="238" spans="1:10" x14ac:dyDescent="0.25">
      <c r="A238" t="s">
        <v>4079</v>
      </c>
      <c r="B238" s="3">
        <v>30500</v>
      </c>
      <c r="C238" s="72" t="s">
        <v>48</v>
      </c>
      <c r="D238" s="72">
        <v>43655</v>
      </c>
      <c r="E238" s="78" t="s">
        <v>4360</v>
      </c>
      <c r="F238" s="193">
        <v>31350.28</v>
      </c>
      <c r="G238" s="72">
        <v>43662</v>
      </c>
      <c r="H238" s="70">
        <f t="shared" ref="H238:H240" si="19">B238-F238</f>
        <v>-850.27999999999884</v>
      </c>
      <c r="I238" s="70">
        <f t="shared" ref="I238:I240" si="20">I237+H238</f>
        <v>-1137.7700000000368</v>
      </c>
    </row>
    <row r="239" spans="1:10" x14ac:dyDescent="0.25">
      <c r="A239" t="s">
        <v>4246</v>
      </c>
      <c r="B239" s="3">
        <v>580</v>
      </c>
      <c r="C239" s="72" t="s">
        <v>48</v>
      </c>
      <c r="D239" s="72">
        <v>43655</v>
      </c>
      <c r="F239" s="193"/>
      <c r="G239" s="72"/>
      <c r="H239" s="70">
        <f t="shared" si="19"/>
        <v>580</v>
      </c>
      <c r="I239" s="70">
        <f t="shared" si="20"/>
        <v>-557.77000000003682</v>
      </c>
      <c r="J239" t="s">
        <v>4247</v>
      </c>
    </row>
    <row r="240" spans="1:10" x14ac:dyDescent="0.25">
      <c r="A240" t="s">
        <v>4080</v>
      </c>
      <c r="B240" s="3">
        <v>35500</v>
      </c>
      <c r="C240" s="72" t="s">
        <v>29</v>
      </c>
      <c r="D240" s="72">
        <v>43661</v>
      </c>
      <c r="E240" s="78" t="s">
        <v>4423</v>
      </c>
      <c r="F240" s="193">
        <v>33410.870000000003</v>
      </c>
      <c r="G240" s="72">
        <v>43668</v>
      </c>
      <c r="H240" s="70">
        <f t="shared" si="19"/>
        <v>2089.1299999999974</v>
      </c>
      <c r="I240" s="70">
        <f t="shared" si="20"/>
        <v>1531.3599999999606</v>
      </c>
    </row>
    <row r="241" spans="1:9" x14ac:dyDescent="0.25">
      <c r="A241" t="s">
        <v>4081</v>
      </c>
      <c r="B241" s="3">
        <v>35500</v>
      </c>
      <c r="C241" s="72" t="s">
        <v>29</v>
      </c>
      <c r="D241" s="72">
        <v>43661</v>
      </c>
      <c r="E241" s="78" t="s">
        <v>4422</v>
      </c>
      <c r="F241" s="193">
        <v>33252.410000000003</v>
      </c>
      <c r="G241" s="72">
        <v>43668</v>
      </c>
      <c r="H241" s="70">
        <f t="shared" si="17"/>
        <v>2247.5899999999965</v>
      </c>
      <c r="I241" s="70">
        <f t="shared" si="18"/>
        <v>3778.9499999999571</v>
      </c>
    </row>
    <row r="242" spans="1:9" x14ac:dyDescent="0.25">
      <c r="A242" t="s">
        <v>4082</v>
      </c>
      <c r="B242" s="3">
        <v>33000</v>
      </c>
      <c r="C242" s="72" t="s">
        <v>48</v>
      </c>
      <c r="D242" s="72">
        <v>43669</v>
      </c>
      <c r="E242" s="78" t="s">
        <v>4513</v>
      </c>
      <c r="F242" s="193">
        <v>40790.120000000003</v>
      </c>
      <c r="G242" s="72">
        <v>43676</v>
      </c>
      <c r="H242" s="70">
        <f t="shared" si="17"/>
        <v>-7790.1200000000026</v>
      </c>
      <c r="I242" s="70">
        <f t="shared" si="18"/>
        <v>-4011.1700000000455</v>
      </c>
    </row>
    <row r="243" spans="1:9" x14ac:dyDescent="0.25">
      <c r="A243" t="s">
        <v>4083</v>
      </c>
      <c r="B243" s="3">
        <v>42000</v>
      </c>
      <c r="C243" s="72" t="s">
        <v>275</v>
      </c>
      <c r="D243" s="72">
        <v>43671</v>
      </c>
      <c r="E243" s="78" t="s">
        <v>4764</v>
      </c>
      <c r="F243" s="193">
        <v>41395.81</v>
      </c>
      <c r="G243" s="72">
        <v>43678</v>
      </c>
      <c r="H243" s="70">
        <f t="shared" si="17"/>
        <v>604.19000000000233</v>
      </c>
      <c r="I243" s="70">
        <f t="shared" si="18"/>
        <v>-3406.9800000000432</v>
      </c>
    </row>
    <row r="244" spans="1:9" x14ac:dyDescent="0.25">
      <c r="A244" t="s">
        <v>4084</v>
      </c>
      <c r="B244" s="3">
        <v>45500</v>
      </c>
      <c r="C244" s="72" t="s">
        <v>48</v>
      </c>
      <c r="D244" s="72">
        <v>43676</v>
      </c>
      <c r="E244" s="78" t="s">
        <v>4692</v>
      </c>
      <c r="F244" s="193">
        <v>40776.33</v>
      </c>
      <c r="G244" s="72">
        <v>43683</v>
      </c>
      <c r="H244" s="70">
        <f t="shared" si="17"/>
        <v>4723.6699999999983</v>
      </c>
      <c r="I244" s="70">
        <f t="shared" si="18"/>
        <v>1316.689999999955</v>
      </c>
    </row>
    <row r="245" spans="1:9" x14ac:dyDescent="0.25">
      <c r="A245" t="s">
        <v>4085</v>
      </c>
      <c r="B245" s="3">
        <v>45500</v>
      </c>
      <c r="C245" s="72" t="s">
        <v>48</v>
      </c>
      <c r="D245" s="72">
        <v>43676</v>
      </c>
      <c r="E245" s="78" t="s">
        <v>4765</v>
      </c>
      <c r="F245" s="193">
        <v>40486.730000000003</v>
      </c>
      <c r="G245" s="72">
        <v>43683</v>
      </c>
      <c r="H245" s="70">
        <f t="shared" si="17"/>
        <v>5013.2699999999968</v>
      </c>
      <c r="I245" s="70">
        <f t="shared" si="18"/>
        <v>6329.9599999999518</v>
      </c>
    </row>
    <row r="246" spans="1:9" x14ac:dyDescent="0.25">
      <c r="A246">
        <v>32029</v>
      </c>
      <c r="B246" s="3">
        <v>43000</v>
      </c>
      <c r="C246" s="72" t="s">
        <v>33</v>
      </c>
      <c r="D246" s="72">
        <v>43684</v>
      </c>
      <c r="E246" s="78" t="s">
        <v>4775</v>
      </c>
      <c r="F246" s="193">
        <v>39853.800000000003</v>
      </c>
      <c r="G246" s="72">
        <v>43690</v>
      </c>
      <c r="H246" s="70">
        <f t="shared" si="17"/>
        <v>3146.1999999999971</v>
      </c>
      <c r="I246" s="70">
        <f t="shared" si="18"/>
        <v>9476.1599999999489</v>
      </c>
    </row>
    <row r="247" spans="1:9" x14ac:dyDescent="0.25">
      <c r="A247">
        <v>32069</v>
      </c>
      <c r="B247" s="3">
        <v>43000</v>
      </c>
      <c r="C247" s="72" t="s">
        <v>33</v>
      </c>
      <c r="D247" s="72">
        <v>43684</v>
      </c>
      <c r="E247" s="78" t="s">
        <v>4766</v>
      </c>
      <c r="F247" s="193">
        <v>41334.75</v>
      </c>
      <c r="G247" s="72">
        <v>43690</v>
      </c>
      <c r="H247" s="70">
        <f t="shared" si="17"/>
        <v>1665.25</v>
      </c>
      <c r="I247" s="70">
        <f t="shared" si="18"/>
        <v>11141.409999999949</v>
      </c>
    </row>
    <row r="248" spans="1:9" x14ac:dyDescent="0.25">
      <c r="A248">
        <v>32070</v>
      </c>
      <c r="B248" s="3">
        <v>43000</v>
      </c>
      <c r="C248" s="72" t="s">
        <v>33</v>
      </c>
      <c r="D248" s="72">
        <v>43690</v>
      </c>
      <c r="E248" s="78" t="s">
        <v>4815</v>
      </c>
      <c r="F248" s="193">
        <v>32855.199999999997</v>
      </c>
      <c r="G248" s="72">
        <v>43697</v>
      </c>
      <c r="H248" s="70">
        <f t="shared" ref="H248:H253" si="21">B248-F248</f>
        <v>10144.800000000003</v>
      </c>
      <c r="I248" s="70">
        <f t="shared" ref="I248:I253" si="22">I247+H248</f>
        <v>21286.209999999952</v>
      </c>
    </row>
    <row r="249" spans="1:9" x14ac:dyDescent="0.25">
      <c r="A249">
        <v>32071</v>
      </c>
      <c r="B249" s="3">
        <v>43000</v>
      </c>
      <c r="C249" s="72" t="s">
        <v>275</v>
      </c>
      <c r="D249" s="72">
        <v>43691</v>
      </c>
      <c r="F249" s="50">
        <v>33000</v>
      </c>
      <c r="G249" s="72">
        <v>43699</v>
      </c>
      <c r="H249" s="70">
        <f t="shared" si="21"/>
        <v>10000</v>
      </c>
      <c r="I249" s="70">
        <f t="shared" si="22"/>
        <v>31286.209999999952</v>
      </c>
    </row>
    <row r="250" spans="1:9" x14ac:dyDescent="0.25">
      <c r="A250">
        <v>32072</v>
      </c>
      <c r="B250" s="3">
        <v>18000</v>
      </c>
      <c r="C250" s="72" t="s">
        <v>33</v>
      </c>
      <c r="D250" s="72">
        <v>43698</v>
      </c>
      <c r="F250" s="50">
        <v>30000</v>
      </c>
      <c r="H250" s="70">
        <f t="shared" si="21"/>
        <v>-12000</v>
      </c>
      <c r="I250" s="70">
        <f t="shared" si="22"/>
        <v>19286.209999999952</v>
      </c>
    </row>
    <row r="251" spans="1:9" x14ac:dyDescent="0.25">
      <c r="A251">
        <v>32073</v>
      </c>
      <c r="B251" s="3">
        <v>18000</v>
      </c>
      <c r="C251" s="72" t="s">
        <v>33</v>
      </c>
      <c r="D251" s="72">
        <v>43698</v>
      </c>
      <c r="F251" s="50">
        <v>30000</v>
      </c>
      <c r="H251" s="70">
        <f t="shared" si="21"/>
        <v>-12000</v>
      </c>
      <c r="I251" s="70">
        <f t="shared" si="22"/>
        <v>7286.2099999999518</v>
      </c>
    </row>
    <row r="252" spans="1:9" x14ac:dyDescent="0.25">
      <c r="A252">
        <v>32075</v>
      </c>
      <c r="F252" s="50"/>
      <c r="H252" s="70">
        <f t="shared" si="21"/>
        <v>0</v>
      </c>
      <c r="I252" s="70">
        <f t="shared" si="22"/>
        <v>7286.2099999999518</v>
      </c>
    </row>
    <row r="253" spans="1:9" x14ac:dyDescent="0.25">
      <c r="A253">
        <v>32076</v>
      </c>
      <c r="F253" s="50"/>
      <c r="H253" s="70">
        <f t="shared" si="21"/>
        <v>0</v>
      </c>
      <c r="I253" s="70">
        <f t="shared" si="22"/>
        <v>7286.2099999999518</v>
      </c>
    </row>
    <row r="254" spans="1:9" x14ac:dyDescent="0.25">
      <c r="A254">
        <v>32077</v>
      </c>
      <c r="F254" s="50"/>
      <c r="H254" s="70">
        <f t="shared" ref="H254" si="23">B254-F254</f>
        <v>0</v>
      </c>
      <c r="I254" s="70">
        <f t="shared" ref="I254" si="24">I253+H254</f>
        <v>7286.2099999999518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1"/>
  <sheetViews>
    <sheetView workbookViewId="0">
      <selection activeCell="G20" sqref="G20"/>
    </sheetView>
  </sheetViews>
  <sheetFormatPr baseColWidth="10" defaultRowHeight="15" x14ac:dyDescent="0.25"/>
  <cols>
    <col min="2" max="2" width="11.42578125" style="3"/>
    <col min="3" max="3" width="5.85546875" customWidth="1"/>
    <col min="6" max="6" width="11.42578125" style="3"/>
    <col min="9" max="9" width="12" customWidth="1"/>
  </cols>
  <sheetData>
    <row r="1" spans="1:10" x14ac:dyDescent="0.25">
      <c r="H1" s="3"/>
      <c r="I1" s="3"/>
    </row>
    <row r="2" spans="1:10" x14ac:dyDescent="0.25">
      <c r="A2" t="s">
        <v>2234</v>
      </c>
      <c r="C2" s="3"/>
      <c r="F2" s="3" t="s">
        <v>208</v>
      </c>
      <c r="G2" s="3"/>
      <c r="H2" s="3"/>
      <c r="I2" s="3"/>
    </row>
    <row r="3" spans="1:10" x14ac:dyDescent="0.25">
      <c r="C3" s="3"/>
      <c r="G3" s="71" t="s">
        <v>209</v>
      </c>
      <c r="H3" s="3"/>
      <c r="I3" s="3"/>
    </row>
    <row r="4" spans="1:10" x14ac:dyDescent="0.25">
      <c r="A4" t="s">
        <v>210</v>
      </c>
      <c r="B4" s="3" t="s">
        <v>211</v>
      </c>
      <c r="C4" s="3" t="s">
        <v>12</v>
      </c>
      <c r="D4" t="s">
        <v>212</v>
      </c>
      <c r="E4" t="s">
        <v>213</v>
      </c>
      <c r="F4" s="3" t="s">
        <v>214</v>
      </c>
      <c r="G4" s="71" t="s">
        <v>215</v>
      </c>
      <c r="H4" s="3" t="s">
        <v>216</v>
      </c>
      <c r="I4" s="3" t="s">
        <v>217</v>
      </c>
    </row>
    <row r="5" spans="1:10" x14ac:dyDescent="0.25">
      <c r="A5" t="s">
        <v>2233</v>
      </c>
      <c r="B5" s="3">
        <v>25000</v>
      </c>
      <c r="C5" s="72" t="s">
        <v>29</v>
      </c>
      <c r="D5" s="72">
        <v>43507</v>
      </c>
      <c r="E5">
        <v>9000730561</v>
      </c>
      <c r="F5" s="3">
        <v>21891.98</v>
      </c>
      <c r="G5" s="72">
        <v>43514</v>
      </c>
      <c r="H5" s="70">
        <f t="shared" ref="H5:H7" si="0">B5-F5</f>
        <v>3108.0200000000004</v>
      </c>
      <c r="I5" s="3">
        <f>B5-F5</f>
        <v>3108.0200000000004</v>
      </c>
    </row>
    <row r="6" spans="1:10" x14ac:dyDescent="0.25">
      <c r="A6" t="s">
        <v>2235</v>
      </c>
      <c r="B6" s="3">
        <v>23000</v>
      </c>
      <c r="C6" t="s">
        <v>48</v>
      </c>
      <c r="D6" s="72">
        <v>43508</v>
      </c>
      <c r="E6">
        <v>9000737600</v>
      </c>
      <c r="F6" s="3">
        <v>21236.44</v>
      </c>
      <c r="G6" s="72">
        <v>43517</v>
      </c>
      <c r="H6" s="70">
        <f t="shared" si="0"/>
        <v>1763.5600000000013</v>
      </c>
      <c r="I6" s="3">
        <f t="shared" ref="I6:I7" si="1">I5+H6</f>
        <v>4871.5800000000017</v>
      </c>
    </row>
    <row r="7" spans="1:10" x14ac:dyDescent="0.25">
      <c r="A7" t="s">
        <v>2236</v>
      </c>
      <c r="B7" s="3">
        <v>22000</v>
      </c>
      <c r="C7" s="3" t="s">
        <v>45</v>
      </c>
      <c r="D7" s="72">
        <v>43511</v>
      </c>
      <c r="E7">
        <v>9000748243</v>
      </c>
      <c r="F7" s="3">
        <v>22227.11</v>
      </c>
      <c r="G7" s="72">
        <v>43521</v>
      </c>
      <c r="H7" s="70">
        <f t="shared" si="0"/>
        <v>-227.11000000000058</v>
      </c>
      <c r="I7" s="3">
        <f t="shared" si="1"/>
        <v>4644.4700000000012</v>
      </c>
    </row>
    <row r="8" spans="1:10" x14ac:dyDescent="0.25">
      <c r="A8" t="s">
        <v>2325</v>
      </c>
      <c r="B8" s="3">
        <v>22000</v>
      </c>
      <c r="C8" s="3" t="s">
        <v>45</v>
      </c>
      <c r="D8" s="72">
        <v>43511</v>
      </c>
      <c r="E8">
        <v>9000746845</v>
      </c>
      <c r="F8" s="3">
        <v>20538.02</v>
      </c>
      <c r="G8" s="72">
        <v>43522</v>
      </c>
      <c r="H8" s="70">
        <f t="shared" ref="H8:H18" si="2">B8-F8</f>
        <v>1461.9799999999996</v>
      </c>
      <c r="I8" s="3">
        <f t="shared" ref="I8:I18" si="3">I7+H8</f>
        <v>6106.4500000000007</v>
      </c>
    </row>
    <row r="9" spans="1:10" x14ac:dyDescent="0.25">
      <c r="A9" t="s">
        <v>2237</v>
      </c>
      <c r="B9" s="3">
        <v>22000</v>
      </c>
      <c r="C9" s="3" t="s">
        <v>48</v>
      </c>
      <c r="D9" s="72">
        <v>43515</v>
      </c>
      <c r="E9">
        <v>9000754882</v>
      </c>
      <c r="F9" s="3">
        <v>21912.46</v>
      </c>
      <c r="G9" s="72">
        <v>43525</v>
      </c>
      <c r="H9" s="70">
        <f t="shared" si="2"/>
        <v>87.540000000000873</v>
      </c>
      <c r="I9" s="3">
        <f t="shared" si="3"/>
        <v>6193.9900000000016</v>
      </c>
    </row>
    <row r="10" spans="1:10" x14ac:dyDescent="0.25">
      <c r="A10" t="s">
        <v>2238</v>
      </c>
      <c r="B10" s="3">
        <v>22000</v>
      </c>
      <c r="C10" s="3" t="s">
        <v>29</v>
      </c>
      <c r="D10" s="72">
        <v>43521</v>
      </c>
      <c r="E10">
        <v>9000764039</v>
      </c>
      <c r="F10" s="3">
        <v>23097.67</v>
      </c>
      <c r="G10" s="72">
        <v>43528</v>
      </c>
      <c r="H10" s="70">
        <f t="shared" si="2"/>
        <v>-1097.6699999999983</v>
      </c>
      <c r="I10" s="3">
        <f t="shared" si="3"/>
        <v>5096.3200000000033</v>
      </c>
    </row>
    <row r="11" spans="1:10" x14ac:dyDescent="0.25">
      <c r="A11" t="s">
        <v>2239</v>
      </c>
      <c r="B11" s="3">
        <v>20000</v>
      </c>
      <c r="C11" s="3" t="s">
        <v>48</v>
      </c>
      <c r="D11" s="72">
        <v>43522</v>
      </c>
      <c r="E11">
        <v>9000770375</v>
      </c>
      <c r="F11" s="3">
        <v>21948.22</v>
      </c>
      <c r="G11" s="72">
        <v>43530</v>
      </c>
      <c r="H11" s="70">
        <f t="shared" si="2"/>
        <v>-1948.2200000000012</v>
      </c>
      <c r="I11" s="3">
        <f t="shared" si="3"/>
        <v>3148.1000000000022</v>
      </c>
    </row>
    <row r="12" spans="1:10" x14ac:dyDescent="0.25">
      <c r="A12" t="s">
        <v>2416</v>
      </c>
      <c r="B12" s="3">
        <v>24000</v>
      </c>
      <c r="C12" s="3" t="s">
        <v>29</v>
      </c>
      <c r="D12" s="72">
        <v>43528</v>
      </c>
      <c r="E12">
        <v>9000778986</v>
      </c>
      <c r="F12" s="3">
        <v>24036.81</v>
      </c>
      <c r="G12" s="72">
        <v>43535</v>
      </c>
      <c r="H12" s="70">
        <f t="shared" si="2"/>
        <v>-36.81000000000131</v>
      </c>
      <c r="I12" s="3">
        <f t="shared" si="3"/>
        <v>3111.2900000000009</v>
      </c>
    </row>
    <row r="13" spans="1:10" x14ac:dyDescent="0.25">
      <c r="A13" t="s">
        <v>2417</v>
      </c>
      <c r="B13" s="3">
        <v>24000</v>
      </c>
      <c r="C13" s="3" t="s">
        <v>48</v>
      </c>
      <c r="D13" s="72">
        <v>43529</v>
      </c>
      <c r="E13">
        <v>9000784546</v>
      </c>
      <c r="F13" s="3">
        <v>26266.59</v>
      </c>
      <c r="G13" s="72">
        <v>43538</v>
      </c>
      <c r="H13" s="70">
        <f t="shared" si="2"/>
        <v>-2266.59</v>
      </c>
      <c r="I13" s="3">
        <f t="shared" si="3"/>
        <v>844.70000000000073</v>
      </c>
    </row>
    <row r="14" spans="1:10" x14ac:dyDescent="0.25">
      <c r="A14" t="s">
        <v>2418</v>
      </c>
      <c r="B14" s="3">
        <v>26180.63</v>
      </c>
      <c r="C14" s="3" t="s">
        <v>45</v>
      </c>
      <c r="D14" s="72">
        <v>43539</v>
      </c>
      <c r="E14">
        <v>9000786960</v>
      </c>
      <c r="F14" s="3">
        <v>27025.33</v>
      </c>
      <c r="G14" s="72">
        <v>43539</v>
      </c>
      <c r="H14" s="70">
        <f t="shared" si="2"/>
        <v>-844.70000000000073</v>
      </c>
      <c r="I14" s="3">
        <f t="shared" si="3"/>
        <v>0</v>
      </c>
    </row>
    <row r="15" spans="1:10" x14ac:dyDescent="0.25">
      <c r="A15" t="s">
        <v>2419</v>
      </c>
      <c r="H15" s="70">
        <f t="shared" si="2"/>
        <v>0</v>
      </c>
      <c r="I15" s="3">
        <f t="shared" si="3"/>
        <v>0</v>
      </c>
      <c r="J15" t="s">
        <v>2726</v>
      </c>
    </row>
    <row r="16" spans="1:10" x14ac:dyDescent="0.25">
      <c r="A16" t="s">
        <v>2420</v>
      </c>
      <c r="H16" s="70">
        <f t="shared" si="2"/>
        <v>0</v>
      </c>
      <c r="I16" s="3">
        <f t="shared" si="3"/>
        <v>0</v>
      </c>
    </row>
    <row r="17" spans="1:9" x14ac:dyDescent="0.25">
      <c r="A17" t="s">
        <v>2421</v>
      </c>
      <c r="H17" s="70">
        <f t="shared" si="2"/>
        <v>0</v>
      </c>
      <c r="I17" s="3">
        <f t="shared" si="3"/>
        <v>0</v>
      </c>
    </row>
    <row r="18" spans="1:9" x14ac:dyDescent="0.25">
      <c r="A18" t="s">
        <v>2422</v>
      </c>
      <c r="H18" s="70">
        <f t="shared" si="2"/>
        <v>0</v>
      </c>
      <c r="I18" s="3">
        <f t="shared" si="3"/>
        <v>0</v>
      </c>
    </row>
    <row r="19" spans="1:9" x14ac:dyDescent="0.25">
      <c r="A19" t="s">
        <v>2423</v>
      </c>
      <c r="E19">
        <v>9000833450</v>
      </c>
      <c r="F19" s="3">
        <v>33182.720000000001</v>
      </c>
      <c r="G19" s="72">
        <v>43559</v>
      </c>
      <c r="H19" s="70">
        <f t="shared" ref="H19:H21" si="4">B19-F19</f>
        <v>-33182.720000000001</v>
      </c>
      <c r="I19" s="3">
        <f t="shared" ref="I19:I21" si="5">I18+H19</f>
        <v>-33182.720000000001</v>
      </c>
    </row>
    <row r="20" spans="1:9" x14ac:dyDescent="0.25">
      <c r="A20" t="s">
        <v>2535</v>
      </c>
      <c r="H20" s="70">
        <f t="shared" si="4"/>
        <v>0</v>
      </c>
      <c r="I20" s="3">
        <f t="shared" si="5"/>
        <v>-33182.720000000001</v>
      </c>
    </row>
    <row r="21" spans="1:9" x14ac:dyDescent="0.25">
      <c r="A21" t="s">
        <v>2536</v>
      </c>
      <c r="H21" s="70">
        <f t="shared" si="4"/>
        <v>0</v>
      </c>
      <c r="I21" s="3">
        <f t="shared" si="5"/>
        <v>-33182.720000000001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95"/>
  <sheetViews>
    <sheetView topLeftCell="A2179" workbookViewId="0">
      <selection activeCell="A2197" sqref="A2197"/>
    </sheetView>
  </sheetViews>
  <sheetFormatPr baseColWidth="10" defaultRowHeight="15" x14ac:dyDescent="0.25"/>
  <cols>
    <col min="2" max="2" width="14.140625" style="3" customWidth="1"/>
    <col min="3" max="3" width="14.140625" style="3" bestFit="1" customWidth="1"/>
    <col min="4" max="4" width="12.5703125" bestFit="1" customWidth="1"/>
    <col min="5" max="5" width="14.28515625" style="3" customWidth="1"/>
    <col min="6" max="6" width="12.28515625" customWidth="1"/>
    <col min="7" max="7" width="12.140625" customWidth="1"/>
    <col min="8" max="9" width="14.140625" bestFit="1" customWidth="1"/>
    <col min="11" max="11" width="12.28515625" customWidth="1"/>
    <col min="12" max="12" width="14.140625" bestFit="1" customWidth="1"/>
  </cols>
  <sheetData>
    <row r="1" spans="1:7" x14ac:dyDescent="0.25">
      <c r="A1" t="s">
        <v>832</v>
      </c>
    </row>
    <row r="3" spans="1:7" ht="45" x14ac:dyDescent="0.25">
      <c r="A3" s="80" t="s">
        <v>833</v>
      </c>
      <c r="B3" s="81" t="s">
        <v>834</v>
      </c>
      <c r="C3" s="81" t="s">
        <v>835</v>
      </c>
      <c r="D3" s="82" t="s">
        <v>836</v>
      </c>
      <c r="E3" s="81" t="s">
        <v>837</v>
      </c>
      <c r="F3" s="82" t="s">
        <v>838</v>
      </c>
      <c r="G3" s="82" t="s">
        <v>839</v>
      </c>
    </row>
    <row r="5" spans="1:7" x14ac:dyDescent="0.25">
      <c r="A5" t="s">
        <v>840</v>
      </c>
      <c r="B5" s="3">
        <v>295938</v>
      </c>
      <c r="C5" s="3">
        <v>50000</v>
      </c>
      <c r="D5" s="72">
        <v>42931</v>
      </c>
      <c r="E5" s="3" t="s">
        <v>841</v>
      </c>
    </row>
    <row r="6" spans="1:7" x14ac:dyDescent="0.25">
      <c r="C6" s="3">
        <v>50000</v>
      </c>
      <c r="D6" s="72">
        <v>42931</v>
      </c>
      <c r="E6" s="3" t="s">
        <v>841</v>
      </c>
    </row>
    <row r="7" spans="1:7" x14ac:dyDescent="0.25">
      <c r="C7" s="3">
        <v>39695</v>
      </c>
      <c r="D7" s="72">
        <v>42931</v>
      </c>
      <c r="E7" s="3" t="s">
        <v>841</v>
      </c>
    </row>
    <row r="8" spans="1:7" x14ac:dyDescent="0.25">
      <c r="C8" s="50">
        <v>44575.7</v>
      </c>
      <c r="D8" s="72">
        <v>42931</v>
      </c>
      <c r="E8" s="3" t="s">
        <v>842</v>
      </c>
    </row>
    <row r="9" spans="1:7" x14ac:dyDescent="0.25">
      <c r="C9" s="83">
        <v>49912</v>
      </c>
      <c r="D9" s="72">
        <v>42928</v>
      </c>
      <c r="E9" s="3" t="s">
        <v>842</v>
      </c>
    </row>
    <row r="10" spans="1:7" x14ac:dyDescent="0.25">
      <c r="C10" s="79">
        <v>43453.4</v>
      </c>
      <c r="D10" s="72">
        <v>42927</v>
      </c>
      <c r="E10" s="3" t="s">
        <v>842</v>
      </c>
    </row>
    <row r="11" spans="1:7" x14ac:dyDescent="0.25">
      <c r="C11" s="3">
        <v>14296</v>
      </c>
      <c r="D11" s="72">
        <v>42929</v>
      </c>
      <c r="E11" s="3" t="s">
        <v>843</v>
      </c>
    </row>
    <row r="12" spans="1:7" x14ac:dyDescent="0.25">
      <c r="C12" s="3">
        <v>4006</v>
      </c>
      <c r="D12" s="72">
        <v>42929</v>
      </c>
      <c r="E12" s="3" t="s">
        <v>844</v>
      </c>
    </row>
    <row r="13" spans="1:7" x14ac:dyDescent="0.25">
      <c r="B13" s="3">
        <f>SUM(B5:B12)</f>
        <v>295938</v>
      </c>
      <c r="C13" s="3">
        <f>SUM(C5:C12)</f>
        <v>295938.10000000003</v>
      </c>
      <c r="E13" s="3">
        <f>C13-B13</f>
        <v>0.1000000000349246</v>
      </c>
      <c r="F13" s="72">
        <v>42931</v>
      </c>
      <c r="G13" s="72">
        <v>42935</v>
      </c>
    </row>
    <row r="15" spans="1:7" x14ac:dyDescent="0.25">
      <c r="A15" t="s">
        <v>845</v>
      </c>
      <c r="B15" s="3">
        <v>470960</v>
      </c>
      <c r="C15" s="3">
        <v>745000</v>
      </c>
      <c r="D15" s="72">
        <v>42934</v>
      </c>
      <c r="E15" s="3" t="s">
        <v>846</v>
      </c>
    </row>
    <row r="16" spans="1:7" x14ac:dyDescent="0.25">
      <c r="A16" t="s">
        <v>847</v>
      </c>
      <c r="B16" s="3">
        <v>21279.200000000001</v>
      </c>
      <c r="C16" s="3">
        <v>190000</v>
      </c>
      <c r="D16" s="72">
        <v>42935</v>
      </c>
      <c r="E16" s="3" t="s">
        <v>846</v>
      </c>
    </row>
    <row r="17" spans="1:7" x14ac:dyDescent="0.25">
      <c r="A17" t="s">
        <v>848</v>
      </c>
      <c r="B17" s="3">
        <v>25322</v>
      </c>
      <c r="C17" s="3">
        <v>28611</v>
      </c>
      <c r="D17" s="72">
        <v>42935</v>
      </c>
      <c r="E17" s="3" t="s">
        <v>849</v>
      </c>
    </row>
    <row r="18" spans="1:7" x14ac:dyDescent="0.25">
      <c r="A18" t="s">
        <v>850</v>
      </c>
      <c r="B18" s="3">
        <v>446050</v>
      </c>
    </row>
    <row r="19" spans="1:7" x14ac:dyDescent="0.25">
      <c r="B19" s="3">
        <f>SUM(B15:B18)</f>
        <v>963611.2</v>
      </c>
      <c r="C19" s="3">
        <f>SUM(C15:C18)</f>
        <v>963611</v>
      </c>
      <c r="E19" s="3">
        <f>C19-B19</f>
        <v>-0.19999999995343387</v>
      </c>
      <c r="F19" s="72">
        <v>42935</v>
      </c>
      <c r="G19" s="72">
        <v>42935</v>
      </c>
    </row>
    <row r="23" spans="1:7" x14ac:dyDescent="0.25">
      <c r="A23" t="s">
        <v>851</v>
      </c>
      <c r="B23" s="3">
        <v>241800</v>
      </c>
      <c r="C23" s="3">
        <v>275000</v>
      </c>
      <c r="D23" s="72">
        <v>42954</v>
      </c>
      <c r="E23" s="3" t="s">
        <v>846</v>
      </c>
    </row>
    <row r="24" spans="1:7" x14ac:dyDescent="0.25">
      <c r="B24" s="3">
        <f>SUM(B23)</f>
        <v>241800</v>
      </c>
      <c r="C24" s="3">
        <f>SUM(C23)</f>
        <v>275000</v>
      </c>
      <c r="E24" s="79">
        <f>C24-B24</f>
        <v>33200</v>
      </c>
      <c r="F24" s="72">
        <v>42954</v>
      </c>
      <c r="G24" s="72">
        <v>42957</v>
      </c>
    </row>
    <row r="26" spans="1:7" x14ac:dyDescent="0.25">
      <c r="A26" t="s">
        <v>852</v>
      </c>
      <c r="B26" s="3">
        <v>130248</v>
      </c>
      <c r="C26" s="3">
        <v>344000</v>
      </c>
      <c r="D26" s="72">
        <v>42955</v>
      </c>
      <c r="E26" s="3" t="s">
        <v>846</v>
      </c>
    </row>
    <row r="27" spans="1:7" x14ac:dyDescent="0.25">
      <c r="A27" t="s">
        <v>853</v>
      </c>
      <c r="B27" s="3">
        <v>34340.400000000001</v>
      </c>
    </row>
    <row r="28" spans="1:7" x14ac:dyDescent="0.25">
      <c r="B28" s="3">
        <f>SUM(B26:B27)</f>
        <v>164588.4</v>
      </c>
      <c r="C28" s="3">
        <f>SUM(C26:C27)</f>
        <v>344000</v>
      </c>
      <c r="E28" s="83">
        <f>C28-B28</f>
        <v>179411.6</v>
      </c>
      <c r="F28" s="72">
        <v>42955</v>
      </c>
      <c r="G28" s="72">
        <v>42957</v>
      </c>
    </row>
    <row r="30" spans="1:7" x14ac:dyDescent="0.25">
      <c r="A30" t="s">
        <v>854</v>
      </c>
      <c r="B30" s="3">
        <v>484704</v>
      </c>
      <c r="C30" s="3">
        <v>491000</v>
      </c>
      <c r="D30" s="72">
        <v>42957</v>
      </c>
      <c r="E30" s="3" t="s">
        <v>846</v>
      </c>
    </row>
    <row r="31" spans="1:7" x14ac:dyDescent="0.25">
      <c r="B31" s="3">
        <f>SUM(B30)</f>
        <v>484704</v>
      </c>
      <c r="C31" s="3">
        <f>SUM(C30)</f>
        <v>491000</v>
      </c>
      <c r="E31" s="63">
        <f>C31-B31</f>
        <v>6296</v>
      </c>
      <c r="F31" s="72">
        <v>42957</v>
      </c>
      <c r="G31" s="72">
        <v>42957</v>
      </c>
    </row>
    <row r="33" spans="1:7" x14ac:dyDescent="0.25">
      <c r="A33" t="s">
        <v>855</v>
      </c>
      <c r="B33" s="3">
        <v>14567.1</v>
      </c>
      <c r="C33" s="3">
        <v>318000</v>
      </c>
      <c r="D33" s="72">
        <v>42958</v>
      </c>
      <c r="E33" s="3" t="s">
        <v>846</v>
      </c>
    </row>
    <row r="34" spans="1:7" x14ac:dyDescent="0.25">
      <c r="A34" t="s">
        <v>856</v>
      </c>
      <c r="B34" s="3">
        <v>271151</v>
      </c>
    </row>
    <row r="35" spans="1:7" x14ac:dyDescent="0.25">
      <c r="B35" s="3">
        <f>SUM(B33:B34)</f>
        <v>285718.09999999998</v>
      </c>
      <c r="C35" s="3">
        <f>SUM(C33:C34)</f>
        <v>318000</v>
      </c>
      <c r="E35" s="84">
        <f>C35-B35</f>
        <v>32281.900000000023</v>
      </c>
      <c r="F35" s="72">
        <v>42958</v>
      </c>
      <c r="G35" s="72">
        <v>42959</v>
      </c>
    </row>
    <row r="37" spans="1:7" x14ac:dyDescent="0.25">
      <c r="A37" t="s">
        <v>857</v>
      </c>
      <c r="B37" s="3">
        <v>422584</v>
      </c>
      <c r="C37" s="3">
        <v>223000</v>
      </c>
      <c r="D37" s="72">
        <v>42959</v>
      </c>
      <c r="E37" s="3" t="s">
        <v>846</v>
      </c>
    </row>
    <row r="38" spans="1:7" x14ac:dyDescent="0.25">
      <c r="C38" s="83">
        <v>179411.6</v>
      </c>
      <c r="D38" s="72">
        <v>42955</v>
      </c>
      <c r="E38" s="3" t="s">
        <v>842</v>
      </c>
    </row>
    <row r="39" spans="1:7" x14ac:dyDescent="0.25">
      <c r="C39" s="3">
        <v>1774</v>
      </c>
      <c r="D39" s="85">
        <v>42948</v>
      </c>
      <c r="E39" s="3" t="s">
        <v>858</v>
      </c>
    </row>
    <row r="40" spans="1:7" x14ac:dyDescent="0.25">
      <c r="C40" s="3">
        <v>15000</v>
      </c>
      <c r="D40" s="85">
        <v>42948</v>
      </c>
      <c r="E40" s="3" t="s">
        <v>859</v>
      </c>
    </row>
    <row r="41" spans="1:7" x14ac:dyDescent="0.25">
      <c r="C41" s="3">
        <v>720</v>
      </c>
      <c r="D41" s="85">
        <v>42948</v>
      </c>
      <c r="E41" s="3" t="s">
        <v>860</v>
      </c>
    </row>
    <row r="42" spans="1:7" x14ac:dyDescent="0.25">
      <c r="C42" s="3">
        <v>720</v>
      </c>
      <c r="D42" s="72">
        <v>42957</v>
      </c>
      <c r="E42" s="3" t="s">
        <v>861</v>
      </c>
    </row>
    <row r="43" spans="1:7" x14ac:dyDescent="0.25">
      <c r="C43" s="3">
        <v>1958</v>
      </c>
      <c r="D43" s="72">
        <v>42959</v>
      </c>
      <c r="E43" s="3" t="s">
        <v>849</v>
      </c>
    </row>
    <row r="44" spans="1:7" x14ac:dyDescent="0.25">
      <c r="B44" s="3">
        <f>SUM(B37:B42)</f>
        <v>422584</v>
      </c>
      <c r="C44" s="3">
        <f>SUM(C37:C43)</f>
        <v>422583.6</v>
      </c>
      <c r="E44" s="3">
        <f>C44-B44</f>
        <v>-0.40000000002328306</v>
      </c>
      <c r="F44" s="72">
        <v>42959</v>
      </c>
      <c r="G44" s="72">
        <v>42959</v>
      </c>
    </row>
    <row r="46" spans="1:7" x14ac:dyDescent="0.25">
      <c r="A46" t="s">
        <v>862</v>
      </c>
      <c r="B46" s="3">
        <v>236376</v>
      </c>
      <c r="C46" s="3">
        <v>338000</v>
      </c>
      <c r="D46" s="72">
        <v>42962</v>
      </c>
      <c r="E46" s="3" t="s">
        <v>846</v>
      </c>
    </row>
    <row r="47" spans="1:7" x14ac:dyDescent="0.25">
      <c r="B47" s="3">
        <f>SUM(B46)</f>
        <v>236376</v>
      </c>
      <c r="C47" s="3">
        <f>SUM(C46)</f>
        <v>338000</v>
      </c>
      <c r="E47" s="51">
        <f>C47-B47</f>
        <v>101624</v>
      </c>
      <c r="F47" s="72">
        <v>42962</v>
      </c>
      <c r="G47" s="72">
        <v>42965</v>
      </c>
    </row>
    <row r="49" spans="1:7" x14ac:dyDescent="0.25">
      <c r="A49" t="s">
        <v>863</v>
      </c>
      <c r="B49" s="3">
        <v>488744</v>
      </c>
      <c r="C49" s="3">
        <v>494030.88</v>
      </c>
      <c r="D49" s="72">
        <v>42961</v>
      </c>
      <c r="E49" s="3" t="s">
        <v>846</v>
      </c>
    </row>
    <row r="50" spans="1:7" x14ac:dyDescent="0.25">
      <c r="B50" s="3">
        <f>SUM(B49)</f>
        <v>488744</v>
      </c>
      <c r="C50" s="3">
        <f>SUM(C49)</f>
        <v>494030.88</v>
      </c>
      <c r="E50" s="86">
        <f>C50-B50</f>
        <v>5286.8800000000047</v>
      </c>
      <c r="F50" s="72">
        <v>42962</v>
      </c>
      <c r="G50" s="72">
        <v>42965</v>
      </c>
    </row>
    <row r="52" spans="1:7" x14ac:dyDescent="0.25">
      <c r="A52" t="s">
        <v>864</v>
      </c>
      <c r="B52" s="3">
        <v>442733.5</v>
      </c>
      <c r="C52" s="3">
        <v>233000</v>
      </c>
      <c r="D52" s="72">
        <v>42963</v>
      </c>
      <c r="E52" s="3" t="s">
        <v>846</v>
      </c>
    </row>
    <row r="53" spans="1:7" x14ac:dyDescent="0.25">
      <c r="C53" s="51">
        <v>101624</v>
      </c>
      <c r="D53" s="72">
        <v>42962</v>
      </c>
      <c r="E53" s="3" t="s">
        <v>842</v>
      </c>
    </row>
    <row r="54" spans="1:7" x14ac:dyDescent="0.25">
      <c r="C54" s="79">
        <v>33200</v>
      </c>
      <c r="D54" s="72">
        <v>42954</v>
      </c>
      <c r="E54" s="3" t="s">
        <v>842</v>
      </c>
    </row>
    <row r="55" spans="1:7" x14ac:dyDescent="0.25">
      <c r="C55" s="84">
        <v>32191.9</v>
      </c>
      <c r="D55" s="72">
        <v>42958</v>
      </c>
      <c r="E55" s="3" t="s">
        <v>842</v>
      </c>
    </row>
    <row r="56" spans="1:7" x14ac:dyDescent="0.25">
      <c r="C56" s="63">
        <v>6296</v>
      </c>
      <c r="D56" s="72">
        <v>42957</v>
      </c>
      <c r="E56" s="3" t="s">
        <v>842</v>
      </c>
    </row>
    <row r="57" spans="1:7" x14ac:dyDescent="0.25">
      <c r="C57" s="86">
        <v>5286.88</v>
      </c>
      <c r="D57" s="72">
        <v>42962</v>
      </c>
      <c r="E57" s="3" t="s">
        <v>842</v>
      </c>
    </row>
    <row r="58" spans="1:7" x14ac:dyDescent="0.25">
      <c r="C58" s="3">
        <v>1440</v>
      </c>
      <c r="D58" s="72">
        <v>42962</v>
      </c>
      <c r="E58" s="3" t="s">
        <v>865</v>
      </c>
    </row>
    <row r="59" spans="1:7" x14ac:dyDescent="0.25">
      <c r="C59" s="3">
        <v>10478</v>
      </c>
      <c r="D59" s="72">
        <v>42956</v>
      </c>
      <c r="E59" s="3" t="s">
        <v>866</v>
      </c>
    </row>
    <row r="60" spans="1:7" x14ac:dyDescent="0.25">
      <c r="C60" s="3">
        <v>19217</v>
      </c>
      <c r="D60" s="72">
        <v>42963</v>
      </c>
      <c r="E60" s="3" t="s">
        <v>849</v>
      </c>
    </row>
    <row r="61" spans="1:7" x14ac:dyDescent="0.25">
      <c r="B61" s="3">
        <f>SUM(B52:B60)</f>
        <v>442733.5</v>
      </c>
      <c r="C61" s="3">
        <f>SUM(C52:C60)</f>
        <v>442733.78</v>
      </c>
      <c r="E61" s="3">
        <f>C61-B61</f>
        <v>0.28000000002793968</v>
      </c>
      <c r="F61" s="72">
        <v>42963</v>
      </c>
      <c r="G61" s="72">
        <v>42965</v>
      </c>
    </row>
    <row r="63" spans="1:7" x14ac:dyDescent="0.25">
      <c r="A63" t="s">
        <v>867</v>
      </c>
      <c r="B63" s="3">
        <v>283024</v>
      </c>
      <c r="C63" s="3">
        <v>273000</v>
      </c>
      <c r="D63" s="72">
        <v>42964</v>
      </c>
      <c r="E63" s="3" t="s">
        <v>846</v>
      </c>
    </row>
    <row r="64" spans="1:7" x14ac:dyDescent="0.25">
      <c r="C64" s="3">
        <v>10024</v>
      </c>
      <c r="D64" s="72">
        <v>42965</v>
      </c>
      <c r="E64" s="3" t="s">
        <v>849</v>
      </c>
    </row>
    <row r="65" spans="1:7" x14ac:dyDescent="0.25">
      <c r="B65" s="3">
        <f>SUM(B63)</f>
        <v>283024</v>
      </c>
      <c r="C65" s="3">
        <f>SUM(C63:C64)</f>
        <v>283024</v>
      </c>
      <c r="E65" s="3">
        <f>C65-B65</f>
        <v>0</v>
      </c>
      <c r="F65" s="72">
        <v>42965</v>
      </c>
      <c r="G65" s="72">
        <v>42965</v>
      </c>
    </row>
    <row r="67" spans="1:7" x14ac:dyDescent="0.25">
      <c r="A67" t="s">
        <v>868</v>
      </c>
      <c r="B67" s="3">
        <v>242029</v>
      </c>
      <c r="C67" s="3">
        <v>400000</v>
      </c>
      <c r="D67" s="72">
        <v>42968</v>
      </c>
      <c r="E67" s="3" t="s">
        <v>869</v>
      </c>
    </row>
    <row r="68" spans="1:7" x14ac:dyDescent="0.25">
      <c r="A68" t="s">
        <v>870</v>
      </c>
      <c r="B68" s="3">
        <v>5413.6</v>
      </c>
      <c r="C68" s="3">
        <v>410000</v>
      </c>
      <c r="D68" s="72">
        <v>42968</v>
      </c>
      <c r="E68" s="3" t="s">
        <v>869</v>
      </c>
    </row>
    <row r="69" spans="1:7" x14ac:dyDescent="0.25">
      <c r="A69" t="s">
        <v>871</v>
      </c>
      <c r="B69" s="3">
        <v>34735.26</v>
      </c>
      <c r="C69" s="3">
        <v>380000</v>
      </c>
      <c r="D69" s="72">
        <v>42968</v>
      </c>
      <c r="E69" s="3" t="s">
        <v>869</v>
      </c>
    </row>
    <row r="70" spans="1:7" x14ac:dyDescent="0.25">
      <c r="A70" t="s">
        <v>872</v>
      </c>
      <c r="B70" s="3">
        <v>441392</v>
      </c>
    </row>
    <row r="71" spans="1:7" x14ac:dyDescent="0.25">
      <c r="A71" t="s">
        <v>873</v>
      </c>
      <c r="B71" s="3">
        <v>462952</v>
      </c>
    </row>
    <row r="72" spans="1:7" x14ac:dyDescent="0.25">
      <c r="B72" s="3">
        <f>SUM(B67:B71)</f>
        <v>1186521.8599999999</v>
      </c>
      <c r="C72" s="3">
        <f>SUM(C67:C70)</f>
        <v>1190000</v>
      </c>
      <c r="E72" s="51">
        <f>C72-B72</f>
        <v>3478.1400000001304</v>
      </c>
      <c r="F72" s="72">
        <v>42968</v>
      </c>
      <c r="G72" s="72">
        <v>42969</v>
      </c>
    </row>
    <row r="74" spans="1:7" x14ac:dyDescent="0.25">
      <c r="A74" t="s">
        <v>874</v>
      </c>
      <c r="B74" s="3">
        <v>255976</v>
      </c>
      <c r="C74" s="3">
        <v>452000</v>
      </c>
      <c r="D74" s="72">
        <v>42970</v>
      </c>
      <c r="E74" s="3" t="s">
        <v>846</v>
      </c>
    </row>
    <row r="75" spans="1:7" x14ac:dyDescent="0.25">
      <c r="A75" t="s">
        <v>875</v>
      </c>
      <c r="B75" s="3">
        <v>23170.400000000001</v>
      </c>
    </row>
    <row r="76" spans="1:7" x14ac:dyDescent="0.25">
      <c r="A76" t="s">
        <v>876</v>
      </c>
      <c r="B76" s="3">
        <v>270015</v>
      </c>
      <c r="C76" s="3">
        <v>89000</v>
      </c>
      <c r="D76" s="72">
        <v>42971</v>
      </c>
      <c r="E76" s="3" t="s">
        <v>846</v>
      </c>
    </row>
    <row r="77" spans="1:7" x14ac:dyDescent="0.25">
      <c r="C77" s="3">
        <v>8161</v>
      </c>
      <c r="D77" s="72">
        <v>42971</v>
      </c>
      <c r="E77" s="3" t="s">
        <v>849</v>
      </c>
    </row>
    <row r="78" spans="1:7" x14ac:dyDescent="0.25">
      <c r="B78" s="3">
        <f>SUM(B74:B77)</f>
        <v>549161.4</v>
      </c>
      <c r="C78" s="3">
        <f>SUM(C74:C77)</f>
        <v>549161</v>
      </c>
      <c r="E78" s="3">
        <f>C78-B78</f>
        <v>-0.40000000002328306</v>
      </c>
      <c r="F78" s="72">
        <v>42971</v>
      </c>
      <c r="G78" s="72">
        <v>42972</v>
      </c>
    </row>
    <row r="80" spans="1:7" x14ac:dyDescent="0.25">
      <c r="A80" t="s">
        <v>877</v>
      </c>
      <c r="B80" s="3">
        <v>253330</v>
      </c>
      <c r="C80" s="3">
        <v>400000</v>
      </c>
      <c r="D80" s="72">
        <v>42975</v>
      </c>
      <c r="E80" s="3" t="s">
        <v>846</v>
      </c>
    </row>
    <row r="81" spans="1:7" x14ac:dyDescent="0.25">
      <c r="A81" t="s">
        <v>878</v>
      </c>
      <c r="B81" s="3">
        <v>235378.5</v>
      </c>
      <c r="C81" s="3">
        <v>400000</v>
      </c>
      <c r="D81" s="72">
        <v>42975</v>
      </c>
      <c r="E81" s="3" t="s">
        <v>846</v>
      </c>
    </row>
    <row r="82" spans="1:7" x14ac:dyDescent="0.25">
      <c r="A82" t="s">
        <v>879</v>
      </c>
      <c r="B82" s="3">
        <v>458535</v>
      </c>
      <c r="C82" s="3">
        <v>493000</v>
      </c>
      <c r="D82" s="72">
        <v>42975</v>
      </c>
      <c r="E82" s="3" t="s">
        <v>846</v>
      </c>
    </row>
    <row r="83" spans="1:7" x14ac:dyDescent="0.25">
      <c r="A83" t="s">
        <v>880</v>
      </c>
      <c r="B83" s="3">
        <v>452790</v>
      </c>
      <c r="C83" s="3">
        <v>594000</v>
      </c>
      <c r="D83" s="72">
        <v>42978</v>
      </c>
      <c r="E83" s="3" t="s">
        <v>846</v>
      </c>
    </row>
    <row r="84" spans="1:7" x14ac:dyDescent="0.25">
      <c r="A84" t="s">
        <v>881</v>
      </c>
      <c r="B84" s="3">
        <v>235683</v>
      </c>
      <c r="C84" s="3">
        <v>94800</v>
      </c>
      <c r="D84" s="72">
        <v>42978</v>
      </c>
      <c r="E84" s="3" t="s">
        <v>846</v>
      </c>
    </row>
    <row r="85" spans="1:7" x14ac:dyDescent="0.25">
      <c r="A85" t="s">
        <v>882</v>
      </c>
      <c r="B85" s="3">
        <v>1867.6</v>
      </c>
      <c r="C85" s="3">
        <v>26300</v>
      </c>
      <c r="D85" s="72">
        <v>42976</v>
      </c>
    </row>
    <row r="86" spans="1:7" x14ac:dyDescent="0.25">
      <c r="A86" t="s">
        <v>883</v>
      </c>
      <c r="B86" s="3">
        <v>23805</v>
      </c>
      <c r="C86" s="51">
        <v>3478.14</v>
      </c>
      <c r="D86" s="72">
        <v>42968</v>
      </c>
      <c r="E86" s="3" t="s">
        <v>842</v>
      </c>
    </row>
    <row r="87" spans="1:7" x14ac:dyDescent="0.25">
      <c r="A87" t="s">
        <v>884</v>
      </c>
      <c r="B87" s="3">
        <v>11157.3</v>
      </c>
      <c r="C87" s="3">
        <v>6102</v>
      </c>
      <c r="D87" s="72">
        <v>42970</v>
      </c>
      <c r="E87" s="3" t="s">
        <v>885</v>
      </c>
    </row>
    <row r="88" spans="1:7" x14ac:dyDescent="0.25">
      <c r="A88" t="s">
        <v>886</v>
      </c>
      <c r="B88" s="3">
        <v>49016.1</v>
      </c>
      <c r="C88" s="3">
        <v>31186</v>
      </c>
      <c r="D88" s="72">
        <v>42971</v>
      </c>
      <c r="E88" s="3" t="s">
        <v>887</v>
      </c>
    </row>
    <row r="89" spans="1:7" x14ac:dyDescent="0.25">
      <c r="A89" t="s">
        <v>888</v>
      </c>
      <c r="B89" s="3">
        <v>283464</v>
      </c>
      <c r="C89" s="3">
        <v>6787</v>
      </c>
      <c r="D89" s="72">
        <v>42973</v>
      </c>
      <c r="E89" s="3" t="s">
        <v>889</v>
      </c>
    </row>
    <row r="90" spans="1:7" x14ac:dyDescent="0.25">
      <c r="B90" s="3">
        <f>SUM(B80:B89)</f>
        <v>2005026.5000000002</v>
      </c>
      <c r="C90" s="3">
        <f>SUM(C80:C89)</f>
        <v>2055653.14</v>
      </c>
      <c r="E90" s="50">
        <f>C90-B90</f>
        <v>50626.639999999665</v>
      </c>
      <c r="F90" t="s">
        <v>890</v>
      </c>
      <c r="G90" s="72">
        <v>42979</v>
      </c>
    </row>
    <row r="91" spans="1:7" x14ac:dyDescent="0.25">
      <c r="C91" s="3" t="s">
        <v>891</v>
      </c>
    </row>
    <row r="92" spans="1:7" x14ac:dyDescent="0.25">
      <c r="A92" t="s">
        <v>892</v>
      </c>
      <c r="B92" s="3">
        <v>235694</v>
      </c>
      <c r="C92" s="3">
        <v>707000</v>
      </c>
      <c r="D92" s="72">
        <v>42980</v>
      </c>
      <c r="E92" s="3" t="s">
        <v>846</v>
      </c>
    </row>
    <row r="93" spans="1:7" x14ac:dyDescent="0.25">
      <c r="A93" t="s">
        <v>893</v>
      </c>
      <c r="B93" s="3">
        <v>464439</v>
      </c>
      <c r="C93" s="3">
        <v>11993</v>
      </c>
      <c r="D93" s="72">
        <v>42980</v>
      </c>
      <c r="E93" s="3" t="s">
        <v>849</v>
      </c>
    </row>
    <row r="94" spans="1:7" x14ac:dyDescent="0.25">
      <c r="A94" t="s">
        <v>894</v>
      </c>
      <c r="B94" s="3">
        <v>18860</v>
      </c>
    </row>
    <row r="95" spans="1:7" x14ac:dyDescent="0.25">
      <c r="B95" s="3">
        <f>SUM(B92:B94)</f>
        <v>718993</v>
      </c>
      <c r="C95" s="3">
        <f>SUM(C92:C94)</f>
        <v>718993</v>
      </c>
      <c r="E95" s="3">
        <f>C95-B95</f>
        <v>0</v>
      </c>
      <c r="F95" s="72">
        <v>42980</v>
      </c>
      <c r="G95" s="72">
        <v>42980</v>
      </c>
    </row>
    <row r="97" spans="1:7" x14ac:dyDescent="0.25">
      <c r="A97" t="s">
        <v>895</v>
      </c>
      <c r="B97" s="3">
        <v>445627</v>
      </c>
      <c r="C97" s="3">
        <v>866000</v>
      </c>
      <c r="D97" s="72">
        <v>42983</v>
      </c>
      <c r="E97" s="3" t="s">
        <v>846</v>
      </c>
    </row>
    <row r="98" spans="1:7" x14ac:dyDescent="0.25">
      <c r="A98" t="s">
        <v>896</v>
      </c>
      <c r="B98" s="3">
        <v>454238</v>
      </c>
      <c r="C98" s="3">
        <v>10505</v>
      </c>
      <c r="D98" s="72">
        <v>42977</v>
      </c>
      <c r="E98" s="3" t="s">
        <v>897</v>
      </c>
    </row>
    <row r="99" spans="1:7" x14ac:dyDescent="0.25">
      <c r="C99" s="3">
        <v>5625</v>
      </c>
      <c r="D99" s="72">
        <v>42979</v>
      </c>
      <c r="E99" s="3" t="s">
        <v>898</v>
      </c>
    </row>
    <row r="100" spans="1:7" x14ac:dyDescent="0.25">
      <c r="C100" s="3">
        <v>17735</v>
      </c>
      <c r="D100" s="72">
        <v>42984</v>
      </c>
      <c r="E100" s="3" t="s">
        <v>849</v>
      </c>
    </row>
    <row r="101" spans="1:7" x14ac:dyDescent="0.25">
      <c r="B101" s="3">
        <f>SUM(B97:B100)</f>
        <v>899865</v>
      </c>
      <c r="C101" s="3">
        <f>SUM(C97:C100)</f>
        <v>899865</v>
      </c>
      <c r="E101" s="3">
        <f>C101-B101</f>
        <v>0</v>
      </c>
      <c r="F101" s="72">
        <v>42953</v>
      </c>
      <c r="G101" s="72">
        <v>42953</v>
      </c>
    </row>
    <row r="103" spans="1:7" x14ac:dyDescent="0.25">
      <c r="A103" t="s">
        <v>899</v>
      </c>
      <c r="B103" s="3">
        <v>261366</v>
      </c>
      <c r="C103" s="3">
        <v>250000</v>
      </c>
      <c r="D103" s="72">
        <v>42984</v>
      </c>
      <c r="E103" s="3" t="s">
        <v>846</v>
      </c>
    </row>
    <row r="104" spans="1:7" x14ac:dyDescent="0.25">
      <c r="C104" s="3">
        <v>11366</v>
      </c>
      <c r="D104" s="72">
        <v>42984</v>
      </c>
      <c r="E104" s="3" t="s">
        <v>849</v>
      </c>
    </row>
    <row r="105" spans="1:7" x14ac:dyDescent="0.25">
      <c r="B105" s="3">
        <f>SUM(B103:B104)</f>
        <v>261366</v>
      </c>
      <c r="C105" s="3">
        <f>SUM(C103:C104)</f>
        <v>261366</v>
      </c>
      <c r="E105" s="3">
        <f>C105-B105</f>
        <v>0</v>
      </c>
      <c r="F105" s="72">
        <v>42953</v>
      </c>
      <c r="G105" s="72">
        <v>42953</v>
      </c>
    </row>
    <row r="108" spans="1:7" x14ac:dyDescent="0.25">
      <c r="A108" t="s">
        <v>900</v>
      </c>
      <c r="B108" s="3">
        <v>206460</v>
      </c>
      <c r="C108" s="3">
        <v>519000</v>
      </c>
      <c r="D108" s="72">
        <v>42986</v>
      </c>
      <c r="E108" s="3" t="s">
        <v>846</v>
      </c>
    </row>
    <row r="109" spans="1:7" x14ac:dyDescent="0.25">
      <c r="A109" t="s">
        <v>901</v>
      </c>
      <c r="B109" s="3">
        <v>281622</v>
      </c>
      <c r="C109" s="3">
        <v>729000</v>
      </c>
      <c r="D109" s="72">
        <v>42989</v>
      </c>
      <c r="E109" s="3" t="s">
        <v>846</v>
      </c>
    </row>
    <row r="110" spans="1:7" x14ac:dyDescent="0.25">
      <c r="A110" t="s">
        <v>902</v>
      </c>
      <c r="B110" s="3">
        <v>28020.9</v>
      </c>
      <c r="C110" s="3">
        <v>42000</v>
      </c>
      <c r="D110" s="72">
        <v>42989</v>
      </c>
      <c r="E110" s="3" t="s">
        <v>846</v>
      </c>
    </row>
    <row r="111" spans="1:7" x14ac:dyDescent="0.25">
      <c r="A111" t="s">
        <v>903</v>
      </c>
      <c r="B111" s="3">
        <v>434250</v>
      </c>
      <c r="C111" s="3">
        <v>5872</v>
      </c>
      <c r="D111" s="72">
        <v>42986</v>
      </c>
      <c r="E111" s="3" t="s">
        <v>904</v>
      </c>
    </row>
    <row r="112" spans="1:7" x14ac:dyDescent="0.25">
      <c r="A112" t="s">
        <v>905</v>
      </c>
      <c r="B112" s="3">
        <v>431665</v>
      </c>
      <c r="C112" s="3">
        <v>38500</v>
      </c>
      <c r="D112" s="72">
        <v>42979</v>
      </c>
      <c r="E112" s="3" t="s">
        <v>906</v>
      </c>
    </row>
    <row r="113" spans="1:8" x14ac:dyDescent="0.25">
      <c r="C113" s="50">
        <v>50626.7</v>
      </c>
      <c r="D113" s="72">
        <v>42978</v>
      </c>
      <c r="E113" s="73" t="s">
        <v>842</v>
      </c>
    </row>
    <row r="114" spans="1:8" x14ac:dyDescent="0.25">
      <c r="B114" s="3">
        <f>SUM(B108:B113)</f>
        <v>1382017.9</v>
      </c>
      <c r="C114" s="3">
        <f>SUM(C108:C113)</f>
        <v>1384998.7</v>
      </c>
      <c r="E114" s="54">
        <f>C114-B114</f>
        <v>2980.8000000000466</v>
      </c>
      <c r="F114" t="s">
        <v>907</v>
      </c>
      <c r="G114" s="72">
        <v>42992</v>
      </c>
    </row>
    <row r="115" spans="1:8" x14ac:dyDescent="0.25">
      <c r="G115" t="s">
        <v>908</v>
      </c>
    </row>
    <row r="116" spans="1:8" x14ac:dyDescent="0.25">
      <c r="A116" t="s">
        <v>909</v>
      </c>
      <c r="B116" s="3">
        <v>419601</v>
      </c>
      <c r="C116" s="3">
        <v>669000</v>
      </c>
      <c r="D116" s="72">
        <v>42991</v>
      </c>
      <c r="E116" s="3" t="s">
        <v>846</v>
      </c>
    </row>
    <row r="117" spans="1:8" x14ac:dyDescent="0.25">
      <c r="A117" t="s">
        <v>910</v>
      </c>
      <c r="B117" s="3">
        <v>254930</v>
      </c>
      <c r="C117" s="3">
        <v>6286</v>
      </c>
      <c r="D117" s="72">
        <v>42987</v>
      </c>
      <c r="E117" s="3" t="s">
        <v>911</v>
      </c>
    </row>
    <row r="118" spans="1:8" x14ac:dyDescent="0.25">
      <c r="C118" s="54">
        <v>2980.7</v>
      </c>
      <c r="D118" s="72">
        <v>42989</v>
      </c>
      <c r="E118" s="3" t="s">
        <v>842</v>
      </c>
    </row>
    <row r="119" spans="1:8" x14ac:dyDescent="0.25">
      <c r="B119" s="3">
        <f>SUM(B116:B118)</f>
        <v>674531</v>
      </c>
      <c r="C119" s="3">
        <f>SUM(C116:C118)</f>
        <v>678266.7</v>
      </c>
      <c r="E119" s="63">
        <f>C119-B119</f>
        <v>3735.6999999999534</v>
      </c>
      <c r="F119" s="72">
        <v>42992</v>
      </c>
      <c r="G119" s="87" t="s">
        <v>912</v>
      </c>
      <c r="H119" s="72">
        <v>42996</v>
      </c>
    </row>
    <row r="120" spans="1:8" x14ac:dyDescent="0.25">
      <c r="E120" s="88">
        <v>9267</v>
      </c>
      <c r="F120" s="62"/>
    </row>
    <row r="121" spans="1:8" x14ac:dyDescent="0.25">
      <c r="A121" t="s">
        <v>913</v>
      </c>
      <c r="B121" s="3">
        <v>5306.4</v>
      </c>
      <c r="C121" s="3">
        <v>530000</v>
      </c>
      <c r="D121" s="72">
        <v>42992</v>
      </c>
      <c r="E121" s="3" t="s">
        <v>846</v>
      </c>
    </row>
    <row r="122" spans="1:8" x14ac:dyDescent="0.25">
      <c r="A122" t="s">
        <v>914</v>
      </c>
      <c r="B122" s="3">
        <v>428640</v>
      </c>
    </row>
    <row r="123" spans="1:8" x14ac:dyDescent="0.25">
      <c r="B123" s="3">
        <f>SUM(B121:B122)</f>
        <v>433946.4</v>
      </c>
      <c r="C123" s="3">
        <f>SUM(C121:C122)</f>
        <v>530000</v>
      </c>
      <c r="E123" s="83">
        <f>C123-B123</f>
        <v>96053.599999999977</v>
      </c>
      <c r="F123" s="72">
        <v>42992</v>
      </c>
      <c r="G123" s="72">
        <v>42993</v>
      </c>
    </row>
    <row r="125" spans="1:8" x14ac:dyDescent="0.25">
      <c r="A125" t="s">
        <v>915</v>
      </c>
      <c r="B125" s="3">
        <v>229400</v>
      </c>
      <c r="C125" s="3">
        <v>549000</v>
      </c>
      <c r="D125" s="72">
        <v>42993</v>
      </c>
      <c r="E125" s="3" t="s">
        <v>846</v>
      </c>
    </row>
    <row r="126" spans="1:8" x14ac:dyDescent="0.25">
      <c r="A126" t="s">
        <v>916</v>
      </c>
      <c r="B126" s="3">
        <v>461250</v>
      </c>
      <c r="C126" s="3">
        <v>852</v>
      </c>
      <c r="D126" s="72">
        <v>42990</v>
      </c>
      <c r="E126" s="3" t="s">
        <v>917</v>
      </c>
    </row>
    <row r="127" spans="1:8" x14ac:dyDescent="0.25">
      <c r="C127" s="3">
        <v>35645</v>
      </c>
      <c r="D127" s="72">
        <v>42992</v>
      </c>
      <c r="E127" s="3" t="s">
        <v>918</v>
      </c>
    </row>
    <row r="128" spans="1:8" x14ac:dyDescent="0.25">
      <c r="C128" s="3">
        <v>7125</v>
      </c>
      <c r="D128" s="72">
        <v>42993</v>
      </c>
      <c r="E128" s="3" t="s">
        <v>919</v>
      </c>
    </row>
    <row r="129" spans="1:8" x14ac:dyDescent="0.25">
      <c r="C129" s="83">
        <v>96054</v>
      </c>
      <c r="D129" s="72">
        <v>42992</v>
      </c>
      <c r="E129" s="3" t="s">
        <v>842</v>
      </c>
    </row>
    <row r="130" spans="1:8" x14ac:dyDescent="0.25">
      <c r="C130" s="3">
        <v>1974</v>
      </c>
      <c r="D130" s="72">
        <v>42993</v>
      </c>
      <c r="E130" s="3" t="s">
        <v>849</v>
      </c>
    </row>
    <row r="131" spans="1:8" x14ac:dyDescent="0.25">
      <c r="B131" s="3">
        <f>SUM(B125:B129)</f>
        <v>690650</v>
      </c>
      <c r="C131" s="3">
        <f>SUM(C125:C130)</f>
        <v>690650</v>
      </c>
      <c r="E131" s="3">
        <f>C131-B131</f>
        <v>0</v>
      </c>
      <c r="F131" s="72">
        <v>42993</v>
      </c>
      <c r="G131" s="72">
        <v>42994</v>
      </c>
      <c r="H131" s="72"/>
    </row>
    <row r="133" spans="1:8" x14ac:dyDescent="0.25">
      <c r="A133" t="s">
        <v>920</v>
      </c>
      <c r="B133" s="3">
        <v>12502.08</v>
      </c>
      <c r="C133" s="3">
        <v>400000</v>
      </c>
      <c r="D133" s="72">
        <v>42998</v>
      </c>
      <c r="E133" s="3" t="s">
        <v>846</v>
      </c>
    </row>
    <row r="134" spans="1:8" x14ac:dyDescent="0.25">
      <c r="A134" t="s">
        <v>921</v>
      </c>
      <c r="B134" s="3">
        <v>38070.6</v>
      </c>
      <c r="C134" s="3">
        <v>300000</v>
      </c>
      <c r="D134" s="72">
        <v>42998</v>
      </c>
      <c r="E134" s="3" t="s">
        <v>846</v>
      </c>
    </row>
    <row r="135" spans="1:8" x14ac:dyDescent="0.25">
      <c r="A135" t="s">
        <v>922</v>
      </c>
      <c r="B135" s="3">
        <v>393260</v>
      </c>
      <c r="C135" s="3">
        <v>380000</v>
      </c>
      <c r="D135" s="72">
        <v>42998</v>
      </c>
      <c r="E135" s="3" t="s">
        <v>846</v>
      </c>
    </row>
    <row r="136" spans="1:8" x14ac:dyDescent="0.25">
      <c r="A136" t="s">
        <v>923</v>
      </c>
      <c r="B136" s="3">
        <v>416465</v>
      </c>
    </row>
    <row r="137" spans="1:8" x14ac:dyDescent="0.25">
      <c r="B137" s="3">
        <f>SUM(B133:B136)</f>
        <v>860297.67999999993</v>
      </c>
      <c r="C137" s="3">
        <f>SUM(C133:C136)</f>
        <v>1080000</v>
      </c>
      <c r="E137" s="75">
        <f>C137-B137</f>
        <v>219702.32000000007</v>
      </c>
      <c r="F137" s="72">
        <v>42998</v>
      </c>
      <c r="G137" s="72">
        <v>42998</v>
      </c>
    </row>
    <row r="139" spans="1:8" x14ac:dyDescent="0.25">
      <c r="A139" t="s">
        <v>924</v>
      </c>
      <c r="B139" s="3">
        <v>235508</v>
      </c>
      <c r="C139" s="3">
        <v>531000</v>
      </c>
      <c r="D139" s="72">
        <v>43000</v>
      </c>
      <c r="E139" s="3" t="s">
        <v>846</v>
      </c>
    </row>
    <row r="140" spans="1:8" x14ac:dyDescent="0.25">
      <c r="A140" t="s">
        <v>925</v>
      </c>
      <c r="B140" s="3">
        <v>234285.5</v>
      </c>
    </row>
    <row r="141" spans="1:8" x14ac:dyDescent="0.25">
      <c r="B141" s="3">
        <f>SUM(B139:B140)</f>
        <v>469793.5</v>
      </c>
      <c r="C141" s="3">
        <f>SUM(C139:C140)</f>
        <v>531000</v>
      </c>
      <c r="E141" s="79">
        <f>C141-B141</f>
        <v>61206.5</v>
      </c>
      <c r="F141" s="72">
        <v>43000</v>
      </c>
      <c r="G141" s="72">
        <v>43001</v>
      </c>
    </row>
    <row r="143" spans="1:8" x14ac:dyDescent="0.25">
      <c r="A143" t="s">
        <v>926</v>
      </c>
      <c r="B143" s="3">
        <v>460280</v>
      </c>
      <c r="C143" s="63">
        <v>3735.7</v>
      </c>
      <c r="D143" s="72">
        <v>42992</v>
      </c>
      <c r="E143" s="3" t="s">
        <v>842</v>
      </c>
    </row>
    <row r="144" spans="1:8" x14ac:dyDescent="0.25">
      <c r="A144" t="s">
        <v>927</v>
      </c>
      <c r="B144" s="3">
        <v>411918.5</v>
      </c>
      <c r="C144" s="89">
        <v>61206.5</v>
      </c>
      <c r="D144" s="72">
        <v>43000</v>
      </c>
      <c r="E144" s="3" t="s">
        <v>842</v>
      </c>
    </row>
    <row r="145" spans="1:7" x14ac:dyDescent="0.25">
      <c r="C145" s="75">
        <v>219702.32</v>
      </c>
      <c r="D145" s="72">
        <v>42998</v>
      </c>
      <c r="E145" s="3" t="s">
        <v>842</v>
      </c>
    </row>
    <row r="146" spans="1:7" x14ac:dyDescent="0.25">
      <c r="C146" s="3">
        <v>280</v>
      </c>
      <c r="D146" s="72">
        <v>43000</v>
      </c>
      <c r="E146" s="3" t="s">
        <v>928</v>
      </c>
    </row>
    <row r="147" spans="1:7" x14ac:dyDescent="0.25">
      <c r="C147" s="3">
        <v>3162</v>
      </c>
      <c r="D147" s="72">
        <v>42992</v>
      </c>
      <c r="E147" s="3" t="s">
        <v>929</v>
      </c>
    </row>
    <row r="148" spans="1:7" x14ac:dyDescent="0.25">
      <c r="C148" s="3">
        <v>24083</v>
      </c>
      <c r="D148" s="72">
        <v>42991</v>
      </c>
      <c r="E148" s="3" t="s">
        <v>930</v>
      </c>
    </row>
    <row r="149" spans="1:7" x14ac:dyDescent="0.25">
      <c r="C149" s="3">
        <v>4930</v>
      </c>
      <c r="D149" s="72">
        <v>42990</v>
      </c>
      <c r="E149" s="3" t="s">
        <v>931</v>
      </c>
    </row>
    <row r="150" spans="1:7" x14ac:dyDescent="0.25">
      <c r="C150" s="3">
        <v>6242</v>
      </c>
      <c r="D150" s="72">
        <v>42990</v>
      </c>
      <c r="E150" s="3" t="s">
        <v>932</v>
      </c>
    </row>
    <row r="151" spans="1:7" x14ac:dyDescent="0.25">
      <c r="C151" s="3">
        <v>11432</v>
      </c>
      <c r="D151" s="72">
        <v>42997</v>
      </c>
      <c r="E151" s="3" t="s">
        <v>933</v>
      </c>
    </row>
    <row r="152" spans="1:7" x14ac:dyDescent="0.25">
      <c r="C152" s="3">
        <v>51450</v>
      </c>
      <c r="D152" s="72">
        <v>42994</v>
      </c>
      <c r="E152" s="3" t="s">
        <v>934</v>
      </c>
    </row>
    <row r="153" spans="1:7" x14ac:dyDescent="0.25">
      <c r="C153" s="3">
        <v>455000</v>
      </c>
      <c r="D153" s="72">
        <v>43001</v>
      </c>
      <c r="E153" s="3" t="s">
        <v>935</v>
      </c>
    </row>
    <row r="154" spans="1:7" x14ac:dyDescent="0.25">
      <c r="C154" s="3">
        <v>30975</v>
      </c>
      <c r="D154" s="72">
        <v>43001</v>
      </c>
      <c r="E154" s="3" t="s">
        <v>849</v>
      </c>
    </row>
    <row r="155" spans="1:7" x14ac:dyDescent="0.25">
      <c r="B155" s="3">
        <f>SUM(B143:B154)</f>
        <v>872198.5</v>
      </c>
      <c r="C155" s="3">
        <f>SUM(C143:C154)</f>
        <v>872198.52</v>
      </c>
      <c r="E155" s="3">
        <f>C155-B155</f>
        <v>2.0000000018626451E-2</v>
      </c>
      <c r="F155" s="72">
        <v>43001</v>
      </c>
      <c r="G155" s="72">
        <v>43001</v>
      </c>
    </row>
    <row r="157" spans="1:7" x14ac:dyDescent="0.25">
      <c r="A157" t="s">
        <v>936</v>
      </c>
      <c r="B157" s="3">
        <v>9355.5</v>
      </c>
      <c r="C157" s="3">
        <v>48000</v>
      </c>
      <c r="D157" s="72">
        <v>43003</v>
      </c>
      <c r="E157" s="3" t="s">
        <v>846</v>
      </c>
    </row>
    <row r="158" spans="1:7" x14ac:dyDescent="0.25">
      <c r="A158" t="s">
        <v>937</v>
      </c>
      <c r="B158" s="3">
        <v>30110.400000000001</v>
      </c>
      <c r="C158" s="3">
        <v>530000</v>
      </c>
      <c r="D158" s="72">
        <v>43003</v>
      </c>
      <c r="E158" s="3" t="s">
        <v>846</v>
      </c>
    </row>
    <row r="159" spans="1:7" x14ac:dyDescent="0.25">
      <c r="A159" t="s">
        <v>938</v>
      </c>
      <c r="B159" s="3">
        <v>433985</v>
      </c>
    </row>
    <row r="160" spans="1:7" x14ac:dyDescent="0.25">
      <c r="B160" s="3">
        <f>SUM(B157:B159)</f>
        <v>473450.9</v>
      </c>
      <c r="C160" s="3">
        <f>SUM(C157:C159)</f>
        <v>578000</v>
      </c>
      <c r="E160" s="83">
        <f>C160-B160</f>
        <v>104549.09999999998</v>
      </c>
      <c r="F160" s="72">
        <v>43003</v>
      </c>
      <c r="G160" s="72">
        <v>43005</v>
      </c>
    </row>
    <row r="162" spans="1:7" x14ac:dyDescent="0.25">
      <c r="A162" t="s">
        <v>939</v>
      </c>
      <c r="B162" s="3">
        <v>422902</v>
      </c>
      <c r="C162" s="3">
        <v>453000</v>
      </c>
      <c r="D162" s="72">
        <v>43004</v>
      </c>
    </row>
    <row r="163" spans="1:7" x14ac:dyDescent="0.25">
      <c r="B163" s="3">
        <f>SUM(B162)</f>
        <v>422902</v>
      </c>
      <c r="C163" s="3">
        <f>SUM(C162)</f>
        <v>453000</v>
      </c>
      <c r="E163" s="54">
        <f>C163-B163</f>
        <v>30098</v>
      </c>
      <c r="F163" s="72">
        <v>43004</v>
      </c>
      <c r="G163" s="72">
        <v>43005</v>
      </c>
    </row>
    <row r="165" spans="1:7" x14ac:dyDescent="0.25">
      <c r="A165" t="s">
        <v>940</v>
      </c>
      <c r="B165" s="3">
        <v>240240</v>
      </c>
      <c r="C165" s="3">
        <v>271000</v>
      </c>
      <c r="D165" s="72">
        <v>43005</v>
      </c>
      <c r="E165" s="3" t="s">
        <v>941</v>
      </c>
    </row>
    <row r="166" spans="1:7" x14ac:dyDescent="0.25">
      <c r="B166" s="3">
        <f>SUM(B165)</f>
        <v>240240</v>
      </c>
      <c r="C166" s="3">
        <f>SUM(C165)</f>
        <v>271000</v>
      </c>
      <c r="E166" s="75">
        <f>C166-B166</f>
        <v>30760</v>
      </c>
      <c r="F166" s="72">
        <v>43005</v>
      </c>
      <c r="G166" s="72">
        <v>43005</v>
      </c>
    </row>
    <row r="168" spans="1:7" x14ac:dyDescent="0.25">
      <c r="A168" t="s">
        <v>942</v>
      </c>
      <c r="B168" s="3">
        <v>436320</v>
      </c>
      <c r="C168" s="3">
        <v>437000</v>
      </c>
      <c r="D168" s="72">
        <v>43006</v>
      </c>
      <c r="E168" s="3" t="s">
        <v>846</v>
      </c>
    </row>
    <row r="169" spans="1:7" x14ac:dyDescent="0.25">
      <c r="A169" t="s">
        <v>943</v>
      </c>
      <c r="B169" s="3">
        <v>236880</v>
      </c>
      <c r="C169" s="3">
        <v>14895</v>
      </c>
      <c r="D169" s="72">
        <v>43007</v>
      </c>
    </row>
    <row r="170" spans="1:7" x14ac:dyDescent="0.25">
      <c r="C170" s="3">
        <v>2766</v>
      </c>
      <c r="D170" s="72">
        <v>43004</v>
      </c>
      <c r="E170" s="3" t="s">
        <v>944</v>
      </c>
    </row>
    <row r="171" spans="1:7" x14ac:dyDescent="0.25">
      <c r="C171" s="3">
        <v>9220</v>
      </c>
      <c r="D171" s="72">
        <v>43003</v>
      </c>
      <c r="E171" s="3" t="s">
        <v>945</v>
      </c>
    </row>
    <row r="172" spans="1:7" x14ac:dyDescent="0.25">
      <c r="C172" s="3">
        <v>2565</v>
      </c>
      <c r="D172" s="72">
        <v>43005</v>
      </c>
      <c r="E172" s="3" t="s">
        <v>946</v>
      </c>
    </row>
    <row r="173" spans="1:7" x14ac:dyDescent="0.25">
      <c r="C173" s="3">
        <v>21411</v>
      </c>
      <c r="D173" s="72">
        <v>43004</v>
      </c>
      <c r="E173" s="3" t="s">
        <v>947</v>
      </c>
    </row>
    <row r="174" spans="1:7" x14ac:dyDescent="0.25">
      <c r="C174" s="3">
        <v>11464</v>
      </c>
      <c r="D174" s="72">
        <v>43005</v>
      </c>
      <c r="E174" s="3" t="s">
        <v>948</v>
      </c>
    </row>
    <row r="175" spans="1:7" x14ac:dyDescent="0.25">
      <c r="C175" s="3">
        <v>8472</v>
      </c>
      <c r="D175" s="72">
        <v>43006</v>
      </c>
      <c r="E175" s="3" t="s">
        <v>949</v>
      </c>
    </row>
    <row r="176" spans="1:7" x14ac:dyDescent="0.25">
      <c r="C176" s="83">
        <v>104549.1</v>
      </c>
      <c r="D176" s="72">
        <v>43003</v>
      </c>
      <c r="E176" s="3" t="s">
        <v>842</v>
      </c>
    </row>
    <row r="177" spans="1:7" x14ac:dyDescent="0.25">
      <c r="C177" s="54">
        <v>30098</v>
      </c>
      <c r="D177" s="72">
        <v>43004</v>
      </c>
      <c r="E177" s="3" t="s">
        <v>842</v>
      </c>
    </row>
    <row r="178" spans="1:7" x14ac:dyDescent="0.25">
      <c r="C178" s="75">
        <v>30760</v>
      </c>
      <c r="D178" s="72">
        <v>43005</v>
      </c>
      <c r="E178" s="3" t="s">
        <v>842</v>
      </c>
    </row>
    <row r="179" spans="1:7" x14ac:dyDescent="0.25">
      <c r="B179" s="3">
        <f>SUM(B168:B178)</f>
        <v>673200</v>
      </c>
      <c r="C179" s="3">
        <f>SUM(C168:C178)</f>
        <v>673200.1</v>
      </c>
      <c r="E179" s="3">
        <f>C179-B179</f>
        <v>9.9999999976716936E-2</v>
      </c>
      <c r="F179" s="72">
        <v>43006</v>
      </c>
      <c r="G179" s="72">
        <v>43007</v>
      </c>
    </row>
    <row r="181" spans="1:7" x14ac:dyDescent="0.25">
      <c r="A181" t="s">
        <v>950</v>
      </c>
      <c r="B181" s="3">
        <v>409670</v>
      </c>
      <c r="C181" s="3">
        <v>413000</v>
      </c>
      <c r="D181" s="72">
        <v>43008</v>
      </c>
      <c r="E181" s="3" t="s">
        <v>846</v>
      </c>
    </row>
    <row r="182" spans="1:7" x14ac:dyDescent="0.25">
      <c r="A182" t="s">
        <v>951</v>
      </c>
      <c r="B182" s="3">
        <v>15127.5</v>
      </c>
      <c r="C182" s="3">
        <v>250000</v>
      </c>
      <c r="D182" s="72">
        <v>43007</v>
      </c>
      <c r="E182" s="3" t="s">
        <v>846</v>
      </c>
    </row>
    <row r="183" spans="1:7" x14ac:dyDescent="0.25">
      <c r="A183" t="s">
        <v>952</v>
      </c>
      <c r="B183" s="3">
        <v>439200</v>
      </c>
      <c r="C183" s="3">
        <v>386000</v>
      </c>
      <c r="D183" s="72">
        <v>43010</v>
      </c>
      <c r="E183" s="3" t="s">
        <v>846</v>
      </c>
    </row>
    <row r="184" spans="1:7" x14ac:dyDescent="0.25">
      <c r="A184" t="s">
        <v>953</v>
      </c>
      <c r="B184" s="3">
        <v>444174</v>
      </c>
      <c r="C184" s="3">
        <v>270000</v>
      </c>
      <c r="D184" s="72">
        <v>43011</v>
      </c>
      <c r="E184" s="3" t="s">
        <v>846</v>
      </c>
    </row>
    <row r="185" spans="1:7" x14ac:dyDescent="0.25">
      <c r="B185" s="3">
        <f>SUM(B181:B184)</f>
        <v>1308171.5</v>
      </c>
      <c r="C185" s="3">
        <f>SUM(C181:C184)</f>
        <v>1319000</v>
      </c>
      <c r="E185" s="51">
        <f>C185-B185</f>
        <v>10828.5</v>
      </c>
      <c r="F185" s="72">
        <v>43011</v>
      </c>
      <c r="G185" s="72">
        <v>43012</v>
      </c>
    </row>
    <row r="187" spans="1:7" x14ac:dyDescent="0.25">
      <c r="A187" t="s">
        <v>954</v>
      </c>
      <c r="B187" s="3">
        <v>244614</v>
      </c>
      <c r="C187" s="3">
        <v>283000</v>
      </c>
      <c r="D187" s="72">
        <v>43012</v>
      </c>
      <c r="E187" s="3" t="s">
        <v>846</v>
      </c>
    </row>
    <row r="188" spans="1:7" x14ac:dyDescent="0.25">
      <c r="B188" s="3">
        <f>SUM(B187)</f>
        <v>244614</v>
      </c>
      <c r="C188" s="3">
        <f>SUM(C187)</f>
        <v>283000</v>
      </c>
      <c r="E188" s="79">
        <f>C188-B188</f>
        <v>38386</v>
      </c>
      <c r="F188" s="72">
        <v>43012</v>
      </c>
      <c r="G188" s="72">
        <v>43012</v>
      </c>
    </row>
    <row r="190" spans="1:7" x14ac:dyDescent="0.25">
      <c r="A190" t="s">
        <v>955</v>
      </c>
      <c r="B190" s="3">
        <v>35708.6</v>
      </c>
      <c r="C190" s="3">
        <v>1624</v>
      </c>
      <c r="D190" s="72">
        <v>43017</v>
      </c>
      <c r="E190" s="3" t="s">
        <v>956</v>
      </c>
    </row>
    <row r="191" spans="1:7" x14ac:dyDescent="0.25">
      <c r="A191" t="s">
        <v>957</v>
      </c>
      <c r="B191" s="3">
        <v>225852</v>
      </c>
      <c r="C191" s="79">
        <v>38386</v>
      </c>
      <c r="D191" s="72">
        <v>43012</v>
      </c>
      <c r="E191" s="3" t="s">
        <v>842</v>
      </c>
    </row>
    <row r="192" spans="1:7" x14ac:dyDescent="0.25">
      <c r="C192" s="3">
        <v>5340</v>
      </c>
      <c r="D192" s="72">
        <v>43012</v>
      </c>
      <c r="E192" s="3" t="s">
        <v>958</v>
      </c>
    </row>
    <row r="193" spans="1:7" x14ac:dyDescent="0.25">
      <c r="C193" s="51">
        <v>10828.5</v>
      </c>
      <c r="D193" s="72">
        <v>43011</v>
      </c>
      <c r="E193" s="3" t="s">
        <v>842</v>
      </c>
    </row>
    <row r="194" spans="1:7" x14ac:dyDescent="0.25">
      <c r="C194" s="3">
        <v>3853</v>
      </c>
      <c r="D194" s="72">
        <v>43008</v>
      </c>
      <c r="E194" s="3" t="s">
        <v>959</v>
      </c>
    </row>
    <row r="195" spans="1:7" x14ac:dyDescent="0.25">
      <c r="C195" s="3">
        <v>9093</v>
      </c>
      <c r="D195" s="72">
        <v>43011</v>
      </c>
      <c r="E195" s="3" t="s">
        <v>960</v>
      </c>
    </row>
    <row r="196" spans="1:7" x14ac:dyDescent="0.25">
      <c r="C196" s="3">
        <v>14952</v>
      </c>
      <c r="D196" s="72">
        <v>43011</v>
      </c>
      <c r="E196" s="3" t="s">
        <v>961</v>
      </c>
    </row>
    <row r="197" spans="1:7" x14ac:dyDescent="0.25">
      <c r="C197" s="3">
        <v>168000</v>
      </c>
      <c r="D197" s="72">
        <v>43013</v>
      </c>
      <c r="E197" s="3" t="s">
        <v>846</v>
      </c>
    </row>
    <row r="198" spans="1:7" x14ac:dyDescent="0.25">
      <c r="C198" s="3">
        <v>9485</v>
      </c>
      <c r="D198" s="72">
        <v>43013</v>
      </c>
      <c r="E198" s="3" t="s">
        <v>849</v>
      </c>
    </row>
    <row r="199" spans="1:7" x14ac:dyDescent="0.25">
      <c r="B199" s="3">
        <f>SUM(B190:B197)</f>
        <v>261560.6</v>
      </c>
      <c r="C199" s="3">
        <f>SUM(C190:C198)</f>
        <v>261561.5</v>
      </c>
      <c r="E199" s="3">
        <f>C199-B199</f>
        <v>0.89999999999417923</v>
      </c>
      <c r="F199" s="72">
        <v>43013</v>
      </c>
      <c r="G199" s="72">
        <v>43014</v>
      </c>
    </row>
    <row r="201" spans="1:7" x14ac:dyDescent="0.25">
      <c r="A201" t="s">
        <v>962</v>
      </c>
      <c r="B201" s="3">
        <v>52750.5</v>
      </c>
      <c r="C201" s="3">
        <v>300000</v>
      </c>
      <c r="D201" s="72">
        <v>43014</v>
      </c>
      <c r="E201" s="3" t="s">
        <v>963</v>
      </c>
    </row>
    <row r="202" spans="1:7" x14ac:dyDescent="0.25">
      <c r="A202" t="s">
        <v>964</v>
      </c>
      <c r="B202" s="3">
        <v>210160</v>
      </c>
    </row>
    <row r="203" spans="1:7" x14ac:dyDescent="0.25">
      <c r="B203" s="3">
        <f>SUM(B201:B202)</f>
        <v>262910.5</v>
      </c>
      <c r="C203" s="3">
        <f>SUM(C201:C202)</f>
        <v>300000</v>
      </c>
      <c r="E203" s="50">
        <f>C203-B203</f>
        <v>37089.5</v>
      </c>
      <c r="F203" s="72">
        <v>43014</v>
      </c>
      <c r="G203" s="72">
        <v>43015</v>
      </c>
    </row>
    <row r="205" spans="1:7" x14ac:dyDescent="0.25">
      <c r="A205" t="s">
        <v>965</v>
      </c>
      <c r="B205" s="3">
        <v>8514</v>
      </c>
      <c r="C205" s="3">
        <v>475000</v>
      </c>
      <c r="D205" s="72">
        <v>43017</v>
      </c>
      <c r="E205" s="3" t="s">
        <v>846</v>
      </c>
    </row>
    <row r="206" spans="1:7" x14ac:dyDescent="0.25">
      <c r="A206" t="s">
        <v>966</v>
      </c>
      <c r="B206" s="3">
        <v>400372</v>
      </c>
      <c r="C206" s="3">
        <v>338000</v>
      </c>
      <c r="D206" s="72">
        <v>43015</v>
      </c>
      <c r="E206" s="3" t="s">
        <v>846</v>
      </c>
    </row>
    <row r="207" spans="1:7" x14ac:dyDescent="0.25">
      <c r="A207" t="s">
        <v>967</v>
      </c>
      <c r="B207" s="3">
        <v>3400</v>
      </c>
      <c r="C207" s="50">
        <v>37089.5</v>
      </c>
      <c r="D207" s="72">
        <v>43014</v>
      </c>
      <c r="E207" s="3" t="s">
        <v>842</v>
      </c>
    </row>
    <row r="208" spans="1:7" x14ac:dyDescent="0.25">
      <c r="A208" t="s">
        <v>968</v>
      </c>
      <c r="B208" s="3">
        <v>8911</v>
      </c>
    </row>
    <row r="209" spans="1:7" x14ac:dyDescent="0.25">
      <c r="A209" t="s">
        <v>969</v>
      </c>
      <c r="B209" s="3">
        <v>405055</v>
      </c>
    </row>
    <row r="210" spans="1:7" x14ac:dyDescent="0.25">
      <c r="B210" s="3">
        <f>SUM(B205:B209)</f>
        <v>826252</v>
      </c>
      <c r="C210" s="3">
        <f>SUM(C205:C209)</f>
        <v>850089.5</v>
      </c>
      <c r="E210" s="75">
        <f>C210-B210</f>
        <v>23837.5</v>
      </c>
      <c r="F210" s="72">
        <v>43017</v>
      </c>
      <c r="G210" s="72">
        <v>43019</v>
      </c>
    </row>
    <row r="212" spans="1:7" x14ac:dyDescent="0.25">
      <c r="A212" t="s">
        <v>970</v>
      </c>
      <c r="B212" s="3">
        <v>26166.400000000001</v>
      </c>
      <c r="C212" s="75">
        <v>23837.5</v>
      </c>
      <c r="D212" s="72">
        <v>43017</v>
      </c>
      <c r="E212" s="3" t="s">
        <v>842</v>
      </c>
    </row>
    <row r="213" spans="1:7" x14ac:dyDescent="0.25">
      <c r="A213" t="s">
        <v>971</v>
      </c>
      <c r="B213" s="3">
        <v>364350</v>
      </c>
      <c r="C213" s="3">
        <v>4872</v>
      </c>
      <c r="D213" s="72">
        <v>43017</v>
      </c>
      <c r="E213" s="3" t="s">
        <v>972</v>
      </c>
    </row>
    <row r="214" spans="1:7" x14ac:dyDescent="0.25">
      <c r="C214" s="3">
        <v>3547</v>
      </c>
      <c r="D214" s="72">
        <v>43015</v>
      </c>
      <c r="E214" s="3" t="s">
        <v>973</v>
      </c>
    </row>
    <row r="215" spans="1:7" x14ac:dyDescent="0.25">
      <c r="C215" s="3">
        <v>1687</v>
      </c>
      <c r="D215" s="72">
        <v>43014</v>
      </c>
      <c r="E215" s="3" t="s">
        <v>974</v>
      </c>
    </row>
    <row r="216" spans="1:7" x14ac:dyDescent="0.25">
      <c r="C216" s="3">
        <v>1529</v>
      </c>
      <c r="D216" s="72">
        <v>43013</v>
      </c>
      <c r="E216" s="3" t="s">
        <v>975</v>
      </c>
    </row>
    <row r="217" spans="1:7" x14ac:dyDescent="0.25">
      <c r="C217" s="3">
        <v>21044</v>
      </c>
      <c r="D217" s="72">
        <v>43019</v>
      </c>
    </row>
    <row r="218" spans="1:7" x14ac:dyDescent="0.25">
      <c r="C218" s="3">
        <v>334000</v>
      </c>
      <c r="D218" s="72">
        <v>43018</v>
      </c>
      <c r="E218" s="3" t="s">
        <v>846</v>
      </c>
    </row>
    <row r="219" spans="1:7" x14ac:dyDescent="0.25">
      <c r="B219" s="3">
        <f>SUM(B212:B217)</f>
        <v>390516.4</v>
      </c>
      <c r="C219" s="3">
        <f>SUM(C212:C218)</f>
        <v>390516.5</v>
      </c>
      <c r="E219" s="3">
        <f>C219-B219</f>
        <v>9.9999999976716936E-2</v>
      </c>
      <c r="F219" s="72">
        <v>43018</v>
      </c>
      <c r="G219" s="72">
        <v>43020</v>
      </c>
    </row>
    <row r="221" spans="1:7" x14ac:dyDescent="0.25">
      <c r="A221" t="s">
        <v>976</v>
      </c>
      <c r="B221" s="3">
        <v>229991</v>
      </c>
      <c r="C221" s="3">
        <v>467000</v>
      </c>
      <c r="D221" s="72">
        <v>43020</v>
      </c>
      <c r="E221" s="3" t="s">
        <v>963</v>
      </c>
    </row>
    <row r="222" spans="1:7" x14ac:dyDescent="0.25">
      <c r="A222" t="s">
        <v>977</v>
      </c>
      <c r="B222" s="3">
        <v>211584</v>
      </c>
    </row>
    <row r="223" spans="1:7" x14ac:dyDescent="0.25">
      <c r="B223" s="3">
        <f>SUM(B221:B222)</f>
        <v>441575</v>
      </c>
      <c r="C223" s="3">
        <f>SUM(C221:C222)</f>
        <v>467000</v>
      </c>
      <c r="E223" s="84">
        <f>C223-B223</f>
        <v>25425</v>
      </c>
      <c r="F223" s="72">
        <v>43020</v>
      </c>
      <c r="G223" s="72">
        <v>43022</v>
      </c>
    </row>
    <row r="225" spans="1:7" x14ac:dyDescent="0.25">
      <c r="A225" t="s">
        <v>978</v>
      </c>
      <c r="B225" s="3">
        <v>207408</v>
      </c>
      <c r="C225" s="3">
        <v>300000</v>
      </c>
      <c r="D225" s="72">
        <v>43021</v>
      </c>
      <c r="E225" s="3" t="s">
        <v>846</v>
      </c>
    </row>
    <row r="226" spans="1:7" x14ac:dyDescent="0.25">
      <c r="B226" s="3">
        <f>SUM(B225)</f>
        <v>207408</v>
      </c>
      <c r="C226" s="3">
        <f>SUM(C225)</f>
        <v>300000</v>
      </c>
      <c r="E226" s="86">
        <f>C226-B226</f>
        <v>92592</v>
      </c>
      <c r="F226" s="72">
        <v>43021</v>
      </c>
      <c r="G226" s="72">
        <v>43022</v>
      </c>
    </row>
    <row r="228" spans="1:7" x14ac:dyDescent="0.25">
      <c r="A228" t="s">
        <v>979</v>
      </c>
      <c r="B228" s="3">
        <v>386561</v>
      </c>
      <c r="C228" s="3">
        <v>340000</v>
      </c>
      <c r="D228" s="72">
        <v>43022</v>
      </c>
      <c r="E228" s="3" t="s">
        <v>846</v>
      </c>
    </row>
    <row r="229" spans="1:7" x14ac:dyDescent="0.25">
      <c r="C229" s="3">
        <v>6089</v>
      </c>
      <c r="D229" s="72">
        <v>43022</v>
      </c>
      <c r="E229" s="3" t="s">
        <v>980</v>
      </c>
    </row>
    <row r="230" spans="1:7" x14ac:dyDescent="0.25">
      <c r="C230" s="3">
        <v>6926</v>
      </c>
      <c r="D230" s="72">
        <v>43021</v>
      </c>
      <c r="E230" s="3" t="s">
        <v>981</v>
      </c>
    </row>
    <row r="231" spans="1:7" x14ac:dyDescent="0.25">
      <c r="C231" s="84">
        <v>25425</v>
      </c>
      <c r="D231" s="72">
        <v>43020</v>
      </c>
      <c r="E231" s="3" t="s">
        <v>842</v>
      </c>
    </row>
    <row r="232" spans="1:7" x14ac:dyDescent="0.25">
      <c r="C232" s="3">
        <v>8121</v>
      </c>
      <c r="D232" s="72">
        <v>43022</v>
      </c>
      <c r="E232" s="3" t="s">
        <v>849</v>
      </c>
    </row>
    <row r="233" spans="1:7" x14ac:dyDescent="0.25">
      <c r="B233" s="3">
        <f>SUM(B228:B231)</f>
        <v>386561</v>
      </c>
      <c r="C233" s="3">
        <f>SUM(C228:C232)</f>
        <v>386561</v>
      </c>
      <c r="E233" s="3">
        <f>C233-B233</f>
        <v>0</v>
      </c>
      <c r="F233" s="72">
        <v>43022</v>
      </c>
      <c r="G233" s="72">
        <v>43022</v>
      </c>
    </row>
    <row r="235" spans="1:7" x14ac:dyDescent="0.25">
      <c r="A235" t="s">
        <v>982</v>
      </c>
      <c r="B235" s="3">
        <v>398970</v>
      </c>
      <c r="C235" s="3">
        <v>404000</v>
      </c>
      <c r="D235" s="72">
        <v>43024</v>
      </c>
      <c r="E235" s="3" t="s">
        <v>846</v>
      </c>
    </row>
    <row r="236" spans="1:7" x14ac:dyDescent="0.25">
      <c r="B236" s="3">
        <f>SUM(B235)</f>
        <v>398970</v>
      </c>
      <c r="C236" s="3">
        <f>SUM(C235)</f>
        <v>404000</v>
      </c>
      <c r="E236" s="54">
        <f>C236-B236</f>
        <v>5030</v>
      </c>
      <c r="F236" s="72">
        <v>43024</v>
      </c>
      <c r="G236" s="72">
        <v>43024</v>
      </c>
    </row>
    <row r="238" spans="1:7" x14ac:dyDescent="0.25">
      <c r="A238" t="s">
        <v>983</v>
      </c>
      <c r="B238" s="3">
        <v>378080</v>
      </c>
      <c r="D238" s="72"/>
    </row>
    <row r="239" spans="1:7" x14ac:dyDescent="0.25">
      <c r="A239" t="s">
        <v>984</v>
      </c>
      <c r="B239" s="3">
        <v>27633.599999999999</v>
      </c>
      <c r="C239" s="86">
        <v>92592</v>
      </c>
      <c r="D239" s="72">
        <v>43021</v>
      </c>
      <c r="E239" s="3" t="s">
        <v>842</v>
      </c>
    </row>
    <row r="240" spans="1:7" x14ac:dyDescent="0.25">
      <c r="A240" t="s">
        <v>985</v>
      </c>
      <c r="B240" s="3">
        <v>209163</v>
      </c>
      <c r="C240" s="3">
        <v>362000</v>
      </c>
      <c r="D240" s="72">
        <v>43028</v>
      </c>
      <c r="E240" s="3" t="s">
        <v>846</v>
      </c>
    </row>
    <row r="241" spans="1:7" x14ac:dyDescent="0.25">
      <c r="A241" t="s">
        <v>986</v>
      </c>
      <c r="B241" s="3">
        <v>397826</v>
      </c>
      <c r="C241" s="3">
        <v>500000</v>
      </c>
      <c r="D241" s="72">
        <v>43027</v>
      </c>
      <c r="E241" s="3" t="s">
        <v>846</v>
      </c>
    </row>
    <row r="242" spans="1:7" x14ac:dyDescent="0.25">
      <c r="A242" t="s">
        <v>987</v>
      </c>
      <c r="B242" s="3">
        <v>36115.199999999997</v>
      </c>
    </row>
    <row r="243" spans="1:7" x14ac:dyDescent="0.25">
      <c r="A243" t="s">
        <v>988</v>
      </c>
      <c r="B243" s="3">
        <v>205020</v>
      </c>
      <c r="C243" s="3">
        <v>323000</v>
      </c>
      <c r="D243" s="72">
        <v>43025</v>
      </c>
      <c r="E243" s="3" t="s">
        <v>846</v>
      </c>
    </row>
    <row r="244" spans="1:7" x14ac:dyDescent="0.25">
      <c r="B244" s="3">
        <f>SUM(B238:B243)</f>
        <v>1253837.8</v>
      </c>
      <c r="C244" s="3">
        <f>SUM(C238:C243)</f>
        <v>1277592</v>
      </c>
      <c r="E244" s="90">
        <f>C244-B244</f>
        <v>23754.199999999953</v>
      </c>
      <c r="F244" s="72">
        <v>43028</v>
      </c>
      <c r="G244" s="72">
        <v>43028</v>
      </c>
    </row>
    <row r="246" spans="1:7" x14ac:dyDescent="0.25">
      <c r="A246" t="s">
        <v>989</v>
      </c>
      <c r="B246" s="3">
        <v>376720</v>
      </c>
      <c r="C246" s="3">
        <v>390000</v>
      </c>
      <c r="D246" s="72">
        <v>43029</v>
      </c>
      <c r="E246" s="3" t="s">
        <v>846</v>
      </c>
    </row>
    <row r="247" spans="1:7" x14ac:dyDescent="0.25">
      <c r="B247" s="3">
        <f>SUM(B246)</f>
        <v>376720</v>
      </c>
      <c r="C247" s="3">
        <f>SUM(C246)</f>
        <v>390000</v>
      </c>
      <c r="E247" s="75">
        <f>C247-B247</f>
        <v>13280</v>
      </c>
      <c r="F247" s="72">
        <v>43031</v>
      </c>
      <c r="G247" s="72">
        <v>43032</v>
      </c>
    </row>
    <row r="249" spans="1:7" x14ac:dyDescent="0.25">
      <c r="A249" t="s">
        <v>990</v>
      </c>
      <c r="B249" s="3">
        <v>23023</v>
      </c>
      <c r="C249" s="3">
        <v>493000</v>
      </c>
      <c r="D249" s="72">
        <v>43031</v>
      </c>
      <c r="E249" s="3" t="s">
        <v>846</v>
      </c>
    </row>
    <row r="250" spans="1:7" x14ac:dyDescent="0.25">
      <c r="A250" t="s">
        <v>991</v>
      </c>
      <c r="B250" s="3">
        <v>392150</v>
      </c>
    </row>
    <row r="251" spans="1:7" x14ac:dyDescent="0.25">
      <c r="B251" s="3">
        <f>SUM(B249:B250)</f>
        <v>415173</v>
      </c>
      <c r="C251" s="3">
        <f>SUM(C249:C250)</f>
        <v>493000</v>
      </c>
      <c r="E251" s="91">
        <f>C251-B251</f>
        <v>77827</v>
      </c>
      <c r="F251" s="72">
        <v>43031</v>
      </c>
      <c r="G251" s="72">
        <v>43032</v>
      </c>
    </row>
    <row r="253" spans="1:7" x14ac:dyDescent="0.25">
      <c r="A253" t="s">
        <v>992</v>
      </c>
      <c r="B253" s="3">
        <v>403340</v>
      </c>
      <c r="C253" s="3">
        <v>250000</v>
      </c>
      <c r="D253" s="72">
        <v>43032</v>
      </c>
      <c r="E253" s="3" t="s">
        <v>846</v>
      </c>
    </row>
    <row r="254" spans="1:7" x14ac:dyDescent="0.25">
      <c r="C254" s="91">
        <v>77827</v>
      </c>
      <c r="D254" s="72">
        <v>43031</v>
      </c>
      <c r="E254" s="3" t="s">
        <v>842</v>
      </c>
    </row>
    <row r="255" spans="1:7" x14ac:dyDescent="0.25">
      <c r="C255" s="75">
        <v>13280</v>
      </c>
      <c r="D255" s="72">
        <v>43031</v>
      </c>
      <c r="E255" s="3" t="s">
        <v>842</v>
      </c>
    </row>
    <row r="256" spans="1:7" x14ac:dyDescent="0.25">
      <c r="C256" s="54">
        <v>5030</v>
      </c>
      <c r="D256" s="72">
        <v>43024</v>
      </c>
      <c r="E256" s="3" t="s">
        <v>842</v>
      </c>
    </row>
    <row r="257" spans="1:7" x14ac:dyDescent="0.25">
      <c r="C257" s="90">
        <v>23754.2</v>
      </c>
      <c r="D257" s="72">
        <v>43028</v>
      </c>
      <c r="E257" s="3" t="s">
        <v>842</v>
      </c>
    </row>
    <row r="258" spans="1:7" x14ac:dyDescent="0.25">
      <c r="C258" s="3">
        <v>4134</v>
      </c>
      <c r="D258" s="72">
        <v>43025</v>
      </c>
      <c r="E258" s="3" t="s">
        <v>993</v>
      </c>
    </row>
    <row r="259" spans="1:7" x14ac:dyDescent="0.25">
      <c r="C259" s="3">
        <v>8700</v>
      </c>
      <c r="D259" s="72">
        <v>43029</v>
      </c>
      <c r="E259" s="3" t="s">
        <v>994</v>
      </c>
    </row>
    <row r="260" spans="1:7" x14ac:dyDescent="0.25">
      <c r="C260" s="3">
        <v>20615</v>
      </c>
      <c r="D260" s="72">
        <v>43033</v>
      </c>
    </row>
    <row r="261" spans="1:7" x14ac:dyDescent="0.25">
      <c r="B261" s="3">
        <f>SUM(B253:B260)</f>
        <v>403340</v>
      </c>
      <c r="C261" s="3">
        <f>SUM(C253:C260)</f>
        <v>403340.2</v>
      </c>
      <c r="E261" s="3">
        <f>C261-B261</f>
        <v>0.20000000001164153</v>
      </c>
      <c r="F261" s="72">
        <v>43032</v>
      </c>
      <c r="G261" s="72">
        <v>43033</v>
      </c>
    </row>
    <row r="263" spans="1:7" x14ac:dyDescent="0.25">
      <c r="A263" t="s">
        <v>995</v>
      </c>
      <c r="B263" s="3">
        <v>214762</v>
      </c>
      <c r="C263" s="3">
        <v>12729</v>
      </c>
      <c r="D263" s="72">
        <v>43034</v>
      </c>
    </row>
    <row r="264" spans="1:7" x14ac:dyDescent="0.25">
      <c r="C264" s="3">
        <v>40000</v>
      </c>
      <c r="D264" s="72">
        <v>43033</v>
      </c>
    </row>
    <row r="265" spans="1:7" x14ac:dyDescent="0.25">
      <c r="C265" s="3">
        <v>12033</v>
      </c>
      <c r="D265" s="72">
        <v>43032</v>
      </c>
      <c r="E265" s="3" t="s">
        <v>996</v>
      </c>
    </row>
    <row r="266" spans="1:7" x14ac:dyDescent="0.25">
      <c r="C266" s="3">
        <v>150000</v>
      </c>
      <c r="D266" s="72">
        <v>43033</v>
      </c>
      <c r="E266" s="3" t="s">
        <v>846</v>
      </c>
    </row>
    <row r="267" spans="1:7" x14ac:dyDescent="0.25">
      <c r="B267" s="3">
        <f>SUM(B263:B266)</f>
        <v>214762</v>
      </c>
      <c r="C267" s="3">
        <f>SUM(C263:C266)</f>
        <v>214762</v>
      </c>
      <c r="E267" s="3">
        <f>C267-B267</f>
        <v>0</v>
      </c>
      <c r="F267" s="72">
        <v>43033</v>
      </c>
      <c r="G267" s="72">
        <v>43034</v>
      </c>
    </row>
    <row r="269" spans="1:7" x14ac:dyDescent="0.25">
      <c r="A269" t="s">
        <v>997</v>
      </c>
      <c r="B269" s="3">
        <v>221778</v>
      </c>
      <c r="C269" s="3">
        <v>13952</v>
      </c>
      <c r="D269" s="72">
        <v>43034</v>
      </c>
      <c r="E269" s="3" t="s">
        <v>998</v>
      </c>
    </row>
    <row r="270" spans="1:7" x14ac:dyDescent="0.25">
      <c r="A270" t="s">
        <v>999</v>
      </c>
      <c r="B270" s="3">
        <v>212454</v>
      </c>
      <c r="C270" s="3">
        <v>3489</v>
      </c>
      <c r="D270" s="72">
        <v>43033</v>
      </c>
      <c r="E270" s="3" t="s">
        <v>1000</v>
      </c>
    </row>
    <row r="271" spans="1:7" x14ac:dyDescent="0.25">
      <c r="C271" s="3">
        <v>998</v>
      </c>
      <c r="D271" s="72">
        <v>43035</v>
      </c>
      <c r="E271" s="3" t="s">
        <v>1001</v>
      </c>
    </row>
    <row r="272" spans="1:7" x14ac:dyDescent="0.25">
      <c r="C272" s="3">
        <v>499000</v>
      </c>
      <c r="D272" s="72">
        <v>43035</v>
      </c>
      <c r="E272" s="3" t="s">
        <v>846</v>
      </c>
    </row>
    <row r="273" spans="1:7" x14ac:dyDescent="0.25">
      <c r="B273" s="3">
        <f>SUM(B269:B272)</f>
        <v>434232</v>
      </c>
      <c r="C273" s="3">
        <f>SUM(C269:C272)</f>
        <v>517439</v>
      </c>
      <c r="E273" s="83">
        <f>C273-B273</f>
        <v>83207</v>
      </c>
      <c r="F273" s="72">
        <v>43035</v>
      </c>
      <c r="G273" s="72">
        <v>43035</v>
      </c>
    </row>
    <row r="275" spans="1:7" x14ac:dyDescent="0.25">
      <c r="A275" t="s">
        <v>1002</v>
      </c>
      <c r="B275" s="3">
        <v>365904</v>
      </c>
      <c r="C275" s="3">
        <v>340000</v>
      </c>
      <c r="D275" s="72">
        <v>43036</v>
      </c>
      <c r="E275" s="3" t="s">
        <v>846</v>
      </c>
    </row>
    <row r="276" spans="1:7" x14ac:dyDescent="0.25">
      <c r="C276" s="3">
        <v>25904</v>
      </c>
      <c r="D276" s="72">
        <v>43036</v>
      </c>
      <c r="E276" s="3" t="s">
        <v>849</v>
      </c>
    </row>
    <row r="277" spans="1:7" x14ac:dyDescent="0.25">
      <c r="B277" s="3">
        <f>SUM(B275:B276)</f>
        <v>365904</v>
      </c>
      <c r="C277" s="3">
        <f>SUM(C275:C276)</f>
        <v>365904</v>
      </c>
      <c r="E277" s="3">
        <f>C277-B277</f>
        <v>0</v>
      </c>
      <c r="F277" s="72">
        <v>43036</v>
      </c>
      <c r="G277" s="72">
        <v>43036</v>
      </c>
    </row>
    <row r="279" spans="1:7" x14ac:dyDescent="0.25">
      <c r="A279" t="s">
        <v>1003</v>
      </c>
      <c r="B279" s="3">
        <v>412920</v>
      </c>
      <c r="C279" s="3">
        <v>368000</v>
      </c>
      <c r="D279" s="72">
        <v>43038</v>
      </c>
      <c r="E279" s="3" t="s">
        <v>846</v>
      </c>
    </row>
    <row r="280" spans="1:7" x14ac:dyDescent="0.25">
      <c r="C280" s="3">
        <v>50000</v>
      </c>
      <c r="D280" s="72">
        <v>43036</v>
      </c>
    </row>
    <row r="281" spans="1:7" x14ac:dyDescent="0.25">
      <c r="B281" s="3">
        <f>SUM(B279:B280)</f>
        <v>412920</v>
      </c>
      <c r="C281" s="3">
        <f>SUM(C279:C280)</f>
        <v>418000</v>
      </c>
      <c r="E281" s="54">
        <f>C281-B281</f>
        <v>5080</v>
      </c>
      <c r="F281" s="72">
        <v>43039</v>
      </c>
      <c r="G281" s="72">
        <v>43039</v>
      </c>
    </row>
    <row r="283" spans="1:7" x14ac:dyDescent="0.25">
      <c r="A283" t="s">
        <v>1004</v>
      </c>
      <c r="B283" s="3">
        <v>374576</v>
      </c>
      <c r="C283" s="3">
        <v>399000</v>
      </c>
      <c r="D283" s="72">
        <v>43039</v>
      </c>
      <c r="E283" s="3" t="s">
        <v>846</v>
      </c>
    </row>
    <row r="284" spans="1:7" x14ac:dyDescent="0.25">
      <c r="B284" s="3">
        <f>SUM(B283)</f>
        <v>374576</v>
      </c>
      <c r="C284" s="3">
        <f>SUM(C283)</f>
        <v>399000</v>
      </c>
      <c r="E284" s="75">
        <f>C284-B284</f>
        <v>24424</v>
      </c>
      <c r="F284" s="72">
        <v>43039</v>
      </c>
      <c r="G284" s="72">
        <v>43040</v>
      </c>
    </row>
    <row r="286" spans="1:7" x14ac:dyDescent="0.25">
      <c r="A286" t="s">
        <v>1005</v>
      </c>
      <c r="B286" s="3">
        <v>211560</v>
      </c>
      <c r="C286" s="3">
        <v>360000</v>
      </c>
      <c r="D286" s="72">
        <v>43040</v>
      </c>
    </row>
    <row r="287" spans="1:7" x14ac:dyDescent="0.25">
      <c r="B287" s="3">
        <f>SUM(B286)</f>
        <v>211560</v>
      </c>
      <c r="C287" s="3">
        <f>SUM(C286)</f>
        <v>360000</v>
      </c>
      <c r="E287" s="79">
        <f>C287-B287</f>
        <v>148440</v>
      </c>
      <c r="F287" s="72">
        <v>43040</v>
      </c>
      <c r="G287" s="72">
        <v>43040</v>
      </c>
    </row>
    <row r="289" spans="1:7" x14ac:dyDescent="0.25">
      <c r="A289" t="s">
        <v>1006</v>
      </c>
      <c r="B289" s="3">
        <v>187002.5</v>
      </c>
      <c r="C289" s="83">
        <v>83207</v>
      </c>
      <c r="D289" s="72">
        <v>43035</v>
      </c>
      <c r="E289" s="3" t="s">
        <v>842</v>
      </c>
    </row>
    <row r="290" spans="1:7" x14ac:dyDescent="0.25">
      <c r="C290" s="54">
        <v>5080</v>
      </c>
      <c r="D290" s="72">
        <v>43039</v>
      </c>
      <c r="E290" s="3" t="s">
        <v>842</v>
      </c>
    </row>
    <row r="291" spans="1:7" x14ac:dyDescent="0.25">
      <c r="C291" s="75">
        <v>24424</v>
      </c>
      <c r="D291" s="72">
        <v>43039</v>
      </c>
      <c r="E291" s="3" t="s">
        <v>842</v>
      </c>
    </row>
    <row r="292" spans="1:7" x14ac:dyDescent="0.25">
      <c r="C292" s="3">
        <v>3156</v>
      </c>
      <c r="D292" s="72">
        <v>43037</v>
      </c>
      <c r="E292" s="3" t="s">
        <v>1007</v>
      </c>
    </row>
    <row r="293" spans="1:7" x14ac:dyDescent="0.25">
      <c r="C293" s="3">
        <v>4595</v>
      </c>
      <c r="D293" s="72">
        <v>43039</v>
      </c>
      <c r="E293" s="3" t="s">
        <v>1008</v>
      </c>
    </row>
    <row r="294" spans="1:7" x14ac:dyDescent="0.25">
      <c r="C294" s="3">
        <v>4334</v>
      </c>
      <c r="D294" s="72">
        <v>43040</v>
      </c>
      <c r="E294" s="3" t="s">
        <v>1009</v>
      </c>
    </row>
    <row r="295" spans="1:7" x14ac:dyDescent="0.25">
      <c r="C295" s="3">
        <v>11726</v>
      </c>
      <c r="D295" s="72">
        <v>43039</v>
      </c>
      <c r="E295" s="3" t="s">
        <v>1010</v>
      </c>
    </row>
    <row r="296" spans="1:7" x14ac:dyDescent="0.25">
      <c r="C296" s="3">
        <v>39100</v>
      </c>
      <c r="D296" s="72">
        <v>43042</v>
      </c>
    </row>
    <row r="297" spans="1:7" x14ac:dyDescent="0.25">
      <c r="C297" s="3">
        <v>11370</v>
      </c>
      <c r="D297" s="72">
        <v>43042</v>
      </c>
    </row>
    <row r="298" spans="1:7" x14ac:dyDescent="0.25">
      <c r="C298" s="3">
        <v>10.5</v>
      </c>
      <c r="D298" s="72">
        <v>43041</v>
      </c>
      <c r="E298" s="3" t="s">
        <v>849</v>
      </c>
    </row>
    <row r="299" spans="1:7" x14ac:dyDescent="0.25">
      <c r="B299" s="3">
        <f>SUM(B289:B298)</f>
        <v>187002.5</v>
      </c>
      <c r="C299" s="3">
        <f>SUM(C289:C298)</f>
        <v>187002.5</v>
      </c>
      <c r="E299" s="3">
        <f>C299-B299</f>
        <v>0</v>
      </c>
      <c r="F299" s="72">
        <v>43041</v>
      </c>
      <c r="G299" s="72">
        <v>43043</v>
      </c>
    </row>
    <row r="301" spans="1:7" x14ac:dyDescent="0.25">
      <c r="A301" t="s">
        <v>1011</v>
      </c>
      <c r="B301" s="3">
        <v>400654</v>
      </c>
      <c r="C301" s="3">
        <v>474000</v>
      </c>
      <c r="D301" s="72">
        <v>43042</v>
      </c>
      <c r="E301" s="3" t="s">
        <v>846</v>
      </c>
    </row>
    <row r="302" spans="1:7" x14ac:dyDescent="0.25">
      <c r="B302" s="3">
        <f>SUM(B301)</f>
        <v>400654</v>
      </c>
      <c r="C302" s="3">
        <f>SUM(C301)</f>
        <v>474000</v>
      </c>
      <c r="E302" s="86">
        <f>C302-B302</f>
        <v>73346</v>
      </c>
      <c r="F302" s="72">
        <v>43042</v>
      </c>
      <c r="G302" s="72">
        <v>43043</v>
      </c>
    </row>
    <row r="304" spans="1:7" x14ac:dyDescent="0.25">
      <c r="A304" t="s">
        <v>1012</v>
      </c>
      <c r="B304" s="3">
        <v>399267</v>
      </c>
      <c r="C304" s="3">
        <v>404000</v>
      </c>
      <c r="D304" s="72">
        <v>43043</v>
      </c>
      <c r="E304" s="3" t="s">
        <v>846</v>
      </c>
      <c r="F304" s="72">
        <v>43043</v>
      </c>
    </row>
    <row r="305" spans="1:7" x14ac:dyDescent="0.25">
      <c r="A305" t="s">
        <v>1013</v>
      </c>
      <c r="B305" s="3">
        <v>27738</v>
      </c>
      <c r="D305" s="72"/>
    </row>
    <row r="306" spans="1:7" x14ac:dyDescent="0.25">
      <c r="A306" t="s">
        <v>1014</v>
      </c>
      <c r="B306" s="3">
        <v>362992.5</v>
      </c>
      <c r="C306" s="86">
        <v>73346</v>
      </c>
      <c r="D306" s="72">
        <v>43042</v>
      </c>
      <c r="E306" s="3" t="s">
        <v>842</v>
      </c>
    </row>
    <row r="307" spans="1:7" x14ac:dyDescent="0.25">
      <c r="A307" t="s">
        <v>1015</v>
      </c>
      <c r="B307" s="3">
        <v>34465.5</v>
      </c>
      <c r="C307" s="3">
        <v>7117</v>
      </c>
      <c r="D307" s="72">
        <v>43047</v>
      </c>
    </row>
    <row r="308" spans="1:7" x14ac:dyDescent="0.25">
      <c r="C308" s="3">
        <v>37000</v>
      </c>
      <c r="D308" s="72">
        <v>42767</v>
      </c>
    </row>
    <row r="309" spans="1:7" x14ac:dyDescent="0.25">
      <c r="C309" s="3">
        <v>303000</v>
      </c>
      <c r="D309" s="72">
        <v>43045</v>
      </c>
      <c r="E309" s="3" t="s">
        <v>846</v>
      </c>
    </row>
    <row r="310" spans="1:7" x14ac:dyDescent="0.25">
      <c r="B310" s="3">
        <f>SUM(B304:B309)</f>
        <v>824463</v>
      </c>
      <c r="C310" s="3">
        <f>SUM(C304:C309)</f>
        <v>824463</v>
      </c>
      <c r="E310" s="3">
        <f>C310-B310</f>
        <v>0</v>
      </c>
      <c r="F310" s="72">
        <v>43045</v>
      </c>
      <c r="G310" s="72">
        <v>43047</v>
      </c>
    </row>
    <row r="312" spans="1:7" x14ac:dyDescent="0.25">
      <c r="A312" t="s">
        <v>1016</v>
      </c>
      <c r="B312" s="3">
        <v>342818</v>
      </c>
      <c r="C312" s="3">
        <v>543000</v>
      </c>
      <c r="D312" s="72">
        <v>43046</v>
      </c>
      <c r="E312" s="3" t="s">
        <v>846</v>
      </c>
    </row>
    <row r="313" spans="1:7" x14ac:dyDescent="0.25">
      <c r="A313" t="s">
        <v>1017</v>
      </c>
      <c r="B313" s="3">
        <v>227919</v>
      </c>
      <c r="C313" s="3">
        <v>27737</v>
      </c>
      <c r="D313" s="72">
        <v>43047</v>
      </c>
    </row>
    <row r="314" spans="1:7" x14ac:dyDescent="0.25">
      <c r="B314" s="3">
        <f>SUM(B312:B313)</f>
        <v>570737</v>
      </c>
      <c r="C314" s="3">
        <f>SUM(C312:C313)</f>
        <v>570737</v>
      </c>
      <c r="E314" s="3">
        <f>C314-B314</f>
        <v>0</v>
      </c>
      <c r="F314" s="72">
        <v>43046</v>
      </c>
      <c r="G314" s="72">
        <v>43047</v>
      </c>
    </row>
    <row r="316" spans="1:7" x14ac:dyDescent="0.25">
      <c r="A316" t="s">
        <v>1018</v>
      </c>
      <c r="B316" s="3">
        <v>222006</v>
      </c>
      <c r="C316" s="3">
        <v>200000</v>
      </c>
      <c r="D316" s="72">
        <v>43047</v>
      </c>
      <c r="E316" s="3" t="s">
        <v>846</v>
      </c>
    </row>
    <row r="317" spans="1:7" x14ac:dyDescent="0.25">
      <c r="C317" s="3">
        <v>21348.6</v>
      </c>
      <c r="D317" s="72">
        <v>43046</v>
      </c>
      <c r="E317" s="3" t="s">
        <v>1019</v>
      </c>
    </row>
    <row r="318" spans="1:7" x14ac:dyDescent="0.25">
      <c r="C318" s="3">
        <v>657</v>
      </c>
      <c r="D318" s="72">
        <v>43047</v>
      </c>
      <c r="E318" s="3" t="s">
        <v>849</v>
      </c>
    </row>
    <row r="319" spans="1:7" x14ac:dyDescent="0.25">
      <c r="B319" s="3">
        <f>SUM(B316:B318)</f>
        <v>222006</v>
      </c>
      <c r="C319" s="3">
        <f>SUM(C316:C318)</f>
        <v>222005.6</v>
      </c>
      <c r="E319" s="3">
        <f>C319-B319</f>
        <v>-0.39999999999417923</v>
      </c>
      <c r="F319" s="72">
        <v>43047</v>
      </c>
      <c r="G319" s="72">
        <v>43047</v>
      </c>
    </row>
    <row r="321" spans="1:9" x14ac:dyDescent="0.25">
      <c r="A321" t="s">
        <v>1020</v>
      </c>
      <c r="B321" s="3">
        <v>209944</v>
      </c>
      <c r="C321" s="3">
        <v>190000</v>
      </c>
      <c r="D321" s="72">
        <v>43048</v>
      </c>
      <c r="E321" s="3" t="s">
        <v>846</v>
      </c>
    </row>
    <row r="322" spans="1:9" x14ac:dyDescent="0.25">
      <c r="C322" s="3">
        <v>19944</v>
      </c>
      <c r="D322" s="72">
        <v>43049</v>
      </c>
    </row>
    <row r="323" spans="1:9" x14ac:dyDescent="0.25">
      <c r="B323" s="3">
        <f>SUM(B321:B322)</f>
        <v>209944</v>
      </c>
      <c r="C323" s="3">
        <f>SUM(C321:C322)</f>
        <v>209944</v>
      </c>
      <c r="E323" s="3">
        <f>C323-B323</f>
        <v>0</v>
      </c>
      <c r="F323" s="72">
        <v>43048</v>
      </c>
      <c r="G323" s="72">
        <v>43049</v>
      </c>
    </row>
    <row r="325" spans="1:9" x14ac:dyDescent="0.25">
      <c r="A325" t="s">
        <v>1021</v>
      </c>
      <c r="B325" s="3">
        <v>2737</v>
      </c>
      <c r="C325" s="3">
        <v>340000</v>
      </c>
      <c r="D325" s="72">
        <v>43049</v>
      </c>
      <c r="E325" s="3" t="s">
        <v>846</v>
      </c>
    </row>
    <row r="326" spans="1:9" x14ac:dyDescent="0.25">
      <c r="A326" t="s">
        <v>1022</v>
      </c>
      <c r="B326" s="3">
        <v>373833</v>
      </c>
      <c r="C326" s="3">
        <v>36570</v>
      </c>
      <c r="D326" s="72">
        <v>43049</v>
      </c>
      <c r="E326" s="3" t="s">
        <v>849</v>
      </c>
    </row>
    <row r="327" spans="1:9" x14ac:dyDescent="0.25">
      <c r="B327" s="3">
        <f>SUM(B325:B326)</f>
        <v>376570</v>
      </c>
      <c r="C327" s="3">
        <f>SUM(C325:C326)</f>
        <v>376570</v>
      </c>
      <c r="E327" s="3">
        <f>C327-B327</f>
        <v>0</v>
      </c>
      <c r="F327" s="72">
        <v>43049</v>
      </c>
      <c r="G327" s="72">
        <v>43049</v>
      </c>
    </row>
    <row r="329" spans="1:9" x14ac:dyDescent="0.25">
      <c r="A329" t="s">
        <v>1023</v>
      </c>
      <c r="B329" s="3">
        <v>29159.3</v>
      </c>
      <c r="C329" s="3">
        <v>673000</v>
      </c>
      <c r="D329" s="72">
        <v>43052</v>
      </c>
      <c r="E329" s="3" t="s">
        <v>846</v>
      </c>
    </row>
    <row r="330" spans="1:9" x14ac:dyDescent="0.25">
      <c r="A330" t="s">
        <v>1024</v>
      </c>
      <c r="B330" s="3">
        <v>584435</v>
      </c>
    </row>
    <row r="331" spans="1:9" x14ac:dyDescent="0.25">
      <c r="B331" s="3">
        <f>SUM(B329:B330)</f>
        <v>613594.30000000005</v>
      </c>
      <c r="C331" s="3">
        <f>SUM(C329:C330)</f>
        <v>673000</v>
      </c>
      <c r="E331" s="75">
        <f>C331-B331</f>
        <v>59405.699999999953</v>
      </c>
      <c r="F331" s="72">
        <v>43052</v>
      </c>
      <c r="G331" s="72">
        <v>43054</v>
      </c>
      <c r="I331" t="s">
        <v>1025</v>
      </c>
    </row>
    <row r="333" spans="1:9" x14ac:dyDescent="0.25">
      <c r="A333" t="s">
        <v>1026</v>
      </c>
      <c r="B333" s="3">
        <v>229504</v>
      </c>
      <c r="C333" s="3">
        <v>440000</v>
      </c>
      <c r="D333" s="72">
        <v>43054</v>
      </c>
      <c r="E333" s="3" t="s">
        <v>846</v>
      </c>
    </row>
    <row r="334" spans="1:9" x14ac:dyDescent="0.25">
      <c r="A334" t="s">
        <v>1027</v>
      </c>
      <c r="B334" s="3">
        <v>27418.95</v>
      </c>
      <c r="C334" s="3">
        <v>161820</v>
      </c>
      <c r="D334" s="72">
        <v>43054</v>
      </c>
    </row>
    <row r="335" spans="1:9" x14ac:dyDescent="0.25">
      <c r="A335" t="s">
        <v>1028</v>
      </c>
      <c r="B335" s="3">
        <v>359904</v>
      </c>
      <c r="C335" s="3">
        <v>15007</v>
      </c>
      <c r="D335" s="72">
        <v>43054</v>
      </c>
      <c r="E335" s="3" t="s">
        <v>849</v>
      </c>
    </row>
    <row r="336" spans="1:9" x14ac:dyDescent="0.25">
      <c r="B336" s="3">
        <f>SUM(B333:B335)</f>
        <v>616826.94999999995</v>
      </c>
      <c r="C336" s="3">
        <f>SUM(C333:C335)</f>
        <v>616827</v>
      </c>
      <c r="E336" s="3">
        <f>C336-B336</f>
        <v>5.0000000046566129E-2</v>
      </c>
      <c r="F336" s="72">
        <v>43054</v>
      </c>
      <c r="G336" s="72">
        <v>43054</v>
      </c>
    </row>
    <row r="337" spans="1:7" x14ac:dyDescent="0.25">
      <c r="G337" t="s">
        <v>891</v>
      </c>
    </row>
    <row r="338" spans="1:7" x14ac:dyDescent="0.25">
      <c r="A338" t="s">
        <v>1029</v>
      </c>
      <c r="B338" s="3">
        <v>67462.3</v>
      </c>
      <c r="C338" s="3">
        <v>311000</v>
      </c>
      <c r="D338" s="72">
        <v>43056</v>
      </c>
      <c r="E338" s="3" t="s">
        <v>846</v>
      </c>
    </row>
    <row r="339" spans="1:7" x14ac:dyDescent="0.25">
      <c r="A339" t="s">
        <v>1030</v>
      </c>
      <c r="B339" s="3">
        <v>221430</v>
      </c>
    </row>
    <row r="340" spans="1:7" x14ac:dyDescent="0.25">
      <c r="B340" s="3">
        <f>SUM(B338:B339)</f>
        <v>288892.3</v>
      </c>
      <c r="C340" s="3">
        <f>SUM(C338:C339)</f>
        <v>311000</v>
      </c>
      <c r="E340" s="90">
        <f>C340-B340</f>
        <v>22107.700000000012</v>
      </c>
      <c r="F340" s="72">
        <v>43057</v>
      </c>
      <c r="G340" s="72">
        <v>43060</v>
      </c>
    </row>
    <row r="342" spans="1:7" x14ac:dyDescent="0.25">
      <c r="A342" t="s">
        <v>1031</v>
      </c>
      <c r="B342" s="3">
        <v>360720</v>
      </c>
      <c r="C342" s="3">
        <v>631000</v>
      </c>
      <c r="D342" s="72">
        <v>43060</v>
      </c>
      <c r="E342" s="3" t="s">
        <v>846</v>
      </c>
    </row>
    <row r="343" spans="1:7" x14ac:dyDescent="0.25">
      <c r="A343" t="s">
        <v>1032</v>
      </c>
      <c r="B343" s="3">
        <v>786236</v>
      </c>
      <c r="C343" s="3">
        <v>500000</v>
      </c>
      <c r="D343" s="72">
        <v>43060</v>
      </c>
      <c r="E343" s="3" t="s">
        <v>846</v>
      </c>
    </row>
    <row r="344" spans="1:7" x14ac:dyDescent="0.25">
      <c r="C344" s="3">
        <v>15956</v>
      </c>
      <c r="D344" s="72">
        <v>43061</v>
      </c>
    </row>
    <row r="345" spans="1:7" x14ac:dyDescent="0.25">
      <c r="B345" s="3">
        <f>SUM(B342:B344)</f>
        <v>1146956</v>
      </c>
      <c r="C345" s="3">
        <f>SUM(C342:C344)</f>
        <v>1146956</v>
      </c>
      <c r="E345" s="3">
        <f>C345-B345</f>
        <v>0</v>
      </c>
      <c r="F345" s="72">
        <v>43061</v>
      </c>
      <c r="G345" s="72">
        <v>43061</v>
      </c>
    </row>
    <row r="347" spans="1:7" x14ac:dyDescent="0.25">
      <c r="A347" t="s">
        <v>1033</v>
      </c>
      <c r="B347" s="3">
        <v>236175</v>
      </c>
      <c r="C347" s="3">
        <v>214000</v>
      </c>
      <c r="D347" s="72">
        <v>43062</v>
      </c>
      <c r="E347" s="3" t="s">
        <v>846</v>
      </c>
    </row>
    <row r="348" spans="1:7" x14ac:dyDescent="0.25">
      <c r="C348" s="3">
        <v>15011</v>
      </c>
      <c r="D348" s="72">
        <v>43059</v>
      </c>
      <c r="E348" s="3" t="s">
        <v>1034</v>
      </c>
    </row>
    <row r="349" spans="1:7" x14ac:dyDescent="0.25">
      <c r="C349" s="3">
        <v>1102</v>
      </c>
      <c r="D349" s="72">
        <v>43062</v>
      </c>
      <c r="E349" s="3" t="s">
        <v>1035</v>
      </c>
    </row>
    <row r="350" spans="1:7" x14ac:dyDescent="0.25">
      <c r="C350" s="3">
        <v>4174</v>
      </c>
      <c r="D350" s="72">
        <v>43056</v>
      </c>
      <c r="E350" s="3" t="s">
        <v>1036</v>
      </c>
    </row>
    <row r="351" spans="1:7" x14ac:dyDescent="0.25">
      <c r="C351" s="3">
        <v>1888</v>
      </c>
      <c r="D351" s="72">
        <v>43062</v>
      </c>
      <c r="E351" s="3" t="s">
        <v>849</v>
      </c>
    </row>
    <row r="352" spans="1:7" x14ac:dyDescent="0.25">
      <c r="B352" s="3">
        <f>SUM(B347:B351)</f>
        <v>236175</v>
      </c>
      <c r="C352" s="3">
        <f>SUM(C347:C351)</f>
        <v>236175</v>
      </c>
      <c r="E352" s="3">
        <f>C352-B352</f>
        <v>0</v>
      </c>
      <c r="F352" s="72">
        <v>43062</v>
      </c>
      <c r="G352" s="72">
        <v>43063</v>
      </c>
    </row>
    <row r="354" spans="1:8" x14ac:dyDescent="0.25">
      <c r="A354" t="s">
        <v>1037</v>
      </c>
      <c r="B354" s="3">
        <v>248496</v>
      </c>
      <c r="C354" s="3">
        <v>147000</v>
      </c>
      <c r="D354" s="72">
        <v>43063</v>
      </c>
      <c r="E354" s="3" t="s">
        <v>846</v>
      </c>
      <c r="F354" t="s">
        <v>1038</v>
      </c>
    </row>
    <row r="355" spans="1:8" x14ac:dyDescent="0.25">
      <c r="C355" s="3">
        <v>4350</v>
      </c>
      <c r="D355" s="72">
        <v>43061</v>
      </c>
      <c r="E355" s="3" t="s">
        <v>1039</v>
      </c>
    </row>
    <row r="356" spans="1:8" x14ac:dyDescent="0.25">
      <c r="C356" s="3">
        <v>7602</v>
      </c>
      <c r="D356" s="72">
        <v>43046</v>
      </c>
      <c r="E356" s="3" t="s">
        <v>1040</v>
      </c>
    </row>
    <row r="357" spans="1:8" x14ac:dyDescent="0.25">
      <c r="C357" s="3">
        <v>35018</v>
      </c>
      <c r="D357" s="72">
        <v>43057</v>
      </c>
      <c r="E357" s="3" t="s">
        <v>1041</v>
      </c>
    </row>
    <row r="358" spans="1:8" x14ac:dyDescent="0.25">
      <c r="C358" s="3">
        <v>9142</v>
      </c>
      <c r="D358" s="72">
        <v>43049</v>
      </c>
      <c r="E358" s="3" t="s">
        <v>1042</v>
      </c>
    </row>
    <row r="359" spans="1:8" x14ac:dyDescent="0.25">
      <c r="C359" s="3">
        <v>18725</v>
      </c>
      <c r="D359" s="72">
        <v>43048</v>
      </c>
      <c r="E359" s="3" t="s">
        <v>1043</v>
      </c>
    </row>
    <row r="360" spans="1:8" x14ac:dyDescent="0.25">
      <c r="C360" s="3">
        <v>19851</v>
      </c>
      <c r="D360" s="72">
        <v>43047</v>
      </c>
      <c r="E360" s="3" t="s">
        <v>1044</v>
      </c>
    </row>
    <row r="361" spans="1:8" x14ac:dyDescent="0.25">
      <c r="C361" s="3">
        <v>59832</v>
      </c>
      <c r="D361" s="72">
        <v>43054</v>
      </c>
      <c r="E361" s="3" t="s">
        <v>1045</v>
      </c>
    </row>
    <row r="362" spans="1:8" x14ac:dyDescent="0.25">
      <c r="B362" s="3">
        <f>SUM(B354:B361)</f>
        <v>248496</v>
      </c>
      <c r="C362" s="3">
        <f>SUM(C354:C361)</f>
        <v>301520</v>
      </c>
      <c r="E362" s="50">
        <f>C362-B362</f>
        <v>53024</v>
      </c>
      <c r="F362" s="72">
        <v>43063</v>
      </c>
      <c r="G362" s="72">
        <v>43064</v>
      </c>
      <c r="H362" t="s">
        <v>1046</v>
      </c>
    </row>
    <row r="364" spans="1:8" x14ac:dyDescent="0.25">
      <c r="A364" t="s">
        <v>1047</v>
      </c>
      <c r="B364" s="3">
        <v>254508</v>
      </c>
      <c r="C364" s="3">
        <v>300000</v>
      </c>
      <c r="D364" s="72">
        <v>43064</v>
      </c>
      <c r="E364" s="3" t="s">
        <v>846</v>
      </c>
    </row>
    <row r="365" spans="1:8" x14ac:dyDescent="0.25">
      <c r="C365" s="3">
        <v>1000</v>
      </c>
      <c r="D365" s="72">
        <v>43063</v>
      </c>
      <c r="E365" s="3" t="s">
        <v>1048</v>
      </c>
    </row>
    <row r="366" spans="1:8" x14ac:dyDescent="0.25">
      <c r="B366" s="3">
        <f>SUM(B364:B365)</f>
        <v>254508</v>
      </c>
      <c r="C366" s="3">
        <f>SUM(C364:C365)</f>
        <v>301000</v>
      </c>
      <c r="E366" s="54">
        <f>C366-B366</f>
        <v>46492</v>
      </c>
      <c r="F366" s="72">
        <v>43064</v>
      </c>
      <c r="G366" s="72">
        <v>43064</v>
      </c>
      <c r="H366" t="s">
        <v>1049</v>
      </c>
    </row>
    <row r="368" spans="1:8" x14ac:dyDescent="0.25">
      <c r="A368" t="s">
        <v>1050</v>
      </c>
      <c r="B368" s="3">
        <v>428670</v>
      </c>
      <c r="C368" s="3">
        <v>150000</v>
      </c>
      <c r="D368" s="72">
        <v>43066</v>
      </c>
      <c r="E368" s="3" t="s">
        <v>846</v>
      </c>
    </row>
    <row r="369" spans="1:7" x14ac:dyDescent="0.25">
      <c r="A369" t="s">
        <v>1051</v>
      </c>
      <c r="B369" s="3">
        <v>362920</v>
      </c>
      <c r="C369" s="54">
        <v>46492</v>
      </c>
      <c r="D369" s="72">
        <v>43064</v>
      </c>
      <c r="E369" s="3" t="s">
        <v>842</v>
      </c>
    </row>
    <row r="370" spans="1:7" x14ac:dyDescent="0.25">
      <c r="C370" s="79">
        <v>148440</v>
      </c>
      <c r="D370" s="72">
        <v>43040</v>
      </c>
      <c r="E370" s="3" t="s">
        <v>842</v>
      </c>
    </row>
    <row r="371" spans="1:7" x14ac:dyDescent="0.25">
      <c r="C371" s="75">
        <v>59105.7</v>
      </c>
      <c r="D371" s="72">
        <v>43052</v>
      </c>
      <c r="E371" s="3" t="s">
        <v>842</v>
      </c>
    </row>
    <row r="372" spans="1:7" x14ac:dyDescent="0.25">
      <c r="C372" s="90">
        <v>22107.7</v>
      </c>
      <c r="D372" s="72">
        <v>43056</v>
      </c>
      <c r="E372" s="3" t="s">
        <v>842</v>
      </c>
    </row>
    <row r="373" spans="1:7" x14ac:dyDescent="0.25">
      <c r="C373" s="3">
        <v>37047.199999999997</v>
      </c>
      <c r="D373" s="72">
        <v>43055</v>
      </c>
      <c r="E373" s="3" t="s">
        <v>842</v>
      </c>
    </row>
    <row r="374" spans="1:7" x14ac:dyDescent="0.25">
      <c r="C374" s="50">
        <v>53024</v>
      </c>
      <c r="D374" s="72">
        <v>43063</v>
      </c>
      <c r="E374" s="3" t="s">
        <v>842</v>
      </c>
    </row>
    <row r="375" spans="1:7" x14ac:dyDescent="0.25">
      <c r="C375" s="3">
        <v>46170</v>
      </c>
      <c r="D375" s="72">
        <v>43056</v>
      </c>
    </row>
    <row r="376" spans="1:7" x14ac:dyDescent="0.25">
      <c r="C376" s="3">
        <v>100</v>
      </c>
      <c r="D376" s="72">
        <v>43056</v>
      </c>
      <c r="E376" s="3" t="s">
        <v>849</v>
      </c>
    </row>
    <row r="377" spans="1:7" x14ac:dyDescent="0.25">
      <c r="C377" s="3">
        <v>30300</v>
      </c>
      <c r="D377" s="72">
        <v>43055</v>
      </c>
    </row>
    <row r="378" spans="1:7" x14ac:dyDescent="0.25">
      <c r="C378" s="3">
        <v>39900</v>
      </c>
      <c r="D378" s="72">
        <v>43060</v>
      </c>
    </row>
    <row r="379" spans="1:7" x14ac:dyDescent="0.25">
      <c r="C379" s="3">
        <v>97950</v>
      </c>
      <c r="D379" s="72">
        <v>43061</v>
      </c>
    </row>
    <row r="380" spans="1:7" x14ac:dyDescent="0.25">
      <c r="C380" s="3">
        <v>81106</v>
      </c>
      <c r="D380" s="72">
        <v>43053</v>
      </c>
    </row>
    <row r="381" spans="1:7" x14ac:dyDescent="0.25">
      <c r="B381" s="3">
        <f>SUM(B368:B380)</f>
        <v>791590</v>
      </c>
      <c r="C381" s="3">
        <f>SUM(C368:C380)</f>
        <v>811742.60000000009</v>
      </c>
      <c r="E381" s="92">
        <f>C381-B381</f>
        <v>20152.600000000093</v>
      </c>
      <c r="F381" s="72">
        <v>43066</v>
      </c>
      <c r="G381" s="72">
        <v>43066</v>
      </c>
    </row>
    <row r="383" spans="1:7" x14ac:dyDescent="0.25">
      <c r="A383" t="s">
        <v>1052</v>
      </c>
      <c r="B383" s="3">
        <v>2056.6</v>
      </c>
      <c r="C383" s="3">
        <v>550000</v>
      </c>
      <c r="D383" s="72">
        <v>43068</v>
      </c>
    </row>
    <row r="384" spans="1:7" x14ac:dyDescent="0.25">
      <c r="A384" t="s">
        <v>1053</v>
      </c>
      <c r="B384" s="3">
        <v>404700</v>
      </c>
    </row>
    <row r="385" spans="1:15" x14ac:dyDescent="0.25">
      <c r="B385" s="3">
        <f>SUM(B383:B384)</f>
        <v>406756.6</v>
      </c>
      <c r="C385" s="3">
        <f>SUM(C383:C384)</f>
        <v>550000</v>
      </c>
      <c r="E385" s="93">
        <f>C385-B385</f>
        <v>143243.40000000002</v>
      </c>
      <c r="F385" s="72">
        <v>43068</v>
      </c>
      <c r="G385" s="72">
        <v>43069</v>
      </c>
      <c r="H385" s="48" t="s">
        <v>1054</v>
      </c>
      <c r="I385" s="48"/>
      <c r="J385" s="48"/>
      <c r="K385" s="48"/>
      <c r="L385" s="48" t="s">
        <v>1055</v>
      </c>
      <c r="M385" s="48"/>
      <c r="N385" s="48"/>
      <c r="O385" s="48"/>
    </row>
    <row r="387" spans="1:15" x14ac:dyDescent="0.25">
      <c r="A387" t="s">
        <v>1056</v>
      </c>
      <c r="B387" s="3">
        <v>287936</v>
      </c>
      <c r="C387" s="3">
        <v>13903</v>
      </c>
      <c r="D387" s="72">
        <v>43069</v>
      </c>
      <c r="E387" s="3" t="s">
        <v>1057</v>
      </c>
    </row>
    <row r="388" spans="1:15" x14ac:dyDescent="0.25">
      <c r="A388" t="s">
        <v>1058</v>
      </c>
      <c r="B388" s="3">
        <v>250600</v>
      </c>
      <c r="C388" s="3">
        <v>13151</v>
      </c>
      <c r="D388" s="72">
        <v>43067</v>
      </c>
      <c r="E388" s="3" t="s">
        <v>1059</v>
      </c>
    </row>
    <row r="389" spans="1:15" x14ac:dyDescent="0.25">
      <c r="A389" t="s">
        <v>1060</v>
      </c>
      <c r="B389" s="3">
        <v>18312.599999999999</v>
      </c>
      <c r="C389" s="3">
        <v>52460</v>
      </c>
      <c r="D389" s="72">
        <v>43066</v>
      </c>
      <c r="E389" s="3" t="s">
        <v>1061</v>
      </c>
    </row>
    <row r="390" spans="1:15" x14ac:dyDescent="0.25">
      <c r="A390" t="s">
        <v>1062</v>
      </c>
      <c r="B390" s="3">
        <v>10224.200000000001</v>
      </c>
      <c r="C390" s="92">
        <v>20152.599999999999</v>
      </c>
      <c r="D390" s="72">
        <v>43066</v>
      </c>
      <c r="E390" s="3" t="s">
        <v>842</v>
      </c>
    </row>
    <row r="391" spans="1:15" x14ac:dyDescent="0.25">
      <c r="C391" s="93">
        <v>143143.4</v>
      </c>
      <c r="D391" s="72">
        <v>43068</v>
      </c>
      <c r="E391" s="3" t="s">
        <v>842</v>
      </c>
    </row>
    <row r="392" spans="1:15" x14ac:dyDescent="0.25">
      <c r="C392" s="79">
        <v>400</v>
      </c>
      <c r="D392" s="72">
        <v>43070</v>
      </c>
      <c r="E392" s="3" t="s">
        <v>842</v>
      </c>
    </row>
    <row r="393" spans="1:15" x14ac:dyDescent="0.25">
      <c r="C393" s="3">
        <v>27862</v>
      </c>
      <c r="D393" s="72">
        <v>43070</v>
      </c>
      <c r="E393" s="3" t="s">
        <v>849</v>
      </c>
    </row>
    <row r="394" spans="1:15" x14ac:dyDescent="0.25">
      <c r="C394" s="3">
        <v>296000</v>
      </c>
      <c r="D394" s="72">
        <v>43069</v>
      </c>
      <c r="E394" s="3" t="s">
        <v>846</v>
      </c>
    </row>
    <row r="395" spans="1:15" x14ac:dyDescent="0.25">
      <c r="B395" s="3">
        <f>SUM(B387:B393)</f>
        <v>567072.79999999993</v>
      </c>
      <c r="C395" s="3">
        <f>SUM(C387:C394)</f>
        <v>567072</v>
      </c>
      <c r="E395" s="3">
        <f>C395-B395</f>
        <v>-0.79999999993015081</v>
      </c>
      <c r="F395" s="72">
        <v>43070</v>
      </c>
      <c r="G395" s="72">
        <v>43071</v>
      </c>
    </row>
    <row r="397" spans="1:15" x14ac:dyDescent="0.25">
      <c r="A397" t="s">
        <v>1063</v>
      </c>
      <c r="B397" s="3">
        <v>695100</v>
      </c>
      <c r="C397" s="3">
        <v>650000</v>
      </c>
      <c r="D397" s="72">
        <v>43071</v>
      </c>
      <c r="E397" s="3" t="s">
        <v>846</v>
      </c>
    </row>
    <row r="398" spans="1:15" x14ac:dyDescent="0.25">
      <c r="C398" s="3">
        <v>64650</v>
      </c>
      <c r="D398" s="72">
        <v>43073</v>
      </c>
    </row>
    <row r="399" spans="1:15" x14ac:dyDescent="0.25">
      <c r="B399" s="3">
        <f>SUM(B397:B398)</f>
        <v>695100</v>
      </c>
      <c r="C399" s="3">
        <f>SUM(C397:C398)</f>
        <v>714650</v>
      </c>
      <c r="E399" s="94">
        <f>C399-B399</f>
        <v>19550</v>
      </c>
      <c r="F399" s="72">
        <v>43071</v>
      </c>
      <c r="G399" s="72">
        <v>43075</v>
      </c>
    </row>
    <row r="401" spans="1:7" x14ac:dyDescent="0.25">
      <c r="A401" t="s">
        <v>1064</v>
      </c>
      <c r="B401" s="3">
        <v>25480</v>
      </c>
      <c r="C401" s="3">
        <v>80000</v>
      </c>
      <c r="D401" s="72">
        <v>43074</v>
      </c>
    </row>
    <row r="402" spans="1:7" x14ac:dyDescent="0.25">
      <c r="A402" t="s">
        <v>1065</v>
      </c>
      <c r="B402" s="3">
        <v>433313</v>
      </c>
      <c r="C402" s="3">
        <v>33062</v>
      </c>
      <c r="D402" s="72">
        <v>43072</v>
      </c>
      <c r="E402" s="3" t="s">
        <v>1066</v>
      </c>
    </row>
    <row r="403" spans="1:7" x14ac:dyDescent="0.25">
      <c r="C403" s="3">
        <v>353000</v>
      </c>
      <c r="D403" s="72">
        <v>43074</v>
      </c>
      <c r="E403" s="3" t="s">
        <v>846</v>
      </c>
    </row>
    <row r="404" spans="1:7" x14ac:dyDescent="0.25">
      <c r="B404" s="3">
        <f>SUM(B401:B403)</f>
        <v>458793</v>
      </c>
      <c r="C404" s="3">
        <f>SUM(C401:C403)</f>
        <v>466062</v>
      </c>
      <c r="E404" s="79">
        <f>C404-B404</f>
        <v>7269</v>
      </c>
      <c r="F404" s="72">
        <v>43074</v>
      </c>
      <c r="G404" s="72">
        <v>43075</v>
      </c>
    </row>
    <row r="406" spans="1:7" x14ac:dyDescent="0.25">
      <c r="A406" t="s">
        <v>1067</v>
      </c>
      <c r="B406" s="3">
        <v>439367.5</v>
      </c>
      <c r="C406" s="3">
        <v>9911</v>
      </c>
      <c r="D406" s="72">
        <v>43073</v>
      </c>
      <c r="E406" s="3" t="s">
        <v>1068</v>
      </c>
    </row>
    <row r="407" spans="1:7" x14ac:dyDescent="0.25">
      <c r="C407" s="3">
        <v>3078</v>
      </c>
      <c r="D407" s="72">
        <v>43071</v>
      </c>
      <c r="E407" s="3" t="s">
        <v>1069</v>
      </c>
    </row>
    <row r="408" spans="1:7" x14ac:dyDescent="0.25">
      <c r="C408" s="3">
        <v>6179</v>
      </c>
      <c r="D408" s="72">
        <v>43071</v>
      </c>
      <c r="E408" s="3" t="s">
        <v>1070</v>
      </c>
    </row>
    <row r="409" spans="1:7" x14ac:dyDescent="0.25">
      <c r="C409" s="3">
        <v>3812</v>
      </c>
      <c r="D409" s="72">
        <v>43070</v>
      </c>
      <c r="E409" s="3" t="s">
        <v>1071</v>
      </c>
    </row>
    <row r="410" spans="1:7" x14ac:dyDescent="0.25">
      <c r="C410" s="3">
        <v>6600</v>
      </c>
      <c r="D410" s="72">
        <v>43071</v>
      </c>
      <c r="E410" s="3" t="s">
        <v>1072</v>
      </c>
    </row>
    <row r="411" spans="1:7" x14ac:dyDescent="0.25">
      <c r="C411" s="3">
        <v>409000</v>
      </c>
      <c r="D411" s="72">
        <v>43073</v>
      </c>
      <c r="E411" s="3" t="s">
        <v>846</v>
      </c>
    </row>
    <row r="412" spans="1:7" x14ac:dyDescent="0.25">
      <c r="C412" s="3">
        <v>788</v>
      </c>
      <c r="D412" s="72">
        <v>43073</v>
      </c>
      <c r="E412" s="3" t="s">
        <v>849</v>
      </c>
    </row>
    <row r="413" spans="1:7" x14ac:dyDescent="0.25">
      <c r="B413" s="3">
        <f>SUM(B406:B411)</f>
        <v>439367.5</v>
      </c>
      <c r="C413" s="3">
        <f>SUM(C406:C412)</f>
        <v>439368</v>
      </c>
      <c r="E413" s="3">
        <f>C413-B413</f>
        <v>0.5</v>
      </c>
      <c r="F413" s="72">
        <v>43073</v>
      </c>
      <c r="G413" s="72">
        <v>43075</v>
      </c>
    </row>
    <row r="415" spans="1:7" x14ac:dyDescent="0.25">
      <c r="A415" t="s">
        <v>1073</v>
      </c>
      <c r="B415" s="3">
        <v>423696</v>
      </c>
      <c r="C415" s="3">
        <v>471000</v>
      </c>
      <c r="D415" s="72">
        <v>43076</v>
      </c>
      <c r="E415" s="3" t="s">
        <v>846</v>
      </c>
    </row>
    <row r="416" spans="1:7" x14ac:dyDescent="0.25">
      <c r="B416" s="3">
        <f>SUM(B415)</f>
        <v>423696</v>
      </c>
      <c r="C416" s="3">
        <f>SUM(C415)</f>
        <v>471000</v>
      </c>
      <c r="E416" s="90">
        <f>C416-B416</f>
        <v>47304</v>
      </c>
      <c r="F416" s="72">
        <v>43076</v>
      </c>
      <c r="G416" s="72">
        <v>43077</v>
      </c>
    </row>
    <row r="418" spans="1:7" x14ac:dyDescent="0.25">
      <c r="A418" t="s">
        <v>1074</v>
      </c>
      <c r="B418" s="3">
        <v>22038.6</v>
      </c>
      <c r="C418" s="3">
        <v>300000</v>
      </c>
      <c r="D418" s="72">
        <v>43077</v>
      </c>
      <c r="E418" s="3" t="s">
        <v>846</v>
      </c>
    </row>
    <row r="419" spans="1:7" x14ac:dyDescent="0.25">
      <c r="A419" t="s">
        <v>1075</v>
      </c>
      <c r="B419" s="3">
        <v>424424</v>
      </c>
      <c r="C419" s="90">
        <v>47304</v>
      </c>
      <c r="D419" s="72">
        <v>43076</v>
      </c>
      <c r="E419" s="3" t="s">
        <v>842</v>
      </c>
    </row>
    <row r="420" spans="1:7" x14ac:dyDescent="0.25">
      <c r="C420" s="79">
        <v>7269</v>
      </c>
      <c r="D420" s="72">
        <v>43074</v>
      </c>
      <c r="E420" s="3" t="s">
        <v>842</v>
      </c>
    </row>
    <row r="421" spans="1:7" x14ac:dyDescent="0.25">
      <c r="C421" s="94">
        <v>19550</v>
      </c>
      <c r="D421" s="72">
        <v>43071</v>
      </c>
      <c r="E421" s="3" t="s">
        <v>842</v>
      </c>
    </row>
    <row r="422" spans="1:7" x14ac:dyDescent="0.25">
      <c r="C422" s="3">
        <v>8299</v>
      </c>
      <c r="D422" s="72">
        <v>43074</v>
      </c>
      <c r="E422" s="3" t="s">
        <v>1076</v>
      </c>
    </row>
    <row r="423" spans="1:7" x14ac:dyDescent="0.25">
      <c r="C423" s="3">
        <v>4505</v>
      </c>
      <c r="D423" s="72">
        <v>43075</v>
      </c>
      <c r="E423" s="3" t="s">
        <v>1077</v>
      </c>
    </row>
    <row r="424" spans="1:7" x14ac:dyDescent="0.25">
      <c r="C424" s="3">
        <v>2105</v>
      </c>
      <c r="D424" s="72">
        <v>43074</v>
      </c>
      <c r="E424" s="3" t="s">
        <v>1078</v>
      </c>
    </row>
    <row r="425" spans="1:7" x14ac:dyDescent="0.25">
      <c r="C425" s="3">
        <v>51060</v>
      </c>
      <c r="D425" s="72">
        <v>43077</v>
      </c>
    </row>
    <row r="426" spans="1:7" x14ac:dyDescent="0.25">
      <c r="C426" s="3">
        <v>6370</v>
      </c>
      <c r="D426" s="72">
        <v>43077</v>
      </c>
      <c r="E426" s="3" t="s">
        <v>849</v>
      </c>
    </row>
    <row r="427" spans="1:7" x14ac:dyDescent="0.25">
      <c r="B427" s="3">
        <f>SUM(B418:B426)</f>
        <v>446462.6</v>
      </c>
      <c r="C427" s="3">
        <f>SUM(C418:C426)</f>
        <v>446462</v>
      </c>
      <c r="E427" s="3">
        <f>C427-B427</f>
        <v>-0.59999999997671694</v>
      </c>
      <c r="F427" s="72">
        <v>43077</v>
      </c>
      <c r="G427" s="72">
        <v>43078</v>
      </c>
    </row>
    <row r="429" spans="1:7" x14ac:dyDescent="0.25">
      <c r="A429" t="s">
        <v>1079</v>
      </c>
      <c r="B429" s="3">
        <v>424619</v>
      </c>
      <c r="C429" s="3">
        <v>14795</v>
      </c>
      <c r="D429" s="72">
        <v>43078</v>
      </c>
      <c r="E429" s="3" t="s">
        <v>1080</v>
      </c>
    </row>
    <row r="430" spans="1:7" x14ac:dyDescent="0.25">
      <c r="C430" s="3">
        <v>42000</v>
      </c>
      <c r="D430" s="72">
        <v>43075</v>
      </c>
    </row>
    <row r="431" spans="1:7" x14ac:dyDescent="0.25">
      <c r="C431" s="3">
        <v>371000</v>
      </c>
      <c r="D431" s="72">
        <v>43078</v>
      </c>
      <c r="E431" s="3" t="s">
        <v>846</v>
      </c>
    </row>
    <row r="432" spans="1:7" x14ac:dyDescent="0.25">
      <c r="B432" s="3">
        <f>SUM(B429:B431)</f>
        <v>424619</v>
      </c>
      <c r="C432" s="3">
        <f>SUM(C429:C431)</f>
        <v>427795</v>
      </c>
      <c r="E432" s="54">
        <f>C432-B432</f>
        <v>3176</v>
      </c>
      <c r="F432" s="72">
        <v>43078</v>
      </c>
      <c r="G432" s="72">
        <v>43078</v>
      </c>
    </row>
    <row r="434" spans="1:7" x14ac:dyDescent="0.25">
      <c r="A434" t="s">
        <v>1081</v>
      </c>
      <c r="B434" s="3">
        <v>20313.599999999999</v>
      </c>
      <c r="C434" s="3">
        <v>484000</v>
      </c>
      <c r="D434" s="72">
        <v>43080</v>
      </c>
      <c r="E434" s="3" t="s">
        <v>846</v>
      </c>
    </row>
    <row r="435" spans="1:7" x14ac:dyDescent="0.25">
      <c r="A435" t="s">
        <v>1082</v>
      </c>
      <c r="B435" s="3">
        <v>476694</v>
      </c>
      <c r="C435" s="54">
        <v>3176</v>
      </c>
      <c r="D435" s="72">
        <v>43078</v>
      </c>
      <c r="E435" s="3" t="s">
        <v>842</v>
      </c>
    </row>
    <row r="436" spans="1:7" x14ac:dyDescent="0.25">
      <c r="C436" s="3">
        <v>58223</v>
      </c>
      <c r="D436" s="72">
        <v>43079</v>
      </c>
      <c r="E436" s="3" t="s">
        <v>1083</v>
      </c>
    </row>
    <row r="437" spans="1:7" x14ac:dyDescent="0.25">
      <c r="B437" s="3">
        <f>SUM(B434:B436)</f>
        <v>497007.6</v>
      </c>
      <c r="C437" s="3">
        <f>SUM(C434:C436)</f>
        <v>545399</v>
      </c>
      <c r="E437" s="83">
        <f>C437-B437</f>
        <v>48391.400000000023</v>
      </c>
      <c r="F437" s="72">
        <v>43080</v>
      </c>
      <c r="G437" s="72">
        <v>43081</v>
      </c>
    </row>
    <row r="439" spans="1:7" x14ac:dyDescent="0.25">
      <c r="A439" t="s">
        <v>1084</v>
      </c>
      <c r="B439" s="3">
        <v>13788.6</v>
      </c>
      <c r="C439" s="3">
        <v>59500</v>
      </c>
      <c r="D439" s="72">
        <v>43082</v>
      </c>
      <c r="E439" s="3" t="s">
        <v>1085</v>
      </c>
    </row>
    <row r="440" spans="1:7" x14ac:dyDescent="0.25">
      <c r="A440" t="s">
        <v>1086</v>
      </c>
      <c r="B440" s="3">
        <v>1152.4000000000001</v>
      </c>
      <c r="C440" s="3">
        <v>504000</v>
      </c>
      <c r="D440" s="72">
        <v>43082</v>
      </c>
      <c r="E440" s="3" t="s">
        <v>846</v>
      </c>
    </row>
    <row r="441" spans="1:7" x14ac:dyDescent="0.25">
      <c r="A441" t="s">
        <v>1087</v>
      </c>
      <c r="B441" s="3">
        <v>424795</v>
      </c>
      <c r="C441" s="83">
        <v>48391.4</v>
      </c>
      <c r="D441" s="72">
        <v>43080</v>
      </c>
      <c r="E441" s="3" t="s">
        <v>842</v>
      </c>
    </row>
    <row r="442" spans="1:7" x14ac:dyDescent="0.25">
      <c r="A442" t="s">
        <v>1088</v>
      </c>
      <c r="B442" s="3">
        <v>28598.2</v>
      </c>
      <c r="C442" s="3">
        <v>11575</v>
      </c>
      <c r="D442" s="72">
        <v>43080</v>
      </c>
      <c r="E442" s="73" t="s">
        <v>1089</v>
      </c>
    </row>
    <row r="443" spans="1:7" x14ac:dyDescent="0.25">
      <c r="C443" s="3">
        <v>6363</v>
      </c>
      <c r="D443" s="72">
        <v>43081</v>
      </c>
      <c r="E443" s="3" t="s">
        <v>1090</v>
      </c>
    </row>
    <row r="444" spans="1:7" x14ac:dyDescent="0.25">
      <c r="B444" s="3">
        <f>SUM(B439:B443)</f>
        <v>468334.2</v>
      </c>
      <c r="C444" s="3">
        <f>SUM(C439:C443)</f>
        <v>629829.4</v>
      </c>
      <c r="E444" s="51">
        <f>C444-B444</f>
        <v>161495.20000000001</v>
      </c>
      <c r="F444" s="72">
        <v>43082</v>
      </c>
      <c r="G444" s="72">
        <v>43082</v>
      </c>
    </row>
    <row r="446" spans="1:7" x14ac:dyDescent="0.25">
      <c r="A446" t="s">
        <v>1091</v>
      </c>
      <c r="B446" s="3">
        <v>507744</v>
      </c>
      <c r="C446" s="3">
        <v>253000</v>
      </c>
      <c r="D446" s="72">
        <v>43083</v>
      </c>
      <c r="E446" s="3" t="s">
        <v>846</v>
      </c>
    </row>
    <row r="447" spans="1:7" x14ac:dyDescent="0.25">
      <c r="C447" s="3">
        <v>26274</v>
      </c>
      <c r="D447" s="72">
        <v>43084</v>
      </c>
    </row>
    <row r="448" spans="1:7" x14ac:dyDescent="0.25">
      <c r="C448" s="3">
        <v>5975</v>
      </c>
      <c r="D448" s="72">
        <v>43082</v>
      </c>
      <c r="E448" s="3" t="s">
        <v>1092</v>
      </c>
    </row>
    <row r="449" spans="1:7" x14ac:dyDescent="0.25">
      <c r="C449" s="3">
        <v>61000</v>
      </c>
      <c r="D449" s="72">
        <v>43083</v>
      </c>
    </row>
    <row r="450" spans="1:7" x14ac:dyDescent="0.25">
      <c r="C450" s="51">
        <v>161495.20000000001</v>
      </c>
      <c r="D450" s="72">
        <v>43082</v>
      </c>
      <c r="E450" s="3" t="s">
        <v>842</v>
      </c>
    </row>
    <row r="451" spans="1:7" x14ac:dyDescent="0.25">
      <c r="B451" s="3">
        <f>SUM(B446:B450)</f>
        <v>507744</v>
      </c>
      <c r="C451" s="3">
        <f>SUM(C446:C450)</f>
        <v>507744.2</v>
      </c>
      <c r="E451" s="3">
        <f>C451-B451</f>
        <v>0.20000000001164153</v>
      </c>
      <c r="F451" s="72">
        <v>43083</v>
      </c>
      <c r="G451" s="72">
        <v>43084</v>
      </c>
    </row>
    <row r="453" spans="1:7" x14ac:dyDescent="0.25">
      <c r="A453" t="s">
        <v>1093</v>
      </c>
      <c r="B453" s="3">
        <v>392958</v>
      </c>
      <c r="C453" s="3">
        <v>402000</v>
      </c>
      <c r="D453" s="72">
        <v>43084</v>
      </c>
      <c r="E453" s="3" t="s">
        <v>846</v>
      </c>
    </row>
    <row r="454" spans="1:7" x14ac:dyDescent="0.25">
      <c r="B454" s="3">
        <f>SUM(B453)</f>
        <v>392958</v>
      </c>
      <c r="C454" s="3">
        <f>SUM(C453)</f>
        <v>402000</v>
      </c>
      <c r="E454" s="90">
        <f>C454-B454</f>
        <v>9042</v>
      </c>
      <c r="F454" s="72">
        <v>43084</v>
      </c>
      <c r="G454" s="72">
        <v>43084</v>
      </c>
    </row>
    <row r="456" spans="1:7" x14ac:dyDescent="0.25">
      <c r="A456" t="s">
        <v>1094</v>
      </c>
      <c r="B456" s="3">
        <v>427458</v>
      </c>
      <c r="C456" s="3">
        <v>457000</v>
      </c>
      <c r="D456" s="72">
        <v>43085</v>
      </c>
      <c r="E456" s="3" t="s">
        <v>846</v>
      </c>
    </row>
    <row r="457" spans="1:7" x14ac:dyDescent="0.25">
      <c r="A457" t="s">
        <v>1095</v>
      </c>
      <c r="B457" s="3">
        <v>33872.300000000003</v>
      </c>
      <c r="C457" s="3">
        <v>10814</v>
      </c>
      <c r="D457" s="72">
        <v>43084</v>
      </c>
      <c r="E457" s="3" t="s">
        <v>1096</v>
      </c>
    </row>
    <row r="458" spans="1:7" x14ac:dyDescent="0.25">
      <c r="B458" s="3">
        <f>SUM(B456:B457)</f>
        <v>461330.3</v>
      </c>
      <c r="C458" s="3">
        <f>SUM(C456:C457)</f>
        <v>467814</v>
      </c>
      <c r="E458" s="95">
        <f>C458-B458</f>
        <v>6483.7000000000116</v>
      </c>
      <c r="F458" s="72">
        <v>43087</v>
      </c>
      <c r="G458" s="72">
        <v>43084</v>
      </c>
    </row>
    <row r="459" spans="1:7" x14ac:dyDescent="0.25">
      <c r="F459" s="72"/>
      <c r="G459" s="72"/>
    </row>
    <row r="460" spans="1:7" x14ac:dyDescent="0.25">
      <c r="A460" t="s">
        <v>1097</v>
      </c>
      <c r="B460" s="3">
        <v>44084.1</v>
      </c>
      <c r="C460" s="3">
        <v>500000</v>
      </c>
      <c r="D460" s="72">
        <v>43089</v>
      </c>
      <c r="E460" s="3" t="s">
        <v>846</v>
      </c>
    </row>
    <row r="461" spans="1:7" x14ac:dyDescent="0.25">
      <c r="A461" t="s">
        <v>1098</v>
      </c>
      <c r="B461" s="3">
        <v>37456.800000000003</v>
      </c>
      <c r="C461" s="3">
        <v>437000</v>
      </c>
      <c r="D461" s="72">
        <v>43089</v>
      </c>
      <c r="E461" s="3" t="s">
        <v>846</v>
      </c>
    </row>
    <row r="462" spans="1:7" x14ac:dyDescent="0.25">
      <c r="A462" t="s">
        <v>1099</v>
      </c>
      <c r="B462" s="3">
        <v>450378</v>
      </c>
      <c r="C462" s="3">
        <v>4676</v>
      </c>
      <c r="D462" s="72">
        <v>43087</v>
      </c>
      <c r="E462" s="3" t="s">
        <v>1100</v>
      </c>
    </row>
    <row r="463" spans="1:7" x14ac:dyDescent="0.25">
      <c r="A463" t="s">
        <v>1101</v>
      </c>
      <c r="B463" s="3">
        <v>410496</v>
      </c>
      <c r="C463" s="3">
        <v>739</v>
      </c>
      <c r="D463" s="72">
        <v>43089</v>
      </c>
      <c r="E463" s="3" t="s">
        <v>849</v>
      </c>
    </row>
    <row r="464" spans="1:7" x14ac:dyDescent="0.25">
      <c r="B464" s="3">
        <f>SUM(B460:B463)</f>
        <v>942414.9</v>
      </c>
      <c r="C464" s="3">
        <f>SUM(C460:C463)</f>
        <v>942415</v>
      </c>
      <c r="E464" s="3">
        <f>C464-B464</f>
        <v>9.9999999976716936E-2</v>
      </c>
      <c r="F464" s="72">
        <v>43089</v>
      </c>
      <c r="G464" s="72">
        <v>43090</v>
      </c>
    </row>
    <row r="466" spans="1:7" x14ac:dyDescent="0.25">
      <c r="A466" t="s">
        <v>1102</v>
      </c>
      <c r="B466" s="3">
        <v>386304</v>
      </c>
      <c r="C466" s="3">
        <v>451000</v>
      </c>
      <c r="D466" s="72">
        <v>43090</v>
      </c>
      <c r="E466" s="3" t="s">
        <v>846</v>
      </c>
    </row>
    <row r="467" spans="1:7" x14ac:dyDescent="0.25">
      <c r="B467" s="3">
        <f>SUM(B466)</f>
        <v>386304</v>
      </c>
      <c r="C467" s="3">
        <f>SUM(C466)</f>
        <v>451000</v>
      </c>
      <c r="E467" s="75">
        <f>C467-B467</f>
        <v>64696</v>
      </c>
      <c r="F467" s="72">
        <v>43090</v>
      </c>
      <c r="G467" s="72">
        <v>43091</v>
      </c>
    </row>
    <row r="469" spans="1:7" x14ac:dyDescent="0.25">
      <c r="A469" t="s">
        <v>1103</v>
      </c>
      <c r="B469" s="3">
        <v>437016</v>
      </c>
      <c r="C469" s="3">
        <v>8921</v>
      </c>
      <c r="D469" s="72">
        <v>43089</v>
      </c>
      <c r="E469" s="3" t="s">
        <v>1104</v>
      </c>
    </row>
    <row r="470" spans="1:7" x14ac:dyDescent="0.25">
      <c r="C470" s="3">
        <v>11934</v>
      </c>
      <c r="D470" s="72">
        <v>43091</v>
      </c>
      <c r="E470" s="3" t="s">
        <v>1105</v>
      </c>
    </row>
    <row r="471" spans="1:7" x14ac:dyDescent="0.25">
      <c r="C471" s="3">
        <v>24853</v>
      </c>
      <c r="D471" s="72">
        <v>43090</v>
      </c>
      <c r="E471" s="3" t="s">
        <v>1106</v>
      </c>
    </row>
    <row r="472" spans="1:7" x14ac:dyDescent="0.25">
      <c r="C472" s="3">
        <v>100088</v>
      </c>
      <c r="D472" s="72">
        <v>43090</v>
      </c>
      <c r="E472" s="3" t="s">
        <v>1107</v>
      </c>
    </row>
    <row r="473" spans="1:7" x14ac:dyDescent="0.25">
      <c r="C473" s="3">
        <v>93510</v>
      </c>
      <c r="E473" s="3" t="s">
        <v>1108</v>
      </c>
    </row>
    <row r="474" spans="1:7" x14ac:dyDescent="0.25">
      <c r="C474" s="3">
        <v>31360</v>
      </c>
      <c r="D474" s="72">
        <v>43091</v>
      </c>
      <c r="E474" s="3" t="s">
        <v>1109</v>
      </c>
    </row>
    <row r="475" spans="1:7" x14ac:dyDescent="0.25">
      <c r="C475" s="3">
        <v>11357</v>
      </c>
      <c r="D475" s="72">
        <v>43088</v>
      </c>
      <c r="E475" s="3" t="s">
        <v>1110</v>
      </c>
    </row>
    <row r="476" spans="1:7" x14ac:dyDescent="0.25">
      <c r="C476" s="3">
        <v>4738</v>
      </c>
      <c r="D476" s="72">
        <v>43085</v>
      </c>
      <c r="E476" s="3" t="s">
        <v>1111</v>
      </c>
    </row>
    <row r="477" spans="1:7" x14ac:dyDescent="0.25">
      <c r="C477" s="3">
        <v>8064</v>
      </c>
      <c r="D477" s="72">
        <v>43090</v>
      </c>
      <c r="E477" s="3" t="s">
        <v>1112</v>
      </c>
    </row>
    <row r="478" spans="1:7" x14ac:dyDescent="0.25">
      <c r="C478" s="3">
        <v>42020</v>
      </c>
      <c r="D478" s="72">
        <v>43090</v>
      </c>
      <c r="E478" s="3" t="s">
        <v>842</v>
      </c>
    </row>
    <row r="479" spans="1:7" x14ac:dyDescent="0.25">
      <c r="C479" s="95">
        <v>6483.7</v>
      </c>
      <c r="D479" s="72">
        <v>43084</v>
      </c>
      <c r="E479" s="3" t="s">
        <v>842</v>
      </c>
    </row>
    <row r="480" spans="1:7" x14ac:dyDescent="0.25">
      <c r="C480" s="75">
        <v>64696</v>
      </c>
      <c r="D480" s="72">
        <v>43090</v>
      </c>
      <c r="E480" s="3" t="s">
        <v>842</v>
      </c>
    </row>
    <row r="481" spans="1:7" x14ac:dyDescent="0.25">
      <c r="C481" s="90">
        <v>9042</v>
      </c>
      <c r="D481" s="72">
        <v>43084</v>
      </c>
      <c r="E481" s="3" t="s">
        <v>842</v>
      </c>
    </row>
    <row r="482" spans="1:7" x14ac:dyDescent="0.25">
      <c r="C482" s="3">
        <v>46000</v>
      </c>
      <c r="D482" s="72">
        <v>43090</v>
      </c>
    </row>
    <row r="483" spans="1:7" x14ac:dyDescent="0.25">
      <c r="C483" s="3">
        <v>28250</v>
      </c>
      <c r="D483" s="72">
        <v>43090</v>
      </c>
    </row>
    <row r="484" spans="1:7" x14ac:dyDescent="0.25">
      <c r="B484" s="3">
        <f>SUM(B469:B483)</f>
        <v>437016</v>
      </c>
      <c r="C484" s="3">
        <f>SUM(C469:C483)</f>
        <v>491316.7</v>
      </c>
      <c r="E484" s="54">
        <f>C484-B484</f>
        <v>54300.700000000012</v>
      </c>
      <c r="F484" s="72">
        <v>43092</v>
      </c>
      <c r="G484" s="72">
        <v>43092</v>
      </c>
    </row>
    <row r="486" spans="1:7" x14ac:dyDescent="0.25">
      <c r="A486" t="s">
        <v>1113</v>
      </c>
      <c r="B486" s="3">
        <v>61694.5</v>
      </c>
      <c r="C486" s="3">
        <v>500000</v>
      </c>
      <c r="D486" s="72">
        <v>43095</v>
      </c>
      <c r="E486" s="3" t="s">
        <v>846</v>
      </c>
    </row>
    <row r="487" spans="1:7" x14ac:dyDescent="0.25">
      <c r="A487" t="s">
        <v>1114</v>
      </c>
      <c r="B487" s="3">
        <v>423844</v>
      </c>
      <c r="C487" s="3">
        <v>460000</v>
      </c>
      <c r="D487" s="72">
        <v>43095</v>
      </c>
      <c r="E487" s="3" t="s">
        <v>846</v>
      </c>
    </row>
    <row r="488" spans="1:7" x14ac:dyDescent="0.25">
      <c r="A488" t="s">
        <v>1115</v>
      </c>
      <c r="B488" s="3">
        <v>750329</v>
      </c>
      <c r="C488" s="54">
        <v>384352</v>
      </c>
      <c r="D488" s="72">
        <v>43092</v>
      </c>
      <c r="E488" s="3" t="s">
        <v>842</v>
      </c>
      <c r="F488" t="s">
        <v>1116</v>
      </c>
    </row>
    <row r="489" spans="1:7" x14ac:dyDescent="0.25">
      <c r="C489" s="54">
        <v>54300.7</v>
      </c>
      <c r="D489" s="72">
        <v>43092</v>
      </c>
      <c r="E489" s="3" t="s">
        <v>842</v>
      </c>
    </row>
    <row r="490" spans="1:7" x14ac:dyDescent="0.25">
      <c r="C490" s="3">
        <v>6435</v>
      </c>
      <c r="D490" s="72">
        <v>43095</v>
      </c>
      <c r="E490" s="3" t="s">
        <v>1117</v>
      </c>
    </row>
    <row r="491" spans="1:7" x14ac:dyDescent="0.25">
      <c r="C491" s="3">
        <v>7647</v>
      </c>
      <c r="D491" s="72">
        <v>43095</v>
      </c>
      <c r="E491" s="3" t="s">
        <v>1118</v>
      </c>
    </row>
    <row r="492" spans="1:7" x14ac:dyDescent="0.25">
      <c r="C492" s="3">
        <v>9341</v>
      </c>
      <c r="D492" s="72">
        <v>43092</v>
      </c>
      <c r="E492" s="3" t="s">
        <v>1119</v>
      </c>
    </row>
    <row r="493" spans="1:7" x14ac:dyDescent="0.25">
      <c r="B493" s="3">
        <f>SUM(B486:B490)</f>
        <v>1235867.5</v>
      </c>
      <c r="C493" s="3">
        <f>SUM(C486:C492)</f>
        <v>1422075.7</v>
      </c>
      <c r="E493" s="51">
        <f>C493-B493</f>
        <v>186208.19999999995</v>
      </c>
      <c r="F493" s="72">
        <v>43095</v>
      </c>
      <c r="G493" s="72">
        <v>43096</v>
      </c>
    </row>
    <row r="495" spans="1:7" x14ac:dyDescent="0.25">
      <c r="A495" t="s">
        <v>1120</v>
      </c>
      <c r="B495" s="3">
        <v>7361.2</v>
      </c>
      <c r="C495" s="3">
        <v>663000</v>
      </c>
      <c r="D495" s="72">
        <v>43097</v>
      </c>
      <c r="E495" s="3" t="s">
        <v>846</v>
      </c>
    </row>
    <row r="496" spans="1:7" x14ac:dyDescent="0.25">
      <c r="A496" t="s">
        <v>1121</v>
      </c>
      <c r="B496" s="3">
        <v>715139</v>
      </c>
      <c r="C496" s="51">
        <v>186208.2</v>
      </c>
      <c r="D496" s="72">
        <v>43095</v>
      </c>
      <c r="E496" s="3" t="s">
        <v>842</v>
      </c>
    </row>
    <row r="497" spans="1:7" x14ac:dyDescent="0.25">
      <c r="C497" s="3">
        <v>13832</v>
      </c>
      <c r="D497" s="72">
        <v>43093</v>
      </c>
      <c r="E497" s="3" t="s">
        <v>1122</v>
      </c>
    </row>
    <row r="498" spans="1:7" x14ac:dyDescent="0.25">
      <c r="C498" s="3">
        <v>12878</v>
      </c>
      <c r="D498" s="72">
        <v>43096</v>
      </c>
      <c r="E498" s="3" t="s">
        <v>1123</v>
      </c>
    </row>
    <row r="499" spans="1:7" x14ac:dyDescent="0.25">
      <c r="C499" s="3">
        <v>8714</v>
      </c>
      <c r="D499" s="72">
        <v>43096</v>
      </c>
      <c r="E499" s="3" t="s">
        <v>1124</v>
      </c>
    </row>
    <row r="500" spans="1:7" x14ac:dyDescent="0.25">
      <c r="C500" s="3">
        <v>21112</v>
      </c>
      <c r="D500" s="72">
        <v>43097</v>
      </c>
      <c r="E500" s="3" t="s">
        <v>1125</v>
      </c>
    </row>
    <row r="501" spans="1:7" x14ac:dyDescent="0.25">
      <c r="B501" s="3">
        <f>SUM(B495:B500)</f>
        <v>722500.2</v>
      </c>
      <c r="C501" s="3">
        <f>SUM(C495:C500)</f>
        <v>905744.2</v>
      </c>
      <c r="E501" s="50">
        <f>C501-B501</f>
        <v>183244</v>
      </c>
      <c r="F501" s="72">
        <v>43097</v>
      </c>
      <c r="G501" s="72">
        <v>43098</v>
      </c>
    </row>
    <row r="503" spans="1:7" x14ac:dyDescent="0.25">
      <c r="C503" s="3">
        <v>611000</v>
      </c>
      <c r="D503" s="72">
        <v>43463</v>
      </c>
      <c r="E503" s="3" t="s">
        <v>846</v>
      </c>
    </row>
    <row r="504" spans="1:7" x14ac:dyDescent="0.25">
      <c r="B504" s="3">
        <v>809884</v>
      </c>
      <c r="C504" s="50">
        <v>183244</v>
      </c>
      <c r="D504" s="72">
        <v>43097</v>
      </c>
      <c r="E504" s="3" t="s">
        <v>842</v>
      </c>
    </row>
    <row r="505" spans="1:7" x14ac:dyDescent="0.25">
      <c r="C505" s="3">
        <v>14300.3</v>
      </c>
    </row>
    <row r="506" spans="1:7" x14ac:dyDescent="0.25">
      <c r="C506" s="3">
        <v>1339.4</v>
      </c>
    </row>
    <row r="507" spans="1:7" x14ac:dyDescent="0.25">
      <c r="B507" s="3">
        <f>SUM(B503:B506)</f>
        <v>809884</v>
      </c>
      <c r="C507" s="3">
        <f>SUM(C503:C506)</f>
        <v>809883.70000000007</v>
      </c>
      <c r="E507" s="50">
        <f>C507-B507</f>
        <v>-0.29999999993015081</v>
      </c>
      <c r="F507" s="72">
        <v>43098</v>
      </c>
      <c r="G507" s="72">
        <v>43464</v>
      </c>
    </row>
    <row r="511" spans="1:7" x14ac:dyDescent="0.25">
      <c r="A511" t="s">
        <v>1126</v>
      </c>
      <c r="B511" s="3">
        <v>31646.19</v>
      </c>
      <c r="C511" s="3">
        <v>489000</v>
      </c>
      <c r="D511" s="72">
        <v>43099</v>
      </c>
      <c r="E511" s="3" t="s">
        <v>846</v>
      </c>
    </row>
    <row r="512" spans="1:7" x14ac:dyDescent="0.25">
      <c r="A512" t="s">
        <v>1127</v>
      </c>
      <c r="B512" s="3">
        <v>62073.8</v>
      </c>
    </row>
    <row r="513" spans="1:7" x14ac:dyDescent="0.25">
      <c r="B513" s="3">
        <f>SUM(B511:B512)</f>
        <v>93719.99</v>
      </c>
      <c r="C513" s="3">
        <f>SUM(C511:C512)</f>
        <v>489000</v>
      </c>
      <c r="E513" s="83">
        <f>C513-B513</f>
        <v>395280.01</v>
      </c>
      <c r="F513" s="72">
        <v>43099</v>
      </c>
      <c r="G513" s="72">
        <v>43103</v>
      </c>
    </row>
    <row r="515" spans="1:7" x14ac:dyDescent="0.25">
      <c r="A515" t="s">
        <v>1128</v>
      </c>
      <c r="B515" s="3">
        <v>22052.400000000001</v>
      </c>
      <c r="C515" s="3">
        <v>400000</v>
      </c>
      <c r="D515" s="72">
        <v>43103</v>
      </c>
      <c r="E515" s="3" t="s">
        <v>846</v>
      </c>
    </row>
    <row r="516" spans="1:7" x14ac:dyDescent="0.25">
      <c r="A516" t="s">
        <v>1129</v>
      </c>
      <c r="B516" s="3">
        <v>17796.63</v>
      </c>
      <c r="C516" s="3">
        <v>450000</v>
      </c>
      <c r="D516" s="72">
        <v>43103</v>
      </c>
      <c r="E516" s="3" t="s">
        <v>846</v>
      </c>
    </row>
    <row r="517" spans="1:7" x14ac:dyDescent="0.25">
      <c r="A517" t="s">
        <v>1130</v>
      </c>
      <c r="B517" s="3">
        <v>779864.5</v>
      </c>
      <c r="C517" s="3">
        <v>455000</v>
      </c>
      <c r="D517" s="72">
        <v>43103</v>
      </c>
      <c r="E517" s="3" t="s">
        <v>846</v>
      </c>
    </row>
    <row r="518" spans="1:7" x14ac:dyDescent="0.25">
      <c r="A518" t="s">
        <v>1131</v>
      </c>
      <c r="B518" s="3">
        <v>667527</v>
      </c>
      <c r="C518" s="83">
        <v>395280</v>
      </c>
      <c r="D518" s="72">
        <v>43099</v>
      </c>
      <c r="E518" s="3" t="s">
        <v>842</v>
      </c>
    </row>
    <row r="519" spans="1:7" x14ac:dyDescent="0.25">
      <c r="A519" t="s">
        <v>1132</v>
      </c>
      <c r="B519" s="3">
        <v>346800</v>
      </c>
      <c r="C519" s="3">
        <v>167951</v>
      </c>
      <c r="D519" s="72">
        <v>43098</v>
      </c>
      <c r="E519" s="3" t="s">
        <v>1133</v>
      </c>
    </row>
    <row r="520" spans="1:7" x14ac:dyDescent="0.25">
      <c r="C520" s="3">
        <v>13038</v>
      </c>
      <c r="D520" s="72">
        <v>43099</v>
      </c>
      <c r="E520" s="3" t="s">
        <v>1134</v>
      </c>
    </row>
    <row r="521" spans="1:7" x14ac:dyDescent="0.25">
      <c r="C521" s="3">
        <v>2073</v>
      </c>
      <c r="D521" s="72">
        <v>43099</v>
      </c>
      <c r="E521" s="3" t="s">
        <v>1135</v>
      </c>
    </row>
    <row r="522" spans="1:7" x14ac:dyDescent="0.25">
      <c r="B522" s="3">
        <f>SUM(B515:B521)</f>
        <v>1834040.53</v>
      </c>
      <c r="C522" s="3">
        <f>SUM(C515:C521)</f>
        <v>1883342</v>
      </c>
      <c r="E522" s="96">
        <f>C522-B522</f>
        <v>49301.469999999972</v>
      </c>
      <c r="F522" s="72">
        <v>43103</v>
      </c>
      <c r="G522" s="72">
        <v>43105</v>
      </c>
    </row>
    <row r="524" spans="1:7" x14ac:dyDescent="0.25">
      <c r="A524" t="s">
        <v>1136</v>
      </c>
      <c r="B524" s="3">
        <v>407924</v>
      </c>
      <c r="C524" s="3">
        <v>500000</v>
      </c>
      <c r="D524" s="72">
        <v>43106</v>
      </c>
      <c r="E524" s="3" t="s">
        <v>941</v>
      </c>
    </row>
    <row r="525" spans="1:7" x14ac:dyDescent="0.25">
      <c r="A525" t="s">
        <v>1137</v>
      </c>
      <c r="B525" s="3">
        <v>444800</v>
      </c>
      <c r="C525" s="3">
        <v>534000</v>
      </c>
      <c r="D525" s="72">
        <v>43106</v>
      </c>
      <c r="E525" s="3" t="s">
        <v>941</v>
      </c>
    </row>
    <row r="526" spans="1:7" x14ac:dyDescent="0.25">
      <c r="B526" s="3">
        <f>SUM(B524:B525)</f>
        <v>852724</v>
      </c>
      <c r="C526" s="3">
        <f>SUM(C524:C525)</f>
        <v>1034000</v>
      </c>
      <c r="E526" s="92">
        <f>C526-B526</f>
        <v>181276</v>
      </c>
      <c r="F526" s="72">
        <v>43106</v>
      </c>
      <c r="G526" s="72">
        <v>43106</v>
      </c>
    </row>
    <row r="528" spans="1:7" x14ac:dyDescent="0.25">
      <c r="A528" t="s">
        <v>1138</v>
      </c>
      <c r="B528" s="3">
        <v>420800</v>
      </c>
      <c r="C528" s="3">
        <v>89000</v>
      </c>
      <c r="D528" s="72">
        <v>43102</v>
      </c>
    </row>
    <row r="529" spans="1:16" x14ac:dyDescent="0.25">
      <c r="C529" s="92">
        <v>181276</v>
      </c>
      <c r="D529" s="72">
        <v>43106</v>
      </c>
      <c r="E529" s="3" t="s">
        <v>842</v>
      </c>
    </row>
    <row r="530" spans="1:16" x14ac:dyDescent="0.25">
      <c r="C530" s="3">
        <v>5734</v>
      </c>
      <c r="D530" s="72">
        <v>43102</v>
      </c>
      <c r="E530" s="3" t="s">
        <v>1139</v>
      </c>
    </row>
    <row r="531" spans="1:16" x14ac:dyDescent="0.25">
      <c r="C531" s="3">
        <v>24940</v>
      </c>
      <c r="D531" s="72">
        <v>43106</v>
      </c>
      <c r="E531" s="3" t="s">
        <v>1140</v>
      </c>
    </row>
    <row r="532" spans="1:16" x14ac:dyDescent="0.25">
      <c r="C532" s="3">
        <v>28080</v>
      </c>
      <c r="D532" t="s">
        <v>1141</v>
      </c>
      <c r="E532" s="3" t="s">
        <v>1142</v>
      </c>
    </row>
    <row r="533" spans="1:16" x14ac:dyDescent="0.25">
      <c r="C533" s="3">
        <v>54559</v>
      </c>
      <c r="D533" s="72">
        <v>43106</v>
      </c>
      <c r="E533" s="3" t="s">
        <v>1143</v>
      </c>
    </row>
    <row r="534" spans="1:16" x14ac:dyDescent="0.25">
      <c r="C534" s="3">
        <v>28366</v>
      </c>
      <c r="D534" s="72">
        <v>43104</v>
      </c>
      <c r="E534" s="3" t="s">
        <v>1144</v>
      </c>
    </row>
    <row r="535" spans="1:16" x14ac:dyDescent="0.25">
      <c r="C535" s="3">
        <v>45888</v>
      </c>
      <c r="D535" s="72">
        <v>43106</v>
      </c>
      <c r="E535" s="3" t="s">
        <v>1145</v>
      </c>
    </row>
    <row r="536" spans="1:16" x14ac:dyDescent="0.25">
      <c r="C536" s="3">
        <v>6384</v>
      </c>
      <c r="D536" s="72">
        <v>43105</v>
      </c>
      <c r="E536" s="3" t="s">
        <v>1146</v>
      </c>
    </row>
    <row r="537" spans="1:16" x14ac:dyDescent="0.25">
      <c r="B537" s="3">
        <f>SUM(B528:B536)</f>
        <v>420800</v>
      </c>
      <c r="C537" s="3">
        <f>SUM(C528:C536)</f>
        <v>464227</v>
      </c>
      <c r="E537" s="86">
        <f>C537-B537</f>
        <v>43427</v>
      </c>
      <c r="F537" s="72">
        <v>43106</v>
      </c>
      <c r="G537" s="72">
        <v>43106</v>
      </c>
    </row>
    <row r="539" spans="1:16" x14ac:dyDescent="0.25">
      <c r="A539" t="s">
        <v>1147</v>
      </c>
      <c r="B539" s="3">
        <v>247845</v>
      </c>
      <c r="C539" s="3">
        <v>458000</v>
      </c>
      <c r="D539" s="72">
        <v>43109</v>
      </c>
      <c r="E539" s="3" t="s">
        <v>846</v>
      </c>
    </row>
    <row r="540" spans="1:16" x14ac:dyDescent="0.25">
      <c r="A540" t="s">
        <v>1148</v>
      </c>
      <c r="B540" s="3">
        <v>495200</v>
      </c>
      <c r="C540" s="3">
        <v>500000</v>
      </c>
      <c r="D540" s="72">
        <v>43109</v>
      </c>
      <c r="E540" s="3" t="s">
        <v>846</v>
      </c>
    </row>
    <row r="541" spans="1:16" x14ac:dyDescent="0.25">
      <c r="A541" t="s">
        <v>1149</v>
      </c>
      <c r="B541" s="3">
        <v>25734.400000000001</v>
      </c>
    </row>
    <row r="542" spans="1:16" x14ac:dyDescent="0.25">
      <c r="A542" t="s">
        <v>1150</v>
      </c>
      <c r="B542" s="3">
        <v>20927.7</v>
      </c>
    </row>
    <row r="543" spans="1:16" x14ac:dyDescent="0.25">
      <c r="B543" s="3">
        <f>SUM(B539:B542)</f>
        <v>789707.1</v>
      </c>
      <c r="C543" s="3">
        <f>SUM(C539:C542)</f>
        <v>958000</v>
      </c>
      <c r="E543" s="51">
        <f>C543-B543</f>
        <v>168292.90000000002</v>
      </c>
      <c r="F543" s="72">
        <v>43109</v>
      </c>
      <c r="G543" s="72">
        <v>43110</v>
      </c>
      <c r="I543" s="3">
        <v>168292.9</v>
      </c>
      <c r="J543" s="72">
        <v>43109</v>
      </c>
      <c r="K543" s="72">
        <v>43110</v>
      </c>
      <c r="L543" s="54">
        <v>72050</v>
      </c>
      <c r="M543" s="72">
        <v>43150</v>
      </c>
      <c r="N543" s="72">
        <v>43152</v>
      </c>
      <c r="O543" s="97">
        <f>I543-L543</f>
        <v>96242.9</v>
      </c>
      <c r="P543" s="72">
        <v>43271</v>
      </c>
    </row>
    <row r="545" spans="1:9" x14ac:dyDescent="0.25">
      <c r="A545" t="s">
        <v>1151</v>
      </c>
      <c r="B545" s="3">
        <v>44520</v>
      </c>
      <c r="C545" s="3">
        <v>253000</v>
      </c>
      <c r="D545" s="72">
        <v>43111</v>
      </c>
      <c r="E545" s="3" t="s">
        <v>846</v>
      </c>
    </row>
    <row r="546" spans="1:9" x14ac:dyDescent="0.25">
      <c r="A546" t="s">
        <v>1152</v>
      </c>
      <c r="B546" s="3">
        <v>9696.7999999999993</v>
      </c>
      <c r="C546" s="3">
        <v>460000</v>
      </c>
      <c r="D546" s="72">
        <v>43111</v>
      </c>
      <c r="E546" s="3" t="s">
        <v>846</v>
      </c>
    </row>
    <row r="547" spans="1:9" x14ac:dyDescent="0.25">
      <c r="A547" t="s">
        <v>1153</v>
      </c>
      <c r="B547" s="3">
        <v>34371.199999999997</v>
      </c>
    </row>
    <row r="548" spans="1:9" x14ac:dyDescent="0.25">
      <c r="A548" t="s">
        <v>1154</v>
      </c>
      <c r="B548" s="3">
        <v>274113</v>
      </c>
    </row>
    <row r="549" spans="1:9" x14ac:dyDescent="0.25">
      <c r="A549" t="s">
        <v>1155</v>
      </c>
      <c r="B549" s="3">
        <v>249148</v>
      </c>
    </row>
    <row r="550" spans="1:9" x14ac:dyDescent="0.25">
      <c r="B550" s="3">
        <f>SUM(B545:B549)</f>
        <v>611849</v>
      </c>
      <c r="C550" s="3">
        <f>SUM(C545:C549)</f>
        <v>713000</v>
      </c>
      <c r="E550" s="63">
        <f>C550-B550</f>
        <v>101151</v>
      </c>
      <c r="F550" s="72">
        <v>43112</v>
      </c>
      <c r="G550" s="72">
        <v>43112</v>
      </c>
    </row>
    <row r="551" spans="1:9" x14ac:dyDescent="0.25">
      <c r="H551" s="98" t="s">
        <v>1156</v>
      </c>
      <c r="I551" s="98"/>
    </row>
    <row r="552" spans="1:9" x14ac:dyDescent="0.25">
      <c r="A552" t="s">
        <v>1157</v>
      </c>
      <c r="B552" s="3">
        <v>461643</v>
      </c>
      <c r="C552" s="3">
        <v>500000</v>
      </c>
      <c r="D552" s="72">
        <v>43117</v>
      </c>
      <c r="E552" s="3" t="s">
        <v>846</v>
      </c>
    </row>
    <row r="553" spans="1:9" x14ac:dyDescent="0.25">
      <c r="A553" t="s">
        <v>1158</v>
      </c>
      <c r="B553" s="3">
        <v>331600</v>
      </c>
      <c r="C553" s="3">
        <v>437000</v>
      </c>
      <c r="D553" s="72">
        <v>43117</v>
      </c>
      <c r="E553" s="3" t="s">
        <v>846</v>
      </c>
    </row>
    <row r="554" spans="1:9" x14ac:dyDescent="0.25">
      <c r="B554" s="3">
        <f>SUM(B552:B553)</f>
        <v>793243</v>
      </c>
      <c r="C554" s="3">
        <f>SUM(C552:C553)</f>
        <v>937000</v>
      </c>
      <c r="E554" s="50">
        <f>C554-B554</f>
        <v>143757</v>
      </c>
      <c r="F554" s="72">
        <v>43117</v>
      </c>
      <c r="G554" s="72">
        <v>43117</v>
      </c>
    </row>
    <row r="556" spans="1:9" x14ac:dyDescent="0.25">
      <c r="A556" t="s">
        <v>1159</v>
      </c>
      <c r="B556" s="3">
        <v>251138</v>
      </c>
      <c r="C556" s="3">
        <v>235000</v>
      </c>
      <c r="D556" s="72">
        <v>43118</v>
      </c>
      <c r="E556" s="3" t="s">
        <v>846</v>
      </c>
    </row>
    <row r="557" spans="1:9" x14ac:dyDescent="0.25">
      <c r="C557" s="3">
        <v>16138</v>
      </c>
      <c r="D557" s="72">
        <v>43119</v>
      </c>
    </row>
    <row r="558" spans="1:9" x14ac:dyDescent="0.25">
      <c r="B558" s="3">
        <f>SUM(B556:B557)</f>
        <v>251138</v>
      </c>
      <c r="C558" s="3">
        <f>SUM(C556:C557)</f>
        <v>251138</v>
      </c>
      <c r="E558" s="3">
        <f>C558-B558</f>
        <v>0</v>
      </c>
      <c r="F558" s="72">
        <v>43118</v>
      </c>
      <c r="G558" s="72">
        <v>43120</v>
      </c>
    </row>
    <row r="560" spans="1:9" x14ac:dyDescent="0.25">
      <c r="A560" t="s">
        <v>1160</v>
      </c>
      <c r="B560" s="3">
        <v>8085</v>
      </c>
      <c r="C560" s="3">
        <v>720000</v>
      </c>
      <c r="D560" s="72">
        <v>43120</v>
      </c>
      <c r="E560" s="3" t="s">
        <v>846</v>
      </c>
    </row>
    <row r="561" spans="1:9" x14ac:dyDescent="0.25">
      <c r="A561" t="s">
        <v>1161</v>
      </c>
      <c r="B561" s="3">
        <v>513718</v>
      </c>
    </row>
    <row r="562" spans="1:9" x14ac:dyDescent="0.25">
      <c r="B562" s="3">
        <f>SUM(B560:B561)</f>
        <v>521803</v>
      </c>
      <c r="C562" s="3">
        <f>SUM(C560:C561)</f>
        <v>720000</v>
      </c>
      <c r="E562" s="50">
        <f>C562-B562</f>
        <v>198197</v>
      </c>
      <c r="F562" s="72">
        <v>43120</v>
      </c>
      <c r="G562" s="72">
        <v>43122</v>
      </c>
      <c r="I562" s="37" t="s">
        <v>1162</v>
      </c>
    </row>
    <row r="564" spans="1:9" x14ac:dyDescent="0.25">
      <c r="A564" t="s">
        <v>1163</v>
      </c>
      <c r="B564" s="3">
        <v>272630</v>
      </c>
      <c r="C564" s="3">
        <v>9335</v>
      </c>
      <c r="D564" s="72">
        <v>43122</v>
      </c>
      <c r="E564" s="3" t="s">
        <v>1164</v>
      </c>
    </row>
    <row r="565" spans="1:9" x14ac:dyDescent="0.25">
      <c r="A565" t="s">
        <v>1165</v>
      </c>
      <c r="B565" s="3">
        <v>482565</v>
      </c>
      <c r="C565" s="3">
        <v>5247</v>
      </c>
      <c r="D565" s="72">
        <v>43109</v>
      </c>
      <c r="E565" s="3" t="s">
        <v>1166</v>
      </c>
    </row>
    <row r="566" spans="1:9" x14ac:dyDescent="0.25">
      <c r="A566" t="s">
        <v>1167</v>
      </c>
      <c r="B566" s="3">
        <v>12654.6</v>
      </c>
      <c r="C566" s="3">
        <v>16288</v>
      </c>
      <c r="D566" s="72">
        <v>43108</v>
      </c>
      <c r="E566" s="3" t="s">
        <v>1168</v>
      </c>
    </row>
    <row r="567" spans="1:9" x14ac:dyDescent="0.25">
      <c r="C567" s="3">
        <v>8606</v>
      </c>
      <c r="D567" s="72">
        <v>43111</v>
      </c>
      <c r="E567" s="3" t="s">
        <v>1169</v>
      </c>
    </row>
    <row r="568" spans="1:9" x14ac:dyDescent="0.25">
      <c r="C568" s="3">
        <v>18163</v>
      </c>
      <c r="D568" s="72">
        <v>43109</v>
      </c>
      <c r="E568" s="3" t="s">
        <v>1170</v>
      </c>
    </row>
    <row r="569" spans="1:9" x14ac:dyDescent="0.25">
      <c r="C569" s="3">
        <v>4533</v>
      </c>
      <c r="D569" s="72">
        <v>43115</v>
      </c>
      <c r="E569" s="3" t="s">
        <v>1171</v>
      </c>
    </row>
    <row r="570" spans="1:9" x14ac:dyDescent="0.25">
      <c r="C570" s="3">
        <v>12068</v>
      </c>
      <c r="D570" s="72">
        <v>43113</v>
      </c>
      <c r="E570" s="3" t="s">
        <v>1172</v>
      </c>
    </row>
    <row r="571" spans="1:9" x14ac:dyDescent="0.25">
      <c r="C571" s="3">
        <v>5348</v>
      </c>
      <c r="D571" s="72">
        <v>43118</v>
      </c>
      <c r="E571" s="3" t="s">
        <v>1173</v>
      </c>
    </row>
    <row r="572" spans="1:9" x14ac:dyDescent="0.25">
      <c r="C572" s="3">
        <v>685000</v>
      </c>
      <c r="D572" s="72">
        <v>43123</v>
      </c>
      <c r="E572" s="3" t="s">
        <v>846</v>
      </c>
    </row>
    <row r="573" spans="1:9" x14ac:dyDescent="0.25">
      <c r="C573" s="3">
        <v>3262</v>
      </c>
      <c r="D573" s="72">
        <v>43123</v>
      </c>
      <c r="E573" s="3" t="s">
        <v>849</v>
      </c>
    </row>
    <row r="574" spans="1:9" x14ac:dyDescent="0.25">
      <c r="B574" s="3">
        <f>SUM(B564:B572)</f>
        <v>767849.6</v>
      </c>
      <c r="C574" s="3">
        <f>SUM(C564:C573)</f>
        <v>767850</v>
      </c>
      <c r="E574" s="3">
        <f>C574-B574</f>
        <v>0.40000000002328306</v>
      </c>
      <c r="F574" s="72">
        <v>43123</v>
      </c>
      <c r="G574" s="72">
        <v>43124</v>
      </c>
    </row>
    <row r="576" spans="1:9" x14ac:dyDescent="0.25">
      <c r="A576" t="s">
        <v>1174</v>
      </c>
      <c r="B576" s="3">
        <v>500286</v>
      </c>
      <c r="C576" s="3">
        <v>349000</v>
      </c>
      <c r="D576" s="72">
        <v>43127</v>
      </c>
      <c r="E576" s="3" t="s">
        <v>846</v>
      </c>
    </row>
    <row r="577" spans="1:7" x14ac:dyDescent="0.25">
      <c r="A577" t="s">
        <v>1175</v>
      </c>
      <c r="B577" s="3">
        <v>288152</v>
      </c>
      <c r="C577" s="3">
        <v>300000</v>
      </c>
      <c r="D577" s="72">
        <v>43127</v>
      </c>
      <c r="E577" s="3" t="s">
        <v>846</v>
      </c>
    </row>
    <row r="578" spans="1:7" x14ac:dyDescent="0.25">
      <c r="A578" t="s">
        <v>1176</v>
      </c>
      <c r="B578" s="3">
        <v>513022</v>
      </c>
      <c r="C578" s="3">
        <v>609000</v>
      </c>
      <c r="D578" s="72">
        <v>43125</v>
      </c>
      <c r="E578" s="3" t="s">
        <v>846</v>
      </c>
    </row>
    <row r="579" spans="1:7" x14ac:dyDescent="0.25">
      <c r="A579" t="s">
        <v>1177</v>
      </c>
      <c r="B579" s="3">
        <v>470436</v>
      </c>
      <c r="C579" s="3">
        <v>167000</v>
      </c>
      <c r="D579" s="72">
        <v>43125</v>
      </c>
      <c r="E579" s="3" t="s">
        <v>846</v>
      </c>
    </row>
    <row r="580" spans="1:7" x14ac:dyDescent="0.25">
      <c r="C580" s="3">
        <v>4114</v>
      </c>
      <c r="D580" s="72">
        <v>43126</v>
      </c>
      <c r="E580" s="3" t="s">
        <v>1178</v>
      </c>
    </row>
    <row r="581" spans="1:7" x14ac:dyDescent="0.25">
      <c r="C581" s="96">
        <v>49301.47</v>
      </c>
      <c r="D581" s="72">
        <v>43103</v>
      </c>
      <c r="E581" s="3" t="s">
        <v>842</v>
      </c>
    </row>
    <row r="582" spans="1:7" x14ac:dyDescent="0.25">
      <c r="C582" s="63">
        <v>101151</v>
      </c>
      <c r="D582" s="72">
        <v>43112</v>
      </c>
      <c r="E582" s="3" t="s">
        <v>842</v>
      </c>
    </row>
    <row r="583" spans="1:7" x14ac:dyDescent="0.25">
      <c r="C583" s="94">
        <v>42694</v>
      </c>
      <c r="D583" s="72">
        <v>43115</v>
      </c>
      <c r="E583" s="3" t="s">
        <v>842</v>
      </c>
    </row>
    <row r="584" spans="1:7" x14ac:dyDescent="0.25">
      <c r="C584" s="50">
        <v>143757</v>
      </c>
      <c r="D584" s="72">
        <v>43117</v>
      </c>
      <c r="E584" s="3" t="s">
        <v>842</v>
      </c>
    </row>
    <row r="585" spans="1:7" x14ac:dyDescent="0.25">
      <c r="C585" s="3">
        <v>11500</v>
      </c>
      <c r="D585" s="72">
        <v>43127</v>
      </c>
      <c r="E585" s="83" t="s">
        <v>849</v>
      </c>
    </row>
    <row r="586" spans="1:7" x14ac:dyDescent="0.25">
      <c r="B586" s="3">
        <f>SUM(B576:B585)</f>
        <v>1771896</v>
      </c>
      <c r="C586" s="3">
        <f>SUM(C576:C585)</f>
        <v>1777517.47</v>
      </c>
      <c r="E586" s="83">
        <f>C586-B586</f>
        <v>5621.4699999999721</v>
      </c>
      <c r="F586" s="72">
        <v>43127</v>
      </c>
      <c r="G586" s="72">
        <v>43131</v>
      </c>
    </row>
    <row r="588" spans="1:7" x14ac:dyDescent="0.25">
      <c r="A588" t="s">
        <v>1179</v>
      </c>
      <c r="B588" s="3">
        <v>484058</v>
      </c>
      <c r="C588" s="3">
        <v>661000</v>
      </c>
      <c r="D588" s="72">
        <v>43131</v>
      </c>
      <c r="E588" s="3" t="s">
        <v>846</v>
      </c>
    </row>
    <row r="589" spans="1:7" x14ac:dyDescent="0.25">
      <c r="A589" t="s">
        <v>1180</v>
      </c>
      <c r="B589" s="3">
        <v>240688</v>
      </c>
      <c r="C589" s="3">
        <v>50400</v>
      </c>
      <c r="D589" s="72">
        <v>43132</v>
      </c>
    </row>
    <row r="590" spans="1:7" x14ac:dyDescent="0.25">
      <c r="C590" s="3">
        <v>12958</v>
      </c>
      <c r="D590" s="72">
        <v>43130</v>
      </c>
      <c r="E590" s="3" t="s">
        <v>1181</v>
      </c>
    </row>
    <row r="591" spans="1:7" x14ac:dyDescent="0.25">
      <c r="C591" s="83">
        <v>5621.47</v>
      </c>
      <c r="D591" s="72">
        <v>43127</v>
      </c>
      <c r="E591" s="3" t="s">
        <v>842</v>
      </c>
    </row>
    <row r="592" spans="1:7" x14ac:dyDescent="0.25">
      <c r="B592" s="3">
        <f>SUM(B588:B591)</f>
        <v>724746</v>
      </c>
      <c r="C592" s="3">
        <f>SUM(C588:C591)</f>
        <v>729979.47</v>
      </c>
      <c r="E592" s="86">
        <f>C592-B592</f>
        <v>5233.4699999999721</v>
      </c>
      <c r="F592" s="72">
        <v>43132</v>
      </c>
      <c r="G592" s="72">
        <v>43132</v>
      </c>
    </row>
    <row r="594" spans="1:7" x14ac:dyDescent="0.25">
      <c r="A594" t="s">
        <v>1182</v>
      </c>
      <c r="B594" s="3">
        <v>13358.4</v>
      </c>
      <c r="C594" s="3">
        <v>649000</v>
      </c>
      <c r="D594" s="72">
        <v>43133</v>
      </c>
      <c r="E594" s="3" t="s">
        <v>846</v>
      </c>
      <c r="F594" t="s">
        <v>1183</v>
      </c>
    </row>
    <row r="595" spans="1:7" x14ac:dyDescent="0.25">
      <c r="A595" t="s">
        <v>1184</v>
      </c>
      <c r="B595" s="3">
        <v>17922.7</v>
      </c>
      <c r="C595" s="3">
        <v>462000</v>
      </c>
      <c r="D595" s="72">
        <v>43134</v>
      </c>
      <c r="E595" s="3" t="s">
        <v>846</v>
      </c>
    </row>
    <row r="596" spans="1:7" x14ac:dyDescent="0.25">
      <c r="A596" t="s">
        <v>1185</v>
      </c>
      <c r="B596" s="3">
        <v>468356</v>
      </c>
    </row>
    <row r="597" spans="1:7" x14ac:dyDescent="0.25">
      <c r="A597" t="s">
        <v>1186</v>
      </c>
      <c r="B597" s="3">
        <v>9525.6</v>
      </c>
    </row>
    <row r="598" spans="1:7" x14ac:dyDescent="0.25">
      <c r="A598" t="s">
        <v>1187</v>
      </c>
      <c r="B598" s="3">
        <v>441562.5</v>
      </c>
    </row>
    <row r="599" spans="1:7" x14ac:dyDescent="0.25">
      <c r="B599" s="3">
        <f>SUM(B594:B598)</f>
        <v>950725.2</v>
      </c>
      <c r="C599" s="3">
        <f>SUM(C594:C598)</f>
        <v>1111000</v>
      </c>
      <c r="E599" s="91">
        <f>C599-B599-E600</f>
        <v>144407.70000000004</v>
      </c>
      <c r="F599" s="72">
        <v>43133</v>
      </c>
      <c r="G599" s="72">
        <v>43134</v>
      </c>
    </row>
    <row r="600" spans="1:7" x14ac:dyDescent="0.25">
      <c r="E600" s="99">
        <v>15867.1</v>
      </c>
      <c r="F600" s="72">
        <v>43134</v>
      </c>
      <c r="G600" s="72">
        <v>43134</v>
      </c>
    </row>
    <row r="602" spans="1:7" x14ac:dyDescent="0.25">
      <c r="A602" t="s">
        <v>1188</v>
      </c>
      <c r="B602" s="3">
        <v>243202</v>
      </c>
      <c r="C602" s="91">
        <v>144407.70000000001</v>
      </c>
      <c r="D602" s="72">
        <v>43133</v>
      </c>
      <c r="E602" s="3" t="s">
        <v>842</v>
      </c>
    </row>
    <row r="603" spans="1:7" x14ac:dyDescent="0.25">
      <c r="A603" t="s">
        <v>1189</v>
      </c>
      <c r="B603" s="3">
        <v>48592.800000000003</v>
      </c>
      <c r="C603" s="86">
        <v>5233.47</v>
      </c>
      <c r="D603" s="72">
        <v>43132</v>
      </c>
      <c r="E603" s="3" t="s">
        <v>842</v>
      </c>
    </row>
    <row r="604" spans="1:7" x14ac:dyDescent="0.25">
      <c r="C604" s="99">
        <v>15867.1</v>
      </c>
      <c r="D604" s="72">
        <v>43134</v>
      </c>
      <c r="E604" s="3" t="s">
        <v>842</v>
      </c>
    </row>
    <row r="605" spans="1:7" x14ac:dyDescent="0.25">
      <c r="C605" s="3">
        <v>60924</v>
      </c>
      <c r="D605" s="72">
        <v>43137</v>
      </c>
    </row>
    <row r="606" spans="1:7" x14ac:dyDescent="0.25">
      <c r="C606" s="3">
        <v>31000</v>
      </c>
      <c r="D606" s="72">
        <v>43137</v>
      </c>
    </row>
    <row r="607" spans="1:7" x14ac:dyDescent="0.25">
      <c r="C607" s="3">
        <v>25605</v>
      </c>
      <c r="D607" s="72">
        <v>43134</v>
      </c>
      <c r="E607" s="3" t="s">
        <v>1190</v>
      </c>
    </row>
    <row r="608" spans="1:7" x14ac:dyDescent="0.25">
      <c r="C608" s="3">
        <v>8758</v>
      </c>
      <c r="D608" s="72">
        <v>43134</v>
      </c>
      <c r="E608" s="3" t="s">
        <v>1191</v>
      </c>
    </row>
    <row r="609" spans="1:7" x14ac:dyDescent="0.25">
      <c r="B609" s="3">
        <f>SUM(B602:B608)</f>
        <v>291794.8</v>
      </c>
      <c r="C609" s="3">
        <f>SUM(C602:C608)</f>
        <v>291795.27</v>
      </c>
      <c r="E609" s="3">
        <f>C609-B609</f>
        <v>0.47000000003026798</v>
      </c>
      <c r="F609" s="72">
        <v>43137</v>
      </c>
      <c r="G609" s="72">
        <v>43138</v>
      </c>
    </row>
    <row r="611" spans="1:7" x14ac:dyDescent="0.25">
      <c r="A611" t="s">
        <v>1192</v>
      </c>
      <c r="B611" s="3">
        <v>40078.800000000003</v>
      </c>
      <c r="C611" s="3">
        <v>530000</v>
      </c>
      <c r="D611" s="72">
        <v>43137</v>
      </c>
      <c r="E611" s="3" t="s">
        <v>846</v>
      </c>
    </row>
    <row r="612" spans="1:7" x14ac:dyDescent="0.25">
      <c r="A612" t="s">
        <v>1193</v>
      </c>
      <c r="B612" s="3">
        <v>443304</v>
      </c>
    </row>
    <row r="613" spans="1:7" x14ac:dyDescent="0.25">
      <c r="B613" s="3">
        <f>SUM(B611:B612)</f>
        <v>483382.8</v>
      </c>
      <c r="C613" s="3">
        <f>SUM(C611:C612)</f>
        <v>530000</v>
      </c>
      <c r="E613" s="50">
        <f>C613-B613</f>
        <v>46617.200000000012</v>
      </c>
      <c r="F613" s="72">
        <v>43137</v>
      </c>
      <c r="G613" s="72">
        <v>43138</v>
      </c>
    </row>
    <row r="615" spans="1:7" x14ac:dyDescent="0.25">
      <c r="A615" t="s">
        <v>1194</v>
      </c>
      <c r="B615" s="3">
        <v>70382.5</v>
      </c>
      <c r="C615" s="50">
        <v>46617.2</v>
      </c>
      <c r="D615" s="72">
        <v>43137</v>
      </c>
      <c r="E615" s="3" t="s">
        <v>842</v>
      </c>
    </row>
    <row r="616" spans="1:7" x14ac:dyDescent="0.25">
      <c r="C616" s="3">
        <v>5902</v>
      </c>
      <c r="D616" s="72">
        <v>43136</v>
      </c>
      <c r="E616" s="3" t="s">
        <v>1195</v>
      </c>
    </row>
    <row r="617" spans="1:7" x14ac:dyDescent="0.25">
      <c r="C617" s="3">
        <v>6854.4</v>
      </c>
      <c r="D617" s="72">
        <v>43137</v>
      </c>
      <c r="E617" s="3" t="s">
        <v>1196</v>
      </c>
    </row>
    <row r="618" spans="1:7" x14ac:dyDescent="0.25">
      <c r="C618" s="3">
        <v>11009</v>
      </c>
      <c r="D618" s="72">
        <v>43139</v>
      </c>
      <c r="E618" s="3" t="s">
        <v>849</v>
      </c>
    </row>
    <row r="619" spans="1:7" x14ac:dyDescent="0.25">
      <c r="B619" s="3">
        <f>SUM(B615:B618)</f>
        <v>70382.5</v>
      </c>
      <c r="C619" s="3">
        <f>SUM(C615:C618)</f>
        <v>70382.600000000006</v>
      </c>
      <c r="E619" s="3">
        <f>C619-B619</f>
        <v>0.10000000000582077</v>
      </c>
      <c r="F619" s="72">
        <v>43139</v>
      </c>
      <c r="G619" s="72">
        <v>43139</v>
      </c>
    </row>
    <row r="621" spans="1:7" x14ac:dyDescent="0.25">
      <c r="A621" t="s">
        <v>1197</v>
      </c>
      <c r="B621" s="3">
        <v>415638</v>
      </c>
      <c r="C621" s="3">
        <v>550000</v>
      </c>
      <c r="D621" s="72">
        <v>43139</v>
      </c>
      <c r="E621" s="3" t="s">
        <v>846</v>
      </c>
    </row>
    <row r="622" spans="1:7" x14ac:dyDescent="0.25">
      <c r="B622" s="3">
        <f>SUM(B621)</f>
        <v>415638</v>
      </c>
      <c r="C622" s="3">
        <f>SUM(C621)</f>
        <v>550000</v>
      </c>
      <c r="E622" s="100">
        <f>C622-B622</f>
        <v>134362</v>
      </c>
      <c r="F622" s="72">
        <v>43139</v>
      </c>
      <c r="G622" s="72">
        <v>43139</v>
      </c>
    </row>
    <row r="624" spans="1:7" x14ac:dyDescent="0.25">
      <c r="A624" t="s">
        <v>1198</v>
      </c>
      <c r="B624" s="3">
        <v>251550</v>
      </c>
      <c r="C624" s="3">
        <v>400000</v>
      </c>
      <c r="D624" s="72">
        <v>43140</v>
      </c>
      <c r="E624" s="3" t="s">
        <v>846</v>
      </c>
    </row>
    <row r="625" spans="1:17" x14ac:dyDescent="0.25">
      <c r="A625" t="s">
        <v>1199</v>
      </c>
      <c r="B625" s="3">
        <v>232673</v>
      </c>
      <c r="C625" s="100">
        <v>134362</v>
      </c>
      <c r="D625" s="72">
        <v>43139</v>
      </c>
      <c r="E625" s="3" t="s">
        <v>842</v>
      </c>
    </row>
    <row r="626" spans="1:17" x14ac:dyDescent="0.25">
      <c r="B626" s="3">
        <f>SUM(B624:B625)</f>
        <v>484223</v>
      </c>
      <c r="C626" s="3">
        <f>SUM(C624:C625)</f>
        <v>534362</v>
      </c>
      <c r="E626" s="83">
        <f>C626-B626</f>
        <v>50139</v>
      </c>
      <c r="F626" s="72">
        <v>43140</v>
      </c>
      <c r="G626" s="72">
        <v>43141</v>
      </c>
    </row>
    <row r="628" spans="1:17" x14ac:dyDescent="0.25">
      <c r="A628" t="s">
        <v>1200</v>
      </c>
      <c r="B628" s="3">
        <v>469044</v>
      </c>
      <c r="C628" s="3">
        <v>350000</v>
      </c>
      <c r="D628" s="72">
        <v>43141</v>
      </c>
      <c r="E628" s="3" t="s">
        <v>846</v>
      </c>
    </row>
    <row r="629" spans="1:17" x14ac:dyDescent="0.25">
      <c r="A629" t="s">
        <v>1201</v>
      </c>
      <c r="B629" s="3">
        <v>17852.400000000001</v>
      </c>
      <c r="C629" s="3">
        <v>47464</v>
      </c>
      <c r="D629" s="72">
        <v>43139</v>
      </c>
      <c r="E629" s="3" t="s">
        <v>1202</v>
      </c>
    </row>
    <row r="630" spans="1:17" x14ac:dyDescent="0.25">
      <c r="C630" s="83">
        <v>50139</v>
      </c>
      <c r="D630" s="72">
        <v>43140</v>
      </c>
      <c r="E630" s="3" t="s">
        <v>842</v>
      </c>
    </row>
    <row r="631" spans="1:17" x14ac:dyDescent="0.25">
      <c r="C631" s="3">
        <v>39293</v>
      </c>
      <c r="D631" s="72">
        <v>43141</v>
      </c>
      <c r="E631" s="3" t="s">
        <v>849</v>
      </c>
      <c r="L631" s="3"/>
      <c r="M631" s="72"/>
      <c r="N631" s="72"/>
      <c r="O631" s="3"/>
      <c r="P631" s="72"/>
      <c r="Q631" s="72"/>
    </row>
    <row r="632" spans="1:17" x14ac:dyDescent="0.25">
      <c r="B632" s="3">
        <f>SUM(B628:B629)</f>
        <v>486896.4</v>
      </c>
      <c r="C632" s="3">
        <f>SUM(C628:C631)</f>
        <v>486896</v>
      </c>
      <c r="E632" s="3">
        <f>C632-B632</f>
        <v>-0.40000000002328306</v>
      </c>
      <c r="F632" s="72">
        <v>43141</v>
      </c>
      <c r="G632" s="72">
        <v>43141</v>
      </c>
      <c r="L632" s="3"/>
      <c r="M632" s="72"/>
      <c r="N632" s="72"/>
    </row>
    <row r="633" spans="1:17" x14ac:dyDescent="0.25">
      <c r="L633" s="3"/>
      <c r="M633" s="72"/>
      <c r="N633" s="72"/>
    </row>
    <row r="634" spans="1:17" x14ac:dyDescent="0.25">
      <c r="A634" t="s">
        <v>1203</v>
      </c>
      <c r="B634" s="3">
        <v>73170.100000000006</v>
      </c>
      <c r="C634" s="3">
        <v>2086</v>
      </c>
      <c r="D634" s="72">
        <v>43143</v>
      </c>
      <c r="E634" s="3" t="s">
        <v>1204</v>
      </c>
      <c r="L634" s="3"/>
      <c r="M634" s="72"/>
      <c r="N634" s="72"/>
    </row>
    <row r="635" spans="1:17" x14ac:dyDescent="0.25">
      <c r="A635" t="s">
        <v>1205</v>
      </c>
      <c r="B635" s="3">
        <v>813302</v>
      </c>
      <c r="C635" s="3">
        <v>873000</v>
      </c>
      <c r="D635" s="72">
        <v>43144</v>
      </c>
      <c r="E635" s="3" t="s">
        <v>846</v>
      </c>
      <c r="L635" s="62"/>
    </row>
    <row r="636" spans="1:17" x14ac:dyDescent="0.25">
      <c r="C636" s="3">
        <v>1000</v>
      </c>
      <c r="D636" s="72">
        <v>43144</v>
      </c>
      <c r="E636" s="3" t="s">
        <v>846</v>
      </c>
    </row>
    <row r="637" spans="1:17" x14ac:dyDescent="0.25">
      <c r="C637" s="3">
        <v>10386</v>
      </c>
      <c r="D637" s="72">
        <v>43144</v>
      </c>
      <c r="E637" s="3" t="s">
        <v>849</v>
      </c>
    </row>
    <row r="638" spans="1:17" x14ac:dyDescent="0.25">
      <c r="B638" s="3">
        <f>SUM(B634:B637)</f>
        <v>886472.1</v>
      </c>
      <c r="C638" s="3">
        <f>SUM(C634:C637)</f>
        <v>886472</v>
      </c>
      <c r="E638" s="3">
        <f>C638-B638</f>
        <v>-9.9999999976716936E-2</v>
      </c>
      <c r="F638" s="72">
        <v>43144</v>
      </c>
      <c r="G638" s="72">
        <v>43145</v>
      </c>
    </row>
    <row r="640" spans="1:17" x14ac:dyDescent="0.25">
      <c r="A640" t="s">
        <v>1206</v>
      </c>
      <c r="B640" s="3">
        <v>250514</v>
      </c>
      <c r="C640" s="3">
        <v>110000</v>
      </c>
      <c r="D640" s="72">
        <v>43150</v>
      </c>
      <c r="E640" s="3" t="s">
        <v>846</v>
      </c>
    </row>
    <row r="641" spans="1:7" x14ac:dyDescent="0.25">
      <c r="A641" t="s">
        <v>1207</v>
      </c>
      <c r="B641" s="3">
        <v>467928</v>
      </c>
      <c r="C641" s="3">
        <v>296000</v>
      </c>
      <c r="D641" s="72">
        <v>43150</v>
      </c>
      <c r="E641" s="3" t="s">
        <v>846</v>
      </c>
    </row>
    <row r="642" spans="1:7" x14ac:dyDescent="0.25">
      <c r="A642" t="s">
        <v>1208</v>
      </c>
      <c r="B642" s="3">
        <v>494852</v>
      </c>
      <c r="C642" s="3">
        <v>500000</v>
      </c>
      <c r="D642" s="72">
        <v>43150</v>
      </c>
      <c r="E642" s="3" t="s">
        <v>846</v>
      </c>
    </row>
    <row r="643" spans="1:7" x14ac:dyDescent="0.25">
      <c r="C643" s="3">
        <v>500000</v>
      </c>
      <c r="D643" s="72">
        <v>43150</v>
      </c>
      <c r="E643" s="3" t="s">
        <v>846</v>
      </c>
    </row>
    <row r="644" spans="1:7" x14ac:dyDescent="0.25">
      <c r="B644" s="3">
        <f>SUM(B640:B643)</f>
        <v>1213294</v>
      </c>
      <c r="C644" s="3">
        <f>SUM(C640:C643)</f>
        <v>1406000</v>
      </c>
      <c r="E644" s="50">
        <f>C644-B644</f>
        <v>192706</v>
      </c>
      <c r="F644" s="72">
        <v>43150</v>
      </c>
      <c r="G644" s="72">
        <v>43150</v>
      </c>
    </row>
    <row r="646" spans="1:7" x14ac:dyDescent="0.25">
      <c r="A646" t="s">
        <v>1209</v>
      </c>
      <c r="B646" s="3">
        <v>267112</v>
      </c>
      <c r="C646" s="3">
        <v>3638</v>
      </c>
      <c r="D646" s="72">
        <v>43150</v>
      </c>
      <c r="E646" s="3" t="s">
        <v>1210</v>
      </c>
    </row>
    <row r="647" spans="1:7" x14ac:dyDescent="0.25">
      <c r="C647" s="3">
        <v>44396</v>
      </c>
      <c r="D647" s="72">
        <v>43147</v>
      </c>
      <c r="E647" s="3" t="s">
        <v>1211</v>
      </c>
    </row>
    <row r="648" spans="1:7" x14ac:dyDescent="0.25">
      <c r="C648" s="50">
        <v>192706</v>
      </c>
      <c r="D648" s="72">
        <v>43150</v>
      </c>
      <c r="E648" s="3" t="s">
        <v>842</v>
      </c>
    </row>
    <row r="649" spans="1:7" x14ac:dyDescent="0.25">
      <c r="C649" s="54">
        <v>72050</v>
      </c>
      <c r="D649" s="72">
        <v>43097</v>
      </c>
      <c r="E649" s="3" t="s">
        <v>842</v>
      </c>
      <c r="G649" s="55"/>
    </row>
    <row r="650" spans="1:7" x14ac:dyDescent="0.25">
      <c r="B650" s="3">
        <f>SUM(B646:B649)</f>
        <v>267112</v>
      </c>
      <c r="C650" s="3">
        <f>SUM(C646:C649)</f>
        <v>312790</v>
      </c>
      <c r="E650" s="51">
        <f>C650-B650</f>
        <v>45678</v>
      </c>
      <c r="F650" s="72">
        <v>43150</v>
      </c>
      <c r="G650" s="72">
        <v>43152</v>
      </c>
    </row>
    <row r="652" spans="1:7" x14ac:dyDescent="0.25">
      <c r="A652" t="s">
        <v>1212</v>
      </c>
      <c r="B652" s="3">
        <v>243881.5</v>
      </c>
      <c r="C652" s="3">
        <v>500000</v>
      </c>
      <c r="D652" s="72">
        <v>43151</v>
      </c>
      <c r="E652" s="3" t="s">
        <v>846</v>
      </c>
    </row>
    <row r="653" spans="1:7" x14ac:dyDescent="0.25">
      <c r="A653" t="s">
        <v>1213</v>
      </c>
      <c r="B653" s="3">
        <v>58003.199999999997</v>
      </c>
      <c r="C653" s="51">
        <v>45678</v>
      </c>
      <c r="D653" s="72">
        <v>43150</v>
      </c>
      <c r="E653" s="3" t="s">
        <v>842</v>
      </c>
    </row>
    <row r="654" spans="1:7" x14ac:dyDescent="0.25">
      <c r="A654" t="s">
        <v>1214</v>
      </c>
      <c r="B654" s="3">
        <v>259801.5</v>
      </c>
      <c r="C654" s="3">
        <v>16008</v>
      </c>
      <c r="D654" s="72">
        <v>43152</v>
      </c>
      <c r="E654" s="3" t="s">
        <v>849</v>
      </c>
    </row>
    <row r="655" spans="1:7" x14ac:dyDescent="0.25">
      <c r="B655" s="3">
        <f>SUM(B652:B654)</f>
        <v>561686.19999999995</v>
      </c>
      <c r="C655" s="3">
        <f>SUM(C652:C654)</f>
        <v>561686</v>
      </c>
      <c r="E655" s="3">
        <f>C655-B655</f>
        <v>-0.19999999995343387</v>
      </c>
      <c r="F655" s="72">
        <v>43152</v>
      </c>
      <c r="G655" s="72">
        <v>43152</v>
      </c>
    </row>
    <row r="657" spans="1:18" x14ac:dyDescent="0.25">
      <c r="A657" t="s">
        <v>1215</v>
      </c>
      <c r="B657" s="3">
        <v>257175</v>
      </c>
      <c r="C657" s="3">
        <v>99000</v>
      </c>
      <c r="D657" s="72">
        <v>43152</v>
      </c>
      <c r="E657" s="3" t="s">
        <v>1216</v>
      </c>
    </row>
    <row r="658" spans="1:18" x14ac:dyDescent="0.25">
      <c r="C658" s="3">
        <v>154000</v>
      </c>
      <c r="D658" s="72">
        <v>43152</v>
      </c>
      <c r="E658" s="3" t="s">
        <v>1216</v>
      </c>
    </row>
    <row r="659" spans="1:18" x14ac:dyDescent="0.25">
      <c r="C659" s="3">
        <v>4175</v>
      </c>
      <c r="D659" s="72">
        <v>43152</v>
      </c>
      <c r="E659" s="3" t="s">
        <v>849</v>
      </c>
    </row>
    <row r="660" spans="1:18" x14ac:dyDescent="0.25">
      <c r="B660" s="3">
        <f>SUM(B657:B659)</f>
        <v>257175</v>
      </c>
      <c r="C660" s="3">
        <f>SUM(C657:C659)</f>
        <v>257175</v>
      </c>
      <c r="E660" s="3">
        <f>C660-B660</f>
        <v>0</v>
      </c>
      <c r="F660" s="72">
        <v>43152</v>
      </c>
      <c r="G660" s="72">
        <v>43153</v>
      </c>
    </row>
    <row r="662" spans="1:18" x14ac:dyDescent="0.25">
      <c r="A662" t="s">
        <v>1217</v>
      </c>
      <c r="B662" s="3">
        <v>250420</v>
      </c>
      <c r="C662" s="3">
        <v>389000</v>
      </c>
      <c r="D662" s="72">
        <v>43153</v>
      </c>
      <c r="E662" s="3" t="s">
        <v>846</v>
      </c>
    </row>
    <row r="663" spans="1:18" x14ac:dyDescent="0.25">
      <c r="B663" s="3">
        <f>SUM(B662)</f>
        <v>250420</v>
      </c>
      <c r="C663" s="3">
        <f>SUM(C662)</f>
        <v>389000</v>
      </c>
      <c r="E663" s="63">
        <f>C663-B663</f>
        <v>138580</v>
      </c>
      <c r="F663" s="72">
        <v>43153</v>
      </c>
      <c r="G663" s="72">
        <v>43154</v>
      </c>
    </row>
    <row r="665" spans="1:18" x14ac:dyDescent="0.25">
      <c r="A665" t="s">
        <v>1218</v>
      </c>
      <c r="B665" s="3">
        <v>261060</v>
      </c>
      <c r="C665" s="3">
        <v>611000</v>
      </c>
      <c r="D665" s="72">
        <v>43155</v>
      </c>
      <c r="E665" s="3" t="s">
        <v>846</v>
      </c>
    </row>
    <row r="666" spans="1:18" x14ac:dyDescent="0.25">
      <c r="A666" t="s">
        <v>1219</v>
      </c>
      <c r="B666" s="3">
        <v>494868</v>
      </c>
      <c r="C666" s="63">
        <v>138580</v>
      </c>
      <c r="D666" s="72">
        <v>43153</v>
      </c>
      <c r="E666" s="3" t="s">
        <v>842</v>
      </c>
    </row>
    <row r="667" spans="1:18" x14ac:dyDescent="0.25">
      <c r="C667" s="3">
        <v>6348</v>
      </c>
      <c r="D667" s="72">
        <v>43155</v>
      </c>
      <c r="E667" s="3" t="s">
        <v>849</v>
      </c>
    </row>
    <row r="668" spans="1:18" x14ac:dyDescent="0.25">
      <c r="B668" s="3">
        <f>SUM(B665:B667)</f>
        <v>755928</v>
      </c>
      <c r="C668" s="3">
        <f>SUM(C665:C667)</f>
        <v>755928</v>
      </c>
      <c r="E668" s="3">
        <f>C668-B668</f>
        <v>0</v>
      </c>
      <c r="F668" s="72">
        <v>43155</v>
      </c>
      <c r="G668" s="72">
        <v>43155</v>
      </c>
    </row>
    <row r="670" spans="1:18" x14ac:dyDescent="0.25">
      <c r="A670" t="s">
        <v>1220</v>
      </c>
      <c r="B670" s="3">
        <v>424434</v>
      </c>
      <c r="C670" s="3">
        <v>391000</v>
      </c>
      <c r="D670" s="72">
        <v>43157</v>
      </c>
      <c r="E670" s="3" t="s">
        <v>846</v>
      </c>
    </row>
    <row r="671" spans="1:18" x14ac:dyDescent="0.25">
      <c r="C671" s="3">
        <v>33434</v>
      </c>
      <c r="D671" s="72">
        <v>43158</v>
      </c>
    </row>
    <row r="672" spans="1:18" x14ac:dyDescent="0.25">
      <c r="B672" s="3">
        <f>SUM(B670:B671)</f>
        <v>424434</v>
      </c>
      <c r="C672" s="3">
        <f>SUM(C670:C671)</f>
        <v>424434</v>
      </c>
      <c r="E672" s="3">
        <f>C672-B672</f>
        <v>0</v>
      </c>
      <c r="F672" s="72">
        <v>43157</v>
      </c>
      <c r="G672" s="72">
        <v>43159</v>
      </c>
      <c r="M672" t="s">
        <v>1221</v>
      </c>
      <c r="N672" t="s">
        <v>1222</v>
      </c>
      <c r="O672" t="s">
        <v>1223</v>
      </c>
      <c r="Q672" t="s">
        <v>1224</v>
      </c>
      <c r="R672" t="s">
        <v>1048</v>
      </c>
    </row>
    <row r="674" spans="1:14" x14ac:dyDescent="0.25">
      <c r="A674" t="s">
        <v>1225</v>
      </c>
      <c r="B674" s="3">
        <v>31452.6</v>
      </c>
      <c r="C674" s="3">
        <v>300000</v>
      </c>
      <c r="D674" s="72">
        <v>43158</v>
      </c>
      <c r="E674" s="3" t="s">
        <v>846</v>
      </c>
    </row>
    <row r="675" spans="1:14" x14ac:dyDescent="0.25">
      <c r="A675" t="s">
        <v>1226</v>
      </c>
      <c r="B675" s="3">
        <v>256794</v>
      </c>
    </row>
    <row r="676" spans="1:14" x14ac:dyDescent="0.25">
      <c r="B676" s="3">
        <f>SUM(B674:B675)</f>
        <v>288246.59999999998</v>
      </c>
      <c r="C676" s="3">
        <f>SUM(C674:C675)</f>
        <v>300000</v>
      </c>
      <c r="E676" s="101">
        <f>C676-B676</f>
        <v>11753.400000000023</v>
      </c>
      <c r="F676" s="72">
        <v>43158</v>
      </c>
      <c r="G676" s="72">
        <v>43159</v>
      </c>
    </row>
    <row r="678" spans="1:14" x14ac:dyDescent="0.25">
      <c r="A678" t="s">
        <v>1227</v>
      </c>
      <c r="B678" s="3">
        <v>261670</v>
      </c>
      <c r="C678" s="3">
        <v>250000</v>
      </c>
      <c r="D678" s="72">
        <v>43159</v>
      </c>
      <c r="E678" s="3" t="s">
        <v>846</v>
      </c>
    </row>
    <row r="679" spans="1:14" x14ac:dyDescent="0.25">
      <c r="C679" s="3">
        <v>11670</v>
      </c>
      <c r="D679" s="72">
        <v>43160</v>
      </c>
    </row>
    <row r="680" spans="1:14" x14ac:dyDescent="0.25">
      <c r="B680" s="3">
        <f>SUM(B678:B679)</f>
        <v>261670</v>
      </c>
      <c r="C680" s="3">
        <f>SUM(C678:C679)</f>
        <v>261670</v>
      </c>
      <c r="E680" s="3">
        <f>C680-B680</f>
        <v>0</v>
      </c>
      <c r="F680" s="72">
        <v>43159</v>
      </c>
      <c r="G680" s="72">
        <v>43161</v>
      </c>
    </row>
    <row r="681" spans="1:14" x14ac:dyDescent="0.25">
      <c r="L681" s="3"/>
      <c r="M681" s="72"/>
      <c r="N681" s="72"/>
    </row>
    <row r="682" spans="1:14" x14ac:dyDescent="0.25">
      <c r="A682" t="s">
        <v>1228</v>
      </c>
      <c r="B682" s="3">
        <v>425220</v>
      </c>
      <c r="C682" s="3">
        <v>547000</v>
      </c>
      <c r="D682" s="72">
        <v>43161</v>
      </c>
      <c r="E682" s="3" t="s">
        <v>846</v>
      </c>
    </row>
    <row r="683" spans="1:14" x14ac:dyDescent="0.25">
      <c r="B683" s="3">
        <f>SUM(B682)</f>
        <v>425220</v>
      </c>
      <c r="C683" s="3">
        <f>SUM(C682)</f>
        <v>547000</v>
      </c>
      <c r="E683" s="54">
        <f>C683-B683</f>
        <v>121780</v>
      </c>
      <c r="F683" s="72">
        <v>43161</v>
      </c>
      <c r="G683" s="72">
        <v>43161</v>
      </c>
    </row>
    <row r="685" spans="1:14" x14ac:dyDescent="0.25">
      <c r="A685" t="s">
        <v>1229</v>
      </c>
      <c r="B685" s="3">
        <v>235694</v>
      </c>
      <c r="C685" s="101">
        <v>11753</v>
      </c>
      <c r="D685" s="72">
        <v>43158</v>
      </c>
      <c r="E685" s="3" t="s">
        <v>842</v>
      </c>
    </row>
    <row r="686" spans="1:14" x14ac:dyDescent="0.25">
      <c r="C686" s="54">
        <v>121780</v>
      </c>
      <c r="D686" s="72">
        <v>43161</v>
      </c>
      <c r="E686" s="3" t="s">
        <v>842</v>
      </c>
    </row>
    <row r="687" spans="1:14" x14ac:dyDescent="0.25">
      <c r="C687" s="3">
        <v>33661</v>
      </c>
      <c r="D687" s="72">
        <v>43164</v>
      </c>
    </row>
    <row r="688" spans="1:14" x14ac:dyDescent="0.25">
      <c r="C688" s="3">
        <v>68500</v>
      </c>
      <c r="D688" s="72">
        <v>43160</v>
      </c>
    </row>
    <row r="689" spans="1:7" x14ac:dyDescent="0.25">
      <c r="B689" s="3">
        <f>SUM(B685:B688)</f>
        <v>235694</v>
      </c>
      <c r="C689" s="3">
        <f>SUM(C685:C688)</f>
        <v>235694</v>
      </c>
      <c r="E689" s="3">
        <f>C689-B689</f>
        <v>0</v>
      </c>
      <c r="F689" s="72">
        <v>43161</v>
      </c>
      <c r="G689" s="72">
        <v>43164</v>
      </c>
    </row>
    <row r="691" spans="1:7" x14ac:dyDescent="0.25">
      <c r="A691" t="s">
        <v>1230</v>
      </c>
      <c r="B691" s="3">
        <v>448876</v>
      </c>
      <c r="C691" s="3">
        <v>350000</v>
      </c>
      <c r="D691" s="72">
        <v>43164</v>
      </c>
      <c r="E691" s="3" t="s">
        <v>846</v>
      </c>
    </row>
    <row r="692" spans="1:7" x14ac:dyDescent="0.25">
      <c r="C692" s="3">
        <v>63000</v>
      </c>
      <c r="D692" s="72">
        <v>43162</v>
      </c>
    </row>
    <row r="693" spans="1:7" x14ac:dyDescent="0.25">
      <c r="C693" s="3">
        <v>24000</v>
      </c>
      <c r="D693" s="72">
        <v>43164</v>
      </c>
    </row>
    <row r="694" spans="1:7" x14ac:dyDescent="0.25">
      <c r="C694" s="3">
        <v>11876</v>
      </c>
      <c r="D694" s="72">
        <v>43164</v>
      </c>
    </row>
    <row r="695" spans="1:7" x14ac:dyDescent="0.25">
      <c r="B695" s="3">
        <f>SUM(B691:B694)</f>
        <v>448876</v>
      </c>
      <c r="C695" s="3">
        <f>SUM(C691:C694)</f>
        <v>448876</v>
      </c>
      <c r="E695" s="3">
        <f>C695-B695</f>
        <v>0</v>
      </c>
      <c r="F695" s="72">
        <v>43161</v>
      </c>
      <c r="G695" s="72">
        <v>43164</v>
      </c>
    </row>
    <row r="697" spans="1:7" x14ac:dyDescent="0.25">
      <c r="A697" t="s">
        <v>1231</v>
      </c>
      <c r="B697" s="3">
        <v>441216</v>
      </c>
      <c r="C697" s="3">
        <v>433000</v>
      </c>
      <c r="D697" s="72">
        <v>43164</v>
      </c>
      <c r="E697" s="3" t="s">
        <v>846</v>
      </c>
    </row>
    <row r="698" spans="1:7" x14ac:dyDescent="0.25">
      <c r="A698" t="s">
        <v>1232</v>
      </c>
      <c r="B698" s="3">
        <v>6911.72</v>
      </c>
      <c r="C698" s="3">
        <v>15161</v>
      </c>
      <c r="D698" s="72">
        <v>43161</v>
      </c>
      <c r="E698" s="3" t="s">
        <v>1233</v>
      </c>
    </row>
    <row r="699" spans="1:7" x14ac:dyDescent="0.25">
      <c r="A699" t="s">
        <v>1234</v>
      </c>
    </row>
    <row r="700" spans="1:7" x14ac:dyDescent="0.25">
      <c r="B700" s="3">
        <f>SUM(B697:B699)</f>
        <v>448127.72</v>
      </c>
      <c r="C700" s="3">
        <f>SUM(C697:C699)</f>
        <v>448161</v>
      </c>
      <c r="E700" s="94">
        <f>C700-B700</f>
        <v>33.28000000002794</v>
      </c>
      <c r="F700" s="72">
        <v>43164</v>
      </c>
      <c r="G700" s="72">
        <v>43164</v>
      </c>
    </row>
    <row r="702" spans="1:7" x14ac:dyDescent="0.25">
      <c r="A702" t="s">
        <v>1235</v>
      </c>
      <c r="B702" s="3">
        <v>223559</v>
      </c>
      <c r="C702" s="3">
        <v>380000</v>
      </c>
      <c r="D702" s="72">
        <v>43165</v>
      </c>
      <c r="E702" s="3" t="s">
        <v>846</v>
      </c>
    </row>
    <row r="703" spans="1:7" x14ac:dyDescent="0.25">
      <c r="B703" s="3">
        <f>SUM(B702)</f>
        <v>223559</v>
      </c>
      <c r="C703" s="3">
        <f>SUM(C702)</f>
        <v>380000</v>
      </c>
      <c r="E703" s="63">
        <f>C703-B703</f>
        <v>156441</v>
      </c>
      <c r="F703" s="72">
        <v>43165</v>
      </c>
    </row>
    <row r="705" spans="1:7" x14ac:dyDescent="0.25">
      <c r="A705" t="s">
        <v>1236</v>
      </c>
      <c r="B705" s="3">
        <v>433960</v>
      </c>
      <c r="C705" s="3">
        <v>270000</v>
      </c>
      <c r="D705" s="72">
        <v>43166</v>
      </c>
      <c r="E705" s="3" t="s">
        <v>846</v>
      </c>
    </row>
    <row r="706" spans="1:7" x14ac:dyDescent="0.25">
      <c r="C706" s="94">
        <v>33.299999999999997</v>
      </c>
      <c r="D706" s="72">
        <v>43164</v>
      </c>
      <c r="E706" s="3" t="s">
        <v>842</v>
      </c>
    </row>
    <row r="707" spans="1:7" x14ac:dyDescent="0.25">
      <c r="C707" s="63">
        <v>156441</v>
      </c>
      <c r="D707" s="72">
        <v>43165</v>
      </c>
      <c r="E707" s="3" t="s">
        <v>842</v>
      </c>
    </row>
    <row r="708" spans="1:7" x14ac:dyDescent="0.25">
      <c r="C708" s="3">
        <v>6022</v>
      </c>
      <c r="D708" s="72">
        <v>43164</v>
      </c>
      <c r="E708" s="3" t="s">
        <v>1237</v>
      </c>
    </row>
    <row r="709" spans="1:7" x14ac:dyDescent="0.25">
      <c r="C709" s="3">
        <v>3841</v>
      </c>
      <c r="D709" s="72">
        <v>43165</v>
      </c>
      <c r="E709" s="3" t="s">
        <v>1238</v>
      </c>
    </row>
    <row r="710" spans="1:7" x14ac:dyDescent="0.25">
      <c r="C710" s="3">
        <v>5848</v>
      </c>
      <c r="D710" s="72">
        <v>43164</v>
      </c>
      <c r="E710" s="3" t="s">
        <v>1239</v>
      </c>
    </row>
    <row r="711" spans="1:7" x14ac:dyDescent="0.25">
      <c r="B711" s="3">
        <f>SUM(B705:B710)</f>
        <v>433960</v>
      </c>
      <c r="C711" s="3">
        <f>SUM(C705:C710)</f>
        <v>442185.3</v>
      </c>
      <c r="E711" s="54">
        <f>C711-B711</f>
        <v>8225.2999999999884</v>
      </c>
      <c r="F711" s="72">
        <v>43166</v>
      </c>
      <c r="G711" s="72">
        <v>43167</v>
      </c>
    </row>
    <row r="713" spans="1:7" x14ac:dyDescent="0.25">
      <c r="A713" t="s">
        <v>1240</v>
      </c>
      <c r="B713" s="3">
        <v>225848</v>
      </c>
      <c r="C713" s="3">
        <v>180000</v>
      </c>
      <c r="D713" s="72">
        <v>43167</v>
      </c>
      <c r="E713" s="3" t="s">
        <v>846</v>
      </c>
    </row>
    <row r="714" spans="1:7" x14ac:dyDescent="0.25">
      <c r="C714" s="54">
        <v>8225.2999999999993</v>
      </c>
      <c r="D714" s="72">
        <v>43166</v>
      </c>
      <c r="E714" s="3" t="s">
        <v>842</v>
      </c>
    </row>
    <row r="715" spans="1:7" x14ac:dyDescent="0.25">
      <c r="C715" s="3">
        <v>5793</v>
      </c>
      <c r="D715" s="72">
        <v>43166</v>
      </c>
      <c r="E715" s="3" t="s">
        <v>1241</v>
      </c>
    </row>
    <row r="716" spans="1:7" x14ac:dyDescent="0.25">
      <c r="C716" s="3">
        <v>31830</v>
      </c>
      <c r="D716" s="72">
        <v>43167</v>
      </c>
    </row>
    <row r="717" spans="1:7" x14ac:dyDescent="0.25">
      <c r="B717" s="3">
        <f>SUM(B713:B716)</f>
        <v>225848</v>
      </c>
      <c r="C717" s="3">
        <f>SUM(C713:C716)</f>
        <v>225848.3</v>
      </c>
      <c r="E717" s="3">
        <f>C717-B717</f>
        <v>0.29999999998835847</v>
      </c>
      <c r="F717" s="72">
        <v>43167</v>
      </c>
      <c r="G717" s="72">
        <v>43167</v>
      </c>
    </row>
    <row r="719" spans="1:7" x14ac:dyDescent="0.25">
      <c r="A719" t="s">
        <v>1242</v>
      </c>
      <c r="B719" s="3">
        <v>447640</v>
      </c>
      <c r="C719" s="3">
        <v>610000</v>
      </c>
      <c r="D719" s="72">
        <v>43169</v>
      </c>
      <c r="E719" s="3" t="s">
        <v>846</v>
      </c>
    </row>
    <row r="720" spans="1:7" x14ac:dyDescent="0.25">
      <c r="B720" s="3">
        <f>SUM(B719)</f>
        <v>447640</v>
      </c>
      <c r="C720" s="3">
        <f>SUM(C719)</f>
        <v>610000</v>
      </c>
      <c r="E720" s="99">
        <f>C720-B720</f>
        <v>162360</v>
      </c>
      <c r="F720" s="72">
        <v>43169</v>
      </c>
      <c r="G720" s="72">
        <v>43171</v>
      </c>
    </row>
    <row r="722" spans="1:10" x14ac:dyDescent="0.25">
      <c r="A722" t="s">
        <v>1243</v>
      </c>
      <c r="B722" s="3">
        <v>456057</v>
      </c>
      <c r="C722" s="3">
        <v>458000</v>
      </c>
      <c r="D722" s="72">
        <v>43171</v>
      </c>
    </row>
    <row r="723" spans="1:10" x14ac:dyDescent="0.25">
      <c r="B723" s="3">
        <f>SUM(B722)</f>
        <v>456057</v>
      </c>
      <c r="C723" s="3">
        <f>SUM(C722)</f>
        <v>458000</v>
      </c>
      <c r="E723" s="102">
        <f>C723-B723</f>
        <v>1943</v>
      </c>
      <c r="F723" s="72">
        <v>43171</v>
      </c>
      <c r="G723" s="72">
        <v>43171</v>
      </c>
    </row>
    <row r="725" spans="1:10" x14ac:dyDescent="0.25">
      <c r="A725" t="s">
        <v>1244</v>
      </c>
      <c r="B725" s="3">
        <v>17236.400000000001</v>
      </c>
      <c r="C725" s="102">
        <v>1943</v>
      </c>
      <c r="D725" s="72">
        <v>43171</v>
      </c>
      <c r="E725" s="3" t="s">
        <v>842</v>
      </c>
    </row>
    <row r="726" spans="1:10" x14ac:dyDescent="0.25">
      <c r="A726" t="s">
        <v>1245</v>
      </c>
      <c r="B726" s="3">
        <v>444980</v>
      </c>
      <c r="C726" s="86">
        <v>43427</v>
      </c>
      <c r="D726" s="72">
        <v>43106</v>
      </c>
      <c r="E726" s="3" t="s">
        <v>842</v>
      </c>
      <c r="H726" s="86">
        <v>43427</v>
      </c>
      <c r="I726" s="72">
        <v>43106</v>
      </c>
      <c r="J726" s="72">
        <v>43106</v>
      </c>
    </row>
    <row r="727" spans="1:10" x14ac:dyDescent="0.25">
      <c r="C727" s="3">
        <v>9861</v>
      </c>
      <c r="D727" s="72">
        <v>43172</v>
      </c>
      <c r="E727" s="3" t="s">
        <v>1246</v>
      </c>
    </row>
    <row r="728" spans="1:10" x14ac:dyDescent="0.25">
      <c r="C728" s="3">
        <v>5663</v>
      </c>
      <c r="D728" s="72">
        <v>43172</v>
      </c>
      <c r="E728" s="3" t="s">
        <v>1247</v>
      </c>
    </row>
    <row r="729" spans="1:10" x14ac:dyDescent="0.25">
      <c r="C729" s="3">
        <v>4203</v>
      </c>
      <c r="D729" s="72">
        <v>43171</v>
      </c>
      <c r="E729" s="3" t="s">
        <v>1248</v>
      </c>
    </row>
    <row r="730" spans="1:10" x14ac:dyDescent="0.25">
      <c r="C730" s="3">
        <v>352000</v>
      </c>
      <c r="D730" s="72">
        <v>43172</v>
      </c>
      <c r="E730" s="3" t="s">
        <v>846</v>
      </c>
    </row>
    <row r="731" spans="1:10" x14ac:dyDescent="0.25">
      <c r="C731" s="3">
        <v>45119</v>
      </c>
      <c r="D731" s="72">
        <v>43173</v>
      </c>
    </row>
    <row r="732" spans="1:10" x14ac:dyDescent="0.25">
      <c r="B732" s="3">
        <f>SUM(B725:B731)</f>
        <v>462216.4</v>
      </c>
      <c r="C732" s="3">
        <f>SUM(C725:C731)</f>
        <v>462216</v>
      </c>
      <c r="E732" s="3">
        <f>C732-B732</f>
        <v>-0.40000000002328306</v>
      </c>
      <c r="F732" s="72">
        <v>43172</v>
      </c>
      <c r="G732" s="72">
        <v>43173</v>
      </c>
    </row>
    <row r="734" spans="1:10" x14ac:dyDescent="0.25">
      <c r="A734" t="s">
        <v>1249</v>
      </c>
      <c r="B734" s="3">
        <v>18721.8</v>
      </c>
      <c r="C734" s="3">
        <v>328000</v>
      </c>
      <c r="D734" s="72">
        <v>43173</v>
      </c>
      <c r="E734" s="3" t="s">
        <v>846</v>
      </c>
    </row>
    <row r="735" spans="1:10" x14ac:dyDescent="0.25">
      <c r="A735" t="s">
        <v>1250</v>
      </c>
      <c r="B735" s="3">
        <v>231189</v>
      </c>
      <c r="C735" s="3">
        <v>190000</v>
      </c>
      <c r="D735" s="72">
        <v>43174</v>
      </c>
      <c r="E735" s="3" t="s">
        <v>846</v>
      </c>
    </row>
    <row r="736" spans="1:10" x14ac:dyDescent="0.25">
      <c r="A736" t="s">
        <v>1251</v>
      </c>
      <c r="B736" s="3">
        <v>247269</v>
      </c>
    </row>
    <row r="737" spans="1:7" x14ac:dyDescent="0.25">
      <c r="B737" s="3">
        <f>SUM(B734:B736)</f>
        <v>497179.8</v>
      </c>
      <c r="C737" s="3">
        <f>SUM(C734:C736)</f>
        <v>518000</v>
      </c>
      <c r="E737" s="51">
        <f>C737-B737</f>
        <v>20820.200000000012</v>
      </c>
      <c r="F737" s="72">
        <v>43174</v>
      </c>
      <c r="G737" s="72">
        <v>43175</v>
      </c>
    </row>
    <row r="739" spans="1:7" x14ac:dyDescent="0.25">
      <c r="A739" t="s">
        <v>1252</v>
      </c>
      <c r="B739" s="3">
        <v>228518.5</v>
      </c>
      <c r="C739" s="3">
        <v>189000</v>
      </c>
      <c r="D739" s="72">
        <v>43175</v>
      </c>
      <c r="E739" s="3" t="s">
        <v>846</v>
      </c>
    </row>
    <row r="740" spans="1:7" x14ac:dyDescent="0.25">
      <c r="C740" s="3">
        <v>6261</v>
      </c>
      <c r="D740" s="72">
        <v>43174</v>
      </c>
      <c r="E740" s="3" t="s">
        <v>1253</v>
      </c>
    </row>
    <row r="741" spans="1:7" x14ac:dyDescent="0.25">
      <c r="C741" s="51">
        <v>20820.2</v>
      </c>
      <c r="D741" s="72">
        <v>43174</v>
      </c>
      <c r="E741" s="3" t="s">
        <v>842</v>
      </c>
    </row>
    <row r="742" spans="1:7" x14ac:dyDescent="0.25">
      <c r="C742" s="3">
        <v>18000</v>
      </c>
      <c r="D742" s="72">
        <v>43173</v>
      </c>
      <c r="E742" s="3" t="s">
        <v>1254</v>
      </c>
    </row>
    <row r="743" spans="1:7" x14ac:dyDescent="0.25">
      <c r="B743" s="3">
        <f>SUM(B739:B742)</f>
        <v>228518.5</v>
      </c>
      <c r="C743" s="3">
        <f>SUM(C739:C742)</f>
        <v>234081.2</v>
      </c>
      <c r="E743" s="83">
        <f>C743-B743</f>
        <v>5562.7000000000116</v>
      </c>
      <c r="F743" s="72">
        <v>43175</v>
      </c>
      <c r="G743" s="72">
        <v>43175</v>
      </c>
    </row>
    <row r="745" spans="1:7" x14ac:dyDescent="0.25">
      <c r="A745" t="s">
        <v>1255</v>
      </c>
      <c r="B745" s="3">
        <v>419436</v>
      </c>
      <c r="C745" s="83">
        <v>5562.5</v>
      </c>
      <c r="D745" s="72">
        <v>43175</v>
      </c>
      <c r="E745" s="3" t="s">
        <v>842</v>
      </c>
    </row>
    <row r="746" spans="1:7" x14ac:dyDescent="0.25">
      <c r="C746" s="3">
        <v>40873</v>
      </c>
      <c r="D746" s="72">
        <v>43176</v>
      </c>
      <c r="E746" s="3" t="s">
        <v>849</v>
      </c>
    </row>
    <row r="747" spans="1:7" x14ac:dyDescent="0.25">
      <c r="C747" s="3">
        <v>373000</v>
      </c>
      <c r="D747" s="72">
        <v>43176</v>
      </c>
      <c r="E747" s="3" t="s">
        <v>846</v>
      </c>
    </row>
    <row r="748" spans="1:7" x14ac:dyDescent="0.25">
      <c r="B748" s="3">
        <f>SUM(B745:B747)</f>
        <v>419436</v>
      </c>
      <c r="C748" s="3">
        <f>SUM(C745:C747)</f>
        <v>419435.5</v>
      </c>
      <c r="E748" s="3">
        <f>C748-B748</f>
        <v>-0.5</v>
      </c>
      <c r="F748" s="72">
        <v>43176</v>
      </c>
      <c r="G748" s="72">
        <v>43176</v>
      </c>
    </row>
    <row r="750" spans="1:7" x14ac:dyDescent="0.25">
      <c r="A750" t="s">
        <v>1256</v>
      </c>
      <c r="B750" s="3">
        <v>448818</v>
      </c>
      <c r="C750" s="3">
        <v>896000</v>
      </c>
      <c r="D750" s="72">
        <v>43179</v>
      </c>
      <c r="E750" s="3" t="s">
        <v>846</v>
      </c>
    </row>
    <row r="751" spans="1:7" x14ac:dyDescent="0.25">
      <c r="A751" t="s">
        <v>1257</v>
      </c>
      <c r="B751" s="3">
        <v>438150</v>
      </c>
    </row>
    <row r="752" spans="1:7" x14ac:dyDescent="0.25">
      <c r="B752" s="3">
        <f>SUM(B750:B751)</f>
        <v>886968</v>
      </c>
      <c r="C752" s="3">
        <f>SUM(C750:C751)</f>
        <v>896000</v>
      </c>
      <c r="E752" s="50">
        <f>C752-B752</f>
        <v>9032</v>
      </c>
      <c r="F752" s="72">
        <v>43179</v>
      </c>
      <c r="G752" s="72">
        <v>43180</v>
      </c>
    </row>
    <row r="754" spans="1:7" x14ac:dyDescent="0.25">
      <c r="A754" t="s">
        <v>1258</v>
      </c>
      <c r="B754" s="3">
        <v>216976</v>
      </c>
      <c r="C754" s="3">
        <v>240000</v>
      </c>
      <c r="D754" s="72">
        <v>43180</v>
      </c>
      <c r="E754" s="3" t="s">
        <v>846</v>
      </c>
    </row>
    <row r="755" spans="1:7" x14ac:dyDescent="0.25">
      <c r="B755" s="3">
        <f>SUM(B754)</f>
        <v>216976</v>
      </c>
      <c r="C755" s="3">
        <f>SUM(C754)</f>
        <v>240000</v>
      </c>
      <c r="E755" s="63">
        <f>C755-B755</f>
        <v>23024</v>
      </c>
      <c r="F755" s="72">
        <v>43180</v>
      </c>
      <c r="G755" s="72">
        <v>43181</v>
      </c>
    </row>
    <row r="757" spans="1:7" x14ac:dyDescent="0.25">
      <c r="A757" t="s">
        <v>1259</v>
      </c>
      <c r="B757" s="3">
        <v>29328.400000000001</v>
      </c>
      <c r="C757" s="3">
        <v>359000</v>
      </c>
      <c r="D757" s="72">
        <v>43181</v>
      </c>
      <c r="E757" s="3" t="s">
        <v>846</v>
      </c>
    </row>
    <row r="758" spans="1:7" x14ac:dyDescent="0.25">
      <c r="A758" t="s">
        <v>1260</v>
      </c>
      <c r="B758" s="3">
        <v>257556</v>
      </c>
    </row>
    <row r="759" spans="1:7" x14ac:dyDescent="0.25">
      <c r="B759" s="3">
        <f>SUM(B757:B758)</f>
        <v>286884.40000000002</v>
      </c>
      <c r="C759" s="3">
        <f>SUM(C757:C758)</f>
        <v>359000</v>
      </c>
      <c r="E759" s="99">
        <f>C759-B759</f>
        <v>72115.599999999977</v>
      </c>
      <c r="F759" s="72">
        <v>43181</v>
      </c>
      <c r="G759" s="72">
        <v>43181</v>
      </c>
    </row>
    <row r="761" spans="1:7" x14ac:dyDescent="0.25">
      <c r="A761" t="s">
        <v>1261</v>
      </c>
      <c r="B761" s="3">
        <v>465963</v>
      </c>
      <c r="C761" s="3">
        <v>580000</v>
      </c>
      <c r="D761" s="72">
        <v>43183</v>
      </c>
      <c r="E761" s="3" t="s">
        <v>846</v>
      </c>
    </row>
    <row r="762" spans="1:7" x14ac:dyDescent="0.25">
      <c r="A762" t="s">
        <v>1262</v>
      </c>
      <c r="B762" s="3">
        <v>238887</v>
      </c>
      <c r="C762" s="99">
        <v>72115.600000000006</v>
      </c>
      <c r="D762" s="72">
        <v>43181</v>
      </c>
      <c r="E762" s="3" t="s">
        <v>842</v>
      </c>
    </row>
    <row r="763" spans="1:7" x14ac:dyDescent="0.25">
      <c r="C763" s="63">
        <v>23024</v>
      </c>
      <c r="D763" s="72">
        <v>43180</v>
      </c>
      <c r="E763" s="3" t="s">
        <v>842</v>
      </c>
    </row>
    <row r="764" spans="1:7" x14ac:dyDescent="0.25">
      <c r="C764" s="50">
        <v>9032</v>
      </c>
      <c r="D764" s="72">
        <v>43180</v>
      </c>
      <c r="E764" s="3" t="s">
        <v>842</v>
      </c>
    </row>
    <row r="765" spans="1:7" x14ac:dyDescent="0.25">
      <c r="C765" s="3">
        <v>24872</v>
      </c>
      <c r="D765" s="72">
        <v>43181</v>
      </c>
      <c r="E765" s="3" t="s">
        <v>1263</v>
      </c>
    </row>
    <row r="766" spans="1:7" x14ac:dyDescent="0.25">
      <c r="B766" s="3">
        <f>SUM(B761:B765)</f>
        <v>704850</v>
      </c>
      <c r="C766" s="3">
        <f>SUM(C761:C765)</f>
        <v>709043.6</v>
      </c>
      <c r="E766" s="91">
        <f>C766-B766</f>
        <v>4193.5999999999767</v>
      </c>
      <c r="F766" s="72">
        <v>43183</v>
      </c>
      <c r="G766" s="72">
        <v>43183</v>
      </c>
    </row>
    <row r="768" spans="1:7" x14ac:dyDescent="0.25">
      <c r="A768" t="s">
        <v>1264</v>
      </c>
      <c r="B768" s="3">
        <v>447118</v>
      </c>
      <c r="C768" s="3">
        <v>179000</v>
      </c>
      <c r="D768" s="72">
        <v>43185</v>
      </c>
      <c r="E768" s="3" t="s">
        <v>846</v>
      </c>
    </row>
    <row r="769" spans="1:14" x14ac:dyDescent="0.25">
      <c r="C769" s="3">
        <v>226000</v>
      </c>
      <c r="D769" s="72">
        <v>43185</v>
      </c>
      <c r="E769" s="3" t="s">
        <v>846</v>
      </c>
    </row>
    <row r="770" spans="1:14" x14ac:dyDescent="0.25">
      <c r="C770" s="3">
        <v>5881</v>
      </c>
      <c r="D770" s="72">
        <v>43181</v>
      </c>
      <c r="E770" s="3" t="s">
        <v>1265</v>
      </c>
    </row>
    <row r="771" spans="1:14" x14ac:dyDescent="0.25">
      <c r="C771" s="3">
        <v>5975</v>
      </c>
      <c r="D771" s="72">
        <v>43175</v>
      </c>
      <c r="E771" s="3" t="s">
        <v>1266</v>
      </c>
    </row>
    <row r="772" spans="1:14" x14ac:dyDescent="0.25">
      <c r="C772" s="3">
        <v>30262</v>
      </c>
      <c r="D772" s="72">
        <v>43158</v>
      </c>
    </row>
    <row r="773" spans="1:14" x14ac:dyDescent="0.25">
      <c r="B773" s="3">
        <f>SUM(B768:B772)</f>
        <v>447118</v>
      </c>
      <c r="C773" s="3">
        <f>SUM(C768:C772)</f>
        <v>447118</v>
      </c>
      <c r="E773" s="3">
        <f>C773-B773</f>
        <v>0</v>
      </c>
      <c r="F773" s="72">
        <v>43185</v>
      </c>
      <c r="G773" s="72">
        <v>43187</v>
      </c>
    </row>
    <row r="775" spans="1:14" x14ac:dyDescent="0.25">
      <c r="A775" t="s">
        <v>1267</v>
      </c>
      <c r="B775" s="3">
        <v>446355</v>
      </c>
      <c r="C775" s="3">
        <v>483000</v>
      </c>
      <c r="D775" s="72">
        <v>43187</v>
      </c>
      <c r="E775" s="3" t="s">
        <v>846</v>
      </c>
    </row>
    <row r="776" spans="1:14" x14ac:dyDescent="0.25">
      <c r="B776" s="3">
        <f>SUM(B775)</f>
        <v>446355</v>
      </c>
      <c r="C776" s="3">
        <f>SUM(C775)</f>
        <v>483000</v>
      </c>
      <c r="E776" s="83">
        <f>C776-B776</f>
        <v>36645</v>
      </c>
      <c r="F776" s="72">
        <v>43187</v>
      </c>
      <c r="G776" s="72">
        <v>43188</v>
      </c>
    </row>
    <row r="778" spans="1:14" x14ac:dyDescent="0.25">
      <c r="A778" t="s">
        <v>1268</v>
      </c>
      <c r="B778" s="3">
        <v>35762.400000000001</v>
      </c>
      <c r="C778" s="91">
        <v>4193.6000000000004</v>
      </c>
      <c r="D778" s="72">
        <v>43183</v>
      </c>
      <c r="E778" s="3" t="s">
        <v>842</v>
      </c>
      <c r="L778" s="62"/>
      <c r="M778" s="72"/>
      <c r="N778" s="72"/>
    </row>
    <row r="779" spans="1:14" x14ac:dyDescent="0.25">
      <c r="C779" s="3">
        <v>7036</v>
      </c>
      <c r="D779" s="72">
        <v>43187</v>
      </c>
      <c r="E779" s="3" t="s">
        <v>1269</v>
      </c>
    </row>
    <row r="780" spans="1:14" x14ac:dyDescent="0.25">
      <c r="C780" s="3">
        <v>8206</v>
      </c>
      <c r="D780" s="72">
        <v>43186</v>
      </c>
      <c r="E780" s="3" t="s">
        <v>1270</v>
      </c>
    </row>
    <row r="781" spans="1:14" x14ac:dyDescent="0.25">
      <c r="C781" s="3">
        <v>16327</v>
      </c>
    </row>
    <row r="782" spans="1:14" x14ac:dyDescent="0.25">
      <c r="B782" s="3">
        <f>SUM(B778:B781)</f>
        <v>35762.400000000001</v>
      </c>
      <c r="C782" s="3">
        <f>SUM(C778:C781)</f>
        <v>35762.6</v>
      </c>
      <c r="E782" s="3">
        <f>C782-B782</f>
        <v>0.19999999999708962</v>
      </c>
      <c r="F782" s="72">
        <v>43188</v>
      </c>
      <c r="G782" s="72">
        <v>43188</v>
      </c>
    </row>
    <row r="784" spans="1:14" x14ac:dyDescent="0.25">
      <c r="A784" t="s">
        <v>1271</v>
      </c>
      <c r="B784" s="3">
        <v>434147</v>
      </c>
      <c r="C784" s="3">
        <v>996000</v>
      </c>
      <c r="D784" s="72">
        <v>43192</v>
      </c>
      <c r="E784" s="3" t="s">
        <v>846</v>
      </c>
    </row>
    <row r="785" spans="1:7" x14ac:dyDescent="0.25">
      <c r="B785" s="3">
        <f>SUM(B784)</f>
        <v>434147</v>
      </c>
      <c r="C785" s="3">
        <f>SUM(C784)</f>
        <v>996000</v>
      </c>
      <c r="E785" s="86">
        <f>C785-B785</f>
        <v>561853</v>
      </c>
      <c r="F785" s="72">
        <v>43192</v>
      </c>
      <c r="G785" s="72">
        <v>43194</v>
      </c>
    </row>
    <row r="787" spans="1:7" x14ac:dyDescent="0.25">
      <c r="A787" t="s">
        <v>1272</v>
      </c>
      <c r="B787" s="3">
        <v>17072.400000000001</v>
      </c>
      <c r="C787" s="3">
        <v>744000</v>
      </c>
      <c r="D787" s="72">
        <v>43193</v>
      </c>
      <c r="E787" s="3" t="s">
        <v>846</v>
      </c>
    </row>
    <row r="788" spans="1:7" x14ac:dyDescent="0.25">
      <c r="A788" t="s">
        <v>1273</v>
      </c>
      <c r="B788" s="3">
        <v>913769</v>
      </c>
      <c r="C788" s="3">
        <v>55000</v>
      </c>
      <c r="D788" s="72">
        <v>43188</v>
      </c>
      <c r="E788" s="3" t="s">
        <v>934</v>
      </c>
    </row>
    <row r="789" spans="1:7" x14ac:dyDescent="0.25">
      <c r="A789" t="s">
        <v>1274</v>
      </c>
      <c r="B789" s="3">
        <v>224438</v>
      </c>
      <c r="C789" s="3">
        <v>101300</v>
      </c>
      <c r="D789" s="72">
        <v>43188</v>
      </c>
      <c r="E789" s="3" t="s">
        <v>934</v>
      </c>
    </row>
    <row r="790" spans="1:7" x14ac:dyDescent="0.25">
      <c r="C790" s="3">
        <v>32170</v>
      </c>
      <c r="D790" s="72">
        <v>43193</v>
      </c>
    </row>
    <row r="791" spans="1:7" x14ac:dyDescent="0.25">
      <c r="C791" s="83">
        <v>36645</v>
      </c>
      <c r="D791" s="72">
        <v>43187</v>
      </c>
      <c r="E791" s="3" t="s">
        <v>842</v>
      </c>
    </row>
    <row r="792" spans="1:7" x14ac:dyDescent="0.25">
      <c r="C792" s="99">
        <v>162360</v>
      </c>
      <c r="D792" s="72">
        <v>43169</v>
      </c>
      <c r="E792" s="3" t="s">
        <v>842</v>
      </c>
    </row>
    <row r="793" spans="1:7" x14ac:dyDescent="0.25">
      <c r="C793" s="3">
        <v>41470</v>
      </c>
      <c r="D793" s="72">
        <v>43194</v>
      </c>
    </row>
    <row r="794" spans="1:7" x14ac:dyDescent="0.25">
      <c r="B794" s="3">
        <f>SUM(B787:B793)</f>
        <v>1155279.3999999999</v>
      </c>
      <c r="C794" s="3">
        <f>SUM(C787:C793)</f>
        <v>1172945</v>
      </c>
      <c r="E794" s="103">
        <f>C794-B794</f>
        <v>17665.600000000093</v>
      </c>
      <c r="F794" s="72">
        <v>43193</v>
      </c>
      <c r="G794" s="72">
        <v>43194</v>
      </c>
    </row>
    <row r="796" spans="1:7" x14ac:dyDescent="0.25">
      <c r="A796" t="s">
        <v>1275</v>
      </c>
      <c r="B796" s="3">
        <v>24985</v>
      </c>
      <c r="C796" s="3">
        <v>322000</v>
      </c>
      <c r="D796" s="72">
        <v>43194</v>
      </c>
      <c r="E796" s="3" t="s">
        <v>846</v>
      </c>
    </row>
    <row r="797" spans="1:7" x14ac:dyDescent="0.25">
      <c r="A797" t="s">
        <v>1276</v>
      </c>
      <c r="B797" s="3">
        <v>228900</v>
      </c>
    </row>
    <row r="798" spans="1:7" x14ac:dyDescent="0.25">
      <c r="B798" s="3">
        <f>SUM(B796:B797)</f>
        <v>253885</v>
      </c>
      <c r="C798" s="3">
        <f>SUM(C796:C797)</f>
        <v>322000</v>
      </c>
      <c r="E798" s="95">
        <f>C798-B798</f>
        <v>68115</v>
      </c>
      <c r="F798" s="72">
        <v>43194</v>
      </c>
      <c r="G798" s="72">
        <v>43195</v>
      </c>
    </row>
    <row r="800" spans="1:7" x14ac:dyDescent="0.25">
      <c r="A800" t="s">
        <v>1277</v>
      </c>
      <c r="B800" s="3">
        <v>416542.5</v>
      </c>
      <c r="C800" s="3">
        <v>304000</v>
      </c>
      <c r="D800" s="72">
        <v>43198</v>
      </c>
      <c r="E800" s="3" t="s">
        <v>846</v>
      </c>
    </row>
    <row r="801" spans="1:7" x14ac:dyDescent="0.25">
      <c r="A801" t="s">
        <v>1278</v>
      </c>
      <c r="B801" s="3">
        <v>12030.4</v>
      </c>
      <c r="C801" s="95">
        <v>68115</v>
      </c>
      <c r="D801" s="72">
        <v>43194</v>
      </c>
      <c r="E801" s="3" t="s">
        <v>842</v>
      </c>
    </row>
    <row r="802" spans="1:7" x14ac:dyDescent="0.25">
      <c r="C802" s="103">
        <v>17665.599999999999</v>
      </c>
      <c r="D802" s="72">
        <v>43193</v>
      </c>
      <c r="E802" s="3" t="s">
        <v>842</v>
      </c>
    </row>
    <row r="803" spans="1:7" x14ac:dyDescent="0.25">
      <c r="C803" s="3">
        <v>42150</v>
      </c>
      <c r="D803" s="72">
        <v>43195</v>
      </c>
    </row>
    <row r="804" spans="1:7" x14ac:dyDescent="0.25">
      <c r="B804" s="3">
        <f>SUM(B800:B803)</f>
        <v>428572.9</v>
      </c>
      <c r="C804" s="3">
        <f>SUM(C800:C803)</f>
        <v>431930.6</v>
      </c>
      <c r="E804" s="104">
        <f>C804-B804</f>
        <v>3357.6999999999534</v>
      </c>
      <c r="F804" s="72">
        <v>43195</v>
      </c>
      <c r="G804" s="72">
        <v>43196</v>
      </c>
    </row>
    <row r="806" spans="1:7" x14ac:dyDescent="0.25">
      <c r="A806" t="s">
        <v>1279</v>
      </c>
      <c r="B806" s="3">
        <v>423828</v>
      </c>
      <c r="C806" s="3">
        <v>463000</v>
      </c>
      <c r="D806" s="72">
        <v>43196</v>
      </c>
      <c r="E806" s="3" t="s">
        <v>846</v>
      </c>
    </row>
    <row r="807" spans="1:7" x14ac:dyDescent="0.25">
      <c r="B807" s="3">
        <f>SUM(B806)</f>
        <v>423828</v>
      </c>
      <c r="C807" s="3">
        <f>SUM(C806)</f>
        <v>463000</v>
      </c>
      <c r="E807" s="54">
        <f>C807-B807</f>
        <v>39172</v>
      </c>
      <c r="F807" s="72">
        <v>43196</v>
      </c>
      <c r="G807" s="72">
        <v>43197</v>
      </c>
    </row>
    <row r="809" spans="1:7" x14ac:dyDescent="0.25">
      <c r="A809" t="s">
        <v>1280</v>
      </c>
      <c r="B809" s="3">
        <v>36403.199999999997</v>
      </c>
      <c r="C809" s="3">
        <v>290000</v>
      </c>
      <c r="D809" s="72">
        <v>43197</v>
      </c>
      <c r="E809" s="3" t="s">
        <v>846</v>
      </c>
    </row>
    <row r="810" spans="1:7" x14ac:dyDescent="0.25">
      <c r="A810" t="s">
        <v>1281</v>
      </c>
      <c r="B810" s="3">
        <v>224840</v>
      </c>
      <c r="C810" s="104">
        <v>3357.7</v>
      </c>
      <c r="D810" s="72">
        <v>43195</v>
      </c>
      <c r="E810" s="3" t="s">
        <v>842</v>
      </c>
    </row>
    <row r="811" spans="1:7" x14ac:dyDescent="0.25">
      <c r="A811" t="s">
        <v>1282</v>
      </c>
      <c r="B811" s="3">
        <v>30852</v>
      </c>
    </row>
    <row r="812" spans="1:7" x14ac:dyDescent="0.25">
      <c r="B812" s="3">
        <f>SUM(B809:B811)</f>
        <v>292095.2</v>
      </c>
      <c r="C812" s="3">
        <f>SUM(C809:C811)</f>
        <v>293357.7</v>
      </c>
      <c r="E812" s="83">
        <f>C812-B812</f>
        <v>1262.5</v>
      </c>
      <c r="F812" s="72">
        <v>43197</v>
      </c>
      <c r="G812" s="72">
        <v>43197</v>
      </c>
    </row>
    <row r="814" spans="1:7" x14ac:dyDescent="0.25">
      <c r="A814" t="s">
        <v>1283</v>
      </c>
      <c r="B814" s="3">
        <v>466877</v>
      </c>
      <c r="C814" s="3">
        <v>548000</v>
      </c>
      <c r="D814" s="72">
        <v>43199</v>
      </c>
      <c r="E814" s="3" t="s">
        <v>846</v>
      </c>
    </row>
    <row r="815" spans="1:7" x14ac:dyDescent="0.25">
      <c r="B815" s="3">
        <f>SUM(B814)</f>
        <v>466877</v>
      </c>
      <c r="C815" s="3">
        <f>SUM(C814)</f>
        <v>548000</v>
      </c>
      <c r="E815" s="99">
        <f>C815-B815</f>
        <v>81123</v>
      </c>
      <c r="F815" s="72">
        <v>43199</v>
      </c>
      <c r="G815" s="72">
        <v>43202</v>
      </c>
    </row>
    <row r="817" spans="1:7" x14ac:dyDescent="0.25">
      <c r="A817" t="s">
        <v>1284</v>
      </c>
      <c r="B817" s="3">
        <v>260442</v>
      </c>
      <c r="C817" s="3">
        <v>348000</v>
      </c>
      <c r="D817" s="72">
        <v>43200</v>
      </c>
      <c r="E817" s="3" t="s">
        <v>846</v>
      </c>
    </row>
    <row r="818" spans="1:7" x14ac:dyDescent="0.25">
      <c r="B818" s="3">
        <f>SUM(B817)</f>
        <v>260442</v>
      </c>
      <c r="C818" s="3">
        <f>SUM(C817)</f>
        <v>348000</v>
      </c>
      <c r="E818" s="86">
        <f>C818-B818</f>
        <v>87558</v>
      </c>
      <c r="F818" s="72">
        <v>43200</v>
      </c>
      <c r="G818" s="72">
        <v>43202</v>
      </c>
    </row>
    <row r="820" spans="1:7" x14ac:dyDescent="0.25">
      <c r="A820" t="s">
        <v>1285</v>
      </c>
      <c r="B820" s="3">
        <v>412352</v>
      </c>
      <c r="C820" s="3">
        <v>295000</v>
      </c>
      <c r="D820" s="72">
        <v>43201</v>
      </c>
      <c r="E820" s="3" t="s">
        <v>846</v>
      </c>
    </row>
    <row r="821" spans="1:7" x14ac:dyDescent="0.25">
      <c r="C821" s="3">
        <v>62500</v>
      </c>
      <c r="D821" s="72">
        <v>43196</v>
      </c>
    </row>
    <row r="822" spans="1:7" x14ac:dyDescent="0.25">
      <c r="C822" s="3">
        <v>16940</v>
      </c>
      <c r="D822" s="72">
        <v>43199</v>
      </c>
    </row>
    <row r="823" spans="1:7" x14ac:dyDescent="0.25">
      <c r="C823" s="54">
        <v>39182</v>
      </c>
      <c r="D823" s="72">
        <v>43196</v>
      </c>
      <c r="E823" s="3" t="s">
        <v>842</v>
      </c>
    </row>
    <row r="824" spans="1:7" x14ac:dyDescent="0.25">
      <c r="C824" s="83">
        <v>1262.5</v>
      </c>
      <c r="D824" s="72">
        <v>43197</v>
      </c>
      <c r="E824" s="3" t="s">
        <v>842</v>
      </c>
    </row>
    <row r="825" spans="1:7" x14ac:dyDescent="0.25">
      <c r="B825" s="3">
        <f>SUM(B820:B824)</f>
        <v>412352</v>
      </c>
      <c r="C825" s="3">
        <f>SUM(C820:C824)</f>
        <v>414884.5</v>
      </c>
      <c r="E825" s="50">
        <f>C825-B825</f>
        <v>2532.5</v>
      </c>
      <c r="F825" s="72">
        <v>43201</v>
      </c>
      <c r="G825" s="72">
        <v>43202</v>
      </c>
    </row>
    <row r="827" spans="1:7" x14ac:dyDescent="0.25">
      <c r="A827" t="s">
        <v>1286</v>
      </c>
      <c r="B827" s="3">
        <v>434322</v>
      </c>
      <c r="C827" s="3">
        <v>413000</v>
      </c>
      <c r="D827" s="72">
        <v>43203</v>
      </c>
    </row>
    <row r="828" spans="1:7" x14ac:dyDescent="0.25">
      <c r="A828" t="s">
        <v>1287</v>
      </c>
      <c r="B828" s="3">
        <v>243697</v>
      </c>
      <c r="C828" s="3">
        <v>265000</v>
      </c>
      <c r="D828" s="72">
        <v>43202</v>
      </c>
    </row>
    <row r="829" spans="1:7" x14ac:dyDescent="0.25">
      <c r="A829" t="s">
        <v>1288</v>
      </c>
      <c r="B829" s="3">
        <v>5047.2</v>
      </c>
      <c r="C829" s="50">
        <v>2522.5</v>
      </c>
      <c r="D829" s="72">
        <v>43201</v>
      </c>
      <c r="E829" s="3" t="s">
        <v>842</v>
      </c>
    </row>
    <row r="830" spans="1:7" x14ac:dyDescent="0.25">
      <c r="C830" s="3">
        <v>2543</v>
      </c>
      <c r="D830" s="72">
        <v>43204</v>
      </c>
      <c r="E830" s="3" t="s">
        <v>849</v>
      </c>
    </row>
    <row r="831" spans="1:7" x14ac:dyDescent="0.25">
      <c r="B831" s="3">
        <f>SUM(B827:B830)</f>
        <v>683066.2</v>
      </c>
      <c r="C831" s="3">
        <f>SUM(C827:C830)</f>
        <v>683065.5</v>
      </c>
      <c r="E831" s="3">
        <f>C831-B831</f>
        <v>-0.69999999995343387</v>
      </c>
      <c r="F831" s="72">
        <v>43204</v>
      </c>
      <c r="G831" s="72">
        <v>43204</v>
      </c>
    </row>
    <row r="833" spans="1:7" x14ac:dyDescent="0.25">
      <c r="A833" t="s">
        <v>1289</v>
      </c>
      <c r="B833" s="3">
        <v>17195</v>
      </c>
      <c r="C833" s="3">
        <v>462000</v>
      </c>
      <c r="D833" s="72">
        <v>43204</v>
      </c>
      <c r="E833" s="3" t="s">
        <v>846</v>
      </c>
    </row>
    <row r="834" spans="1:7" x14ac:dyDescent="0.25">
      <c r="A834" t="s">
        <v>1290</v>
      </c>
      <c r="B834" s="3">
        <v>461305</v>
      </c>
      <c r="C834" s="3">
        <v>43800</v>
      </c>
      <c r="D834" s="72">
        <v>43202</v>
      </c>
    </row>
    <row r="835" spans="1:7" x14ac:dyDescent="0.25">
      <c r="A835" t="s">
        <v>1291</v>
      </c>
      <c r="B835" s="3">
        <v>21390.2</v>
      </c>
    </row>
    <row r="836" spans="1:7" x14ac:dyDescent="0.25">
      <c r="B836" s="3">
        <f>SUM(B833:B835)</f>
        <v>499890.2</v>
      </c>
      <c r="C836" s="3">
        <f>SUM(C833:C835)</f>
        <v>505800</v>
      </c>
      <c r="E836" s="63">
        <f>C836-B836</f>
        <v>5909.7999999999884</v>
      </c>
      <c r="F836" s="72">
        <v>43204</v>
      </c>
      <c r="G836" s="72">
        <v>43204</v>
      </c>
    </row>
    <row r="838" spans="1:7" x14ac:dyDescent="0.25">
      <c r="A838" t="s">
        <v>1292</v>
      </c>
      <c r="B838" s="3">
        <v>444483</v>
      </c>
      <c r="C838" s="3">
        <v>286000</v>
      </c>
      <c r="D838" s="72">
        <v>43206</v>
      </c>
      <c r="E838" s="3" t="s">
        <v>846</v>
      </c>
    </row>
    <row r="839" spans="1:7" x14ac:dyDescent="0.25">
      <c r="C839" s="99">
        <v>81123</v>
      </c>
      <c r="D839" s="72">
        <v>43199</v>
      </c>
      <c r="E839" s="3" t="s">
        <v>842</v>
      </c>
    </row>
    <row r="840" spans="1:7" x14ac:dyDescent="0.25">
      <c r="C840" s="86">
        <v>87558</v>
      </c>
      <c r="D840" s="72">
        <v>43200</v>
      </c>
      <c r="E840" s="3" t="s">
        <v>842</v>
      </c>
    </row>
    <row r="841" spans="1:7" x14ac:dyDescent="0.25">
      <c r="C841" s="63">
        <v>5910</v>
      </c>
      <c r="D841" s="72">
        <v>43204</v>
      </c>
      <c r="E841" s="3" t="s">
        <v>842</v>
      </c>
    </row>
    <row r="842" spans="1:7" x14ac:dyDescent="0.25">
      <c r="B842" s="3">
        <f>SUM(B838:B841)</f>
        <v>444483</v>
      </c>
      <c r="C842" s="3">
        <f>SUM(C838:C841)</f>
        <v>460591</v>
      </c>
      <c r="E842" s="83">
        <f>C842-B842</f>
        <v>16108</v>
      </c>
      <c r="F842" s="72">
        <v>43206</v>
      </c>
      <c r="G842" s="72">
        <v>43208</v>
      </c>
    </row>
    <row r="844" spans="1:7" x14ac:dyDescent="0.25">
      <c r="A844" t="s">
        <v>1293</v>
      </c>
      <c r="B844" s="3">
        <v>465744</v>
      </c>
      <c r="C844" s="3">
        <v>739000</v>
      </c>
      <c r="D844" s="72">
        <v>43208</v>
      </c>
      <c r="E844" s="3" t="s">
        <v>846</v>
      </c>
    </row>
    <row r="845" spans="1:7" x14ac:dyDescent="0.25">
      <c r="A845" t="s">
        <v>1294</v>
      </c>
      <c r="B845" s="3">
        <v>221712</v>
      </c>
    </row>
    <row r="846" spans="1:7" x14ac:dyDescent="0.25">
      <c r="B846" s="3">
        <f>SUM(B844:B845)</f>
        <v>687456</v>
      </c>
      <c r="C846" s="3">
        <f>SUM(C844:C845)</f>
        <v>739000</v>
      </c>
      <c r="E846" s="105">
        <f>C846-B846</f>
        <v>51544</v>
      </c>
      <c r="F846" s="72">
        <v>43208</v>
      </c>
      <c r="G846" s="72">
        <v>43209</v>
      </c>
    </row>
    <row r="848" spans="1:7" x14ac:dyDescent="0.25">
      <c r="A848" t="s">
        <v>1295</v>
      </c>
      <c r="B848" s="3">
        <v>232379</v>
      </c>
      <c r="C848" s="3">
        <v>676000</v>
      </c>
      <c r="D848" s="72">
        <v>43210</v>
      </c>
      <c r="E848" s="3" t="s">
        <v>846</v>
      </c>
    </row>
    <row r="849" spans="1:7" x14ac:dyDescent="0.25">
      <c r="A849" t="s">
        <v>1296</v>
      </c>
      <c r="B849" s="3">
        <v>231756</v>
      </c>
    </row>
    <row r="850" spans="1:7" x14ac:dyDescent="0.25">
      <c r="B850" s="3">
        <f>SUM(B848:B849)</f>
        <v>464135</v>
      </c>
      <c r="C850" s="3">
        <f>SUM(C848:C849)</f>
        <v>676000</v>
      </c>
      <c r="E850" s="92">
        <f>C850-B850</f>
        <v>211865</v>
      </c>
      <c r="F850" s="72">
        <v>43210</v>
      </c>
      <c r="G850" s="72">
        <v>43211</v>
      </c>
    </row>
    <row r="852" spans="1:7" x14ac:dyDescent="0.25">
      <c r="A852" t="s">
        <v>1297</v>
      </c>
      <c r="B852" s="3">
        <v>426650</v>
      </c>
      <c r="C852" s="3">
        <v>272000</v>
      </c>
      <c r="D852" s="72">
        <v>43211</v>
      </c>
      <c r="E852" s="3" t="s">
        <v>846</v>
      </c>
    </row>
    <row r="853" spans="1:7" x14ac:dyDescent="0.25">
      <c r="C853" s="3">
        <v>50000</v>
      </c>
      <c r="D853" s="72">
        <v>43211</v>
      </c>
    </row>
    <row r="854" spans="1:7" x14ac:dyDescent="0.25">
      <c r="C854" s="83">
        <v>16108</v>
      </c>
      <c r="D854" s="72">
        <v>43206</v>
      </c>
      <c r="E854" s="3" t="s">
        <v>842</v>
      </c>
    </row>
    <row r="855" spans="1:7" x14ac:dyDescent="0.25">
      <c r="C855" s="105">
        <v>51544</v>
      </c>
      <c r="D855" s="72">
        <v>43208</v>
      </c>
      <c r="E855" s="3" t="s">
        <v>842</v>
      </c>
    </row>
    <row r="856" spans="1:7" x14ac:dyDescent="0.25">
      <c r="C856" s="3">
        <v>36998</v>
      </c>
      <c r="D856" s="72">
        <v>43211</v>
      </c>
      <c r="E856" s="3" t="s">
        <v>849</v>
      </c>
    </row>
    <row r="857" spans="1:7" x14ac:dyDescent="0.25">
      <c r="B857" s="3">
        <f>SUM(B852:B856)</f>
        <v>426650</v>
      </c>
      <c r="C857" s="3">
        <f>SUM(C852:C856)</f>
        <v>426650</v>
      </c>
      <c r="E857" s="3">
        <f>C857-B857</f>
        <v>0</v>
      </c>
      <c r="F857" s="72">
        <v>43211</v>
      </c>
      <c r="G857" s="72">
        <v>43211</v>
      </c>
    </row>
    <row r="859" spans="1:7" x14ac:dyDescent="0.25">
      <c r="A859" t="s">
        <v>1298</v>
      </c>
      <c r="B859" s="3">
        <v>5112</v>
      </c>
      <c r="C859" s="3">
        <v>1061000</v>
      </c>
      <c r="D859" s="72">
        <v>43215</v>
      </c>
      <c r="E859" s="3" t="s">
        <v>846</v>
      </c>
    </row>
    <row r="860" spans="1:7" x14ac:dyDescent="0.25">
      <c r="A860" t="s">
        <v>1299</v>
      </c>
      <c r="B860" s="3">
        <v>30633.7</v>
      </c>
    </row>
    <row r="861" spans="1:7" x14ac:dyDescent="0.25">
      <c r="A861" t="s">
        <v>1300</v>
      </c>
      <c r="B861" s="3">
        <v>451236</v>
      </c>
    </row>
    <row r="862" spans="1:7" x14ac:dyDescent="0.25">
      <c r="A862" t="s">
        <v>1301</v>
      </c>
      <c r="B862" s="3">
        <v>227424</v>
      </c>
    </row>
    <row r="863" spans="1:7" x14ac:dyDescent="0.25">
      <c r="A863" t="s">
        <v>1302</v>
      </c>
      <c r="B863" s="3">
        <v>242802</v>
      </c>
    </row>
    <row r="864" spans="1:7" x14ac:dyDescent="0.25">
      <c r="B864" s="3">
        <f>SUM(B859:B863)</f>
        <v>957207.7</v>
      </c>
      <c r="C864" s="3">
        <f>SUM(C859:C863)</f>
        <v>1061000</v>
      </c>
      <c r="E864" s="79">
        <f>C864-B864</f>
        <v>103792.30000000005</v>
      </c>
      <c r="F864" s="72">
        <v>43215</v>
      </c>
      <c r="G864" s="72">
        <v>43216</v>
      </c>
    </row>
    <row r="866" spans="1:7" x14ac:dyDescent="0.25">
      <c r="A866" t="s">
        <v>1303</v>
      </c>
      <c r="B866" s="3">
        <v>230422.5</v>
      </c>
      <c r="C866" s="3">
        <v>273000</v>
      </c>
      <c r="D866" s="72">
        <v>43216</v>
      </c>
      <c r="E866" s="3" t="s">
        <v>846</v>
      </c>
    </row>
    <row r="867" spans="1:7" x14ac:dyDescent="0.25">
      <c r="B867" s="3">
        <f>SUM(B866)</f>
        <v>230422.5</v>
      </c>
      <c r="C867" s="3">
        <f>SUM(C866)</f>
        <v>273000</v>
      </c>
      <c r="E867" s="50">
        <f>C867-B867</f>
        <v>42577.5</v>
      </c>
      <c r="F867" s="72">
        <v>43217</v>
      </c>
      <c r="G867" s="72">
        <v>43217</v>
      </c>
    </row>
    <row r="869" spans="1:7" x14ac:dyDescent="0.25">
      <c r="A869" t="s">
        <v>1304</v>
      </c>
      <c r="B869" s="3">
        <v>448474</v>
      </c>
      <c r="C869" s="3">
        <v>421000</v>
      </c>
      <c r="D869" s="72">
        <v>43217</v>
      </c>
      <c r="E869" s="3" t="s">
        <v>846</v>
      </c>
    </row>
    <row r="870" spans="1:7" x14ac:dyDescent="0.25">
      <c r="C870" s="50">
        <v>42577.5</v>
      </c>
      <c r="D870" s="72">
        <v>43217</v>
      </c>
      <c r="E870" s="3" t="s">
        <v>842</v>
      </c>
    </row>
    <row r="871" spans="1:7" x14ac:dyDescent="0.25">
      <c r="B871" s="3">
        <f>SUM(B869:B870)</f>
        <v>448474</v>
      </c>
      <c r="C871" s="3">
        <f>SUM(C869:C870)</f>
        <v>463577.5</v>
      </c>
      <c r="E871" s="86">
        <f>C871-B871</f>
        <v>15103.5</v>
      </c>
      <c r="F871" s="72">
        <v>43217</v>
      </c>
      <c r="G871" s="72">
        <v>43218</v>
      </c>
    </row>
    <row r="873" spans="1:7" x14ac:dyDescent="0.25">
      <c r="A873" t="s">
        <v>1305</v>
      </c>
      <c r="B873" s="3">
        <v>473616</v>
      </c>
      <c r="C873" s="3">
        <v>328000</v>
      </c>
      <c r="D873" s="72">
        <v>43218</v>
      </c>
      <c r="E873" s="3" t="s">
        <v>846</v>
      </c>
    </row>
    <row r="874" spans="1:7" x14ac:dyDescent="0.25">
      <c r="C874" s="3">
        <v>57000</v>
      </c>
      <c r="D874" s="72">
        <v>43216</v>
      </c>
    </row>
    <row r="875" spans="1:7" x14ac:dyDescent="0.25">
      <c r="C875" s="3">
        <v>100000</v>
      </c>
      <c r="D875" s="72">
        <v>43218</v>
      </c>
      <c r="E875" s="3" t="s">
        <v>849</v>
      </c>
    </row>
    <row r="876" spans="1:7" x14ac:dyDescent="0.25">
      <c r="B876" s="3">
        <f>SUM(B873:B875)</f>
        <v>473616</v>
      </c>
      <c r="C876" s="3">
        <f>SUM(C873:C875)</f>
        <v>485000</v>
      </c>
      <c r="E876" s="63">
        <f>C876-B876</f>
        <v>11384</v>
      </c>
      <c r="F876" s="72">
        <v>43218</v>
      </c>
      <c r="G876" s="72">
        <v>43218</v>
      </c>
    </row>
    <row r="878" spans="1:7" x14ac:dyDescent="0.25">
      <c r="A878" t="s">
        <v>1306</v>
      </c>
      <c r="B878" s="3">
        <v>444307.5</v>
      </c>
      <c r="C878" s="3">
        <v>597000</v>
      </c>
      <c r="D878" s="72">
        <v>43225</v>
      </c>
      <c r="E878" s="3" t="s">
        <v>846</v>
      </c>
    </row>
    <row r="879" spans="1:7" x14ac:dyDescent="0.25">
      <c r="A879" t="s">
        <v>1307</v>
      </c>
      <c r="B879" s="3">
        <v>465532</v>
      </c>
      <c r="C879" s="3">
        <v>305000</v>
      </c>
      <c r="D879" s="72">
        <v>43220</v>
      </c>
      <c r="E879" s="3" t="s">
        <v>846</v>
      </c>
    </row>
    <row r="880" spans="1:7" x14ac:dyDescent="0.25">
      <c r="C880" s="3">
        <v>59350</v>
      </c>
      <c r="D880" s="72">
        <v>43223</v>
      </c>
    </row>
    <row r="881" spans="1:7" x14ac:dyDescent="0.25">
      <c r="B881" s="3">
        <f>SUM(B878:B880)</f>
        <v>909839.5</v>
      </c>
      <c r="C881" s="3">
        <f>SUM(C878:C880)</f>
        <v>961350</v>
      </c>
      <c r="E881" s="96">
        <f>C881-B881</f>
        <v>51510.5</v>
      </c>
      <c r="F881" s="72">
        <v>43222</v>
      </c>
      <c r="G881" s="72">
        <v>43224</v>
      </c>
    </row>
    <row r="883" spans="1:7" x14ac:dyDescent="0.25">
      <c r="A883" t="s">
        <v>1308</v>
      </c>
      <c r="B883" s="3">
        <v>217440</v>
      </c>
      <c r="C883" s="3">
        <v>315000</v>
      </c>
      <c r="D883" s="72">
        <v>43223</v>
      </c>
      <c r="E883" s="3" t="s">
        <v>846</v>
      </c>
    </row>
    <row r="884" spans="1:7" x14ac:dyDescent="0.25">
      <c r="B884" s="3">
        <f>SUM(B883)</f>
        <v>217440</v>
      </c>
      <c r="C884" s="3">
        <f>SUM(C883)</f>
        <v>315000</v>
      </c>
      <c r="E884" s="51">
        <f>C884-B884</f>
        <v>97560</v>
      </c>
      <c r="F884" s="72">
        <v>43223</v>
      </c>
      <c r="G884" s="72">
        <v>43224</v>
      </c>
    </row>
    <row r="886" spans="1:7" x14ac:dyDescent="0.25">
      <c r="A886" t="s">
        <v>1309</v>
      </c>
      <c r="B886" s="3">
        <v>12902.4</v>
      </c>
      <c r="C886" s="3">
        <v>305000</v>
      </c>
      <c r="D886" s="72">
        <v>43224</v>
      </c>
      <c r="E886" s="3" t="s">
        <v>1310</v>
      </c>
    </row>
    <row r="887" spans="1:7" x14ac:dyDescent="0.25">
      <c r="A887" t="s">
        <v>1311</v>
      </c>
      <c r="B887" s="3">
        <v>205175</v>
      </c>
    </row>
    <row r="888" spans="1:7" x14ac:dyDescent="0.25">
      <c r="B888" s="3">
        <f>SUM(B886:B887)</f>
        <v>218077.4</v>
      </c>
      <c r="C888" s="3">
        <f>SUM(C886:C887)</f>
        <v>305000</v>
      </c>
      <c r="E888" s="54">
        <f>C888-B888</f>
        <v>86922.6</v>
      </c>
      <c r="F888" s="72">
        <v>43224</v>
      </c>
      <c r="G888" s="72">
        <v>43225</v>
      </c>
    </row>
    <row r="890" spans="1:7" x14ac:dyDescent="0.25">
      <c r="A890" t="s">
        <v>1312</v>
      </c>
      <c r="B890" s="3">
        <v>428608</v>
      </c>
      <c r="C890" s="3">
        <v>600000</v>
      </c>
      <c r="D890" s="72">
        <v>43229</v>
      </c>
      <c r="E890" s="3" t="s">
        <v>1313</v>
      </c>
    </row>
    <row r="891" spans="1:7" x14ac:dyDescent="0.25">
      <c r="A891" t="s">
        <v>1314</v>
      </c>
      <c r="B891" s="3">
        <v>474715</v>
      </c>
      <c r="C891" s="3">
        <v>676000</v>
      </c>
      <c r="D891" s="72">
        <v>43229</v>
      </c>
      <c r="E891" s="3" t="s">
        <v>1313</v>
      </c>
    </row>
    <row r="892" spans="1:7" x14ac:dyDescent="0.25">
      <c r="A892" t="s">
        <v>1315</v>
      </c>
      <c r="B892" s="3">
        <v>243626</v>
      </c>
    </row>
    <row r="893" spans="1:7" x14ac:dyDescent="0.25">
      <c r="B893" s="3">
        <f>SUM(B890:B892)</f>
        <v>1146949</v>
      </c>
      <c r="C893" s="3">
        <f>SUM(C890:C892)</f>
        <v>1276000</v>
      </c>
      <c r="E893" s="83">
        <f>C893-B893</f>
        <v>129051</v>
      </c>
      <c r="F893" s="72">
        <v>43229</v>
      </c>
      <c r="G893" s="72">
        <v>43230</v>
      </c>
    </row>
    <row r="895" spans="1:7" x14ac:dyDescent="0.25">
      <c r="A895" t="s">
        <v>1316</v>
      </c>
      <c r="B895" s="3">
        <v>214312</v>
      </c>
      <c r="C895" s="3">
        <v>4236</v>
      </c>
      <c r="D895" s="72">
        <v>43229</v>
      </c>
      <c r="E895" s="3" t="s">
        <v>1317</v>
      </c>
    </row>
    <row r="896" spans="1:7" x14ac:dyDescent="0.25">
      <c r="A896" t="s">
        <v>1318</v>
      </c>
      <c r="B896" s="3">
        <v>206610</v>
      </c>
      <c r="C896" s="3">
        <v>22308</v>
      </c>
      <c r="D896" s="72">
        <v>43223</v>
      </c>
      <c r="E896" s="3" t="s">
        <v>1319</v>
      </c>
    </row>
    <row r="897" spans="1:7" x14ac:dyDescent="0.25">
      <c r="C897" s="3">
        <v>4300</v>
      </c>
      <c r="D897" s="72">
        <v>43223</v>
      </c>
      <c r="E897" s="3" t="s">
        <v>1320</v>
      </c>
    </row>
    <row r="898" spans="1:7" x14ac:dyDescent="0.25">
      <c r="C898" s="3">
        <v>15250</v>
      </c>
      <c r="D898" s="72">
        <v>43224</v>
      </c>
    </row>
    <row r="899" spans="1:7" x14ac:dyDescent="0.25">
      <c r="C899" s="3">
        <v>17300</v>
      </c>
      <c r="D899" s="72">
        <v>43227</v>
      </c>
    </row>
    <row r="900" spans="1:7" x14ac:dyDescent="0.25">
      <c r="C900" s="86">
        <v>15103.5</v>
      </c>
      <c r="D900" s="72">
        <v>43217</v>
      </c>
      <c r="E900" s="3" t="s">
        <v>842</v>
      </c>
    </row>
    <row r="901" spans="1:7" x14ac:dyDescent="0.25">
      <c r="C901" s="63">
        <v>11384</v>
      </c>
      <c r="D901" s="72">
        <v>43218</v>
      </c>
      <c r="E901" s="3" t="s">
        <v>842</v>
      </c>
    </row>
    <row r="902" spans="1:7" x14ac:dyDescent="0.25">
      <c r="C902" s="54">
        <v>86922.6</v>
      </c>
      <c r="D902" s="72">
        <v>43224</v>
      </c>
      <c r="E902" s="3" t="s">
        <v>842</v>
      </c>
    </row>
    <row r="903" spans="1:7" x14ac:dyDescent="0.25">
      <c r="C903" s="83">
        <v>129051</v>
      </c>
      <c r="D903" s="72">
        <v>43229</v>
      </c>
      <c r="E903" s="3" t="s">
        <v>842</v>
      </c>
    </row>
    <row r="904" spans="1:7" x14ac:dyDescent="0.25">
      <c r="C904" s="106">
        <v>51510.5</v>
      </c>
      <c r="D904" s="72">
        <v>43222</v>
      </c>
      <c r="E904" s="3" t="s">
        <v>842</v>
      </c>
    </row>
    <row r="905" spans="1:7" x14ac:dyDescent="0.25">
      <c r="C905" s="3">
        <v>40000</v>
      </c>
      <c r="D905" s="72">
        <v>43223</v>
      </c>
    </row>
    <row r="906" spans="1:7" x14ac:dyDescent="0.25">
      <c r="C906" s="3">
        <v>38000</v>
      </c>
      <c r="D906" s="72">
        <v>43230</v>
      </c>
    </row>
    <row r="907" spans="1:7" x14ac:dyDescent="0.25">
      <c r="B907" s="3">
        <f>SUM(B895:B906)</f>
        <v>420922</v>
      </c>
      <c r="C907" s="3">
        <f>SUM(C895:C906)</f>
        <v>435365.6</v>
      </c>
      <c r="E907" s="84">
        <f>C907-B907</f>
        <v>14443.599999999977</v>
      </c>
      <c r="F907" s="72">
        <v>43229</v>
      </c>
      <c r="G907" s="72">
        <v>43230</v>
      </c>
    </row>
    <row r="909" spans="1:7" x14ac:dyDescent="0.25">
      <c r="A909" t="s">
        <v>1321</v>
      </c>
      <c r="B909" s="3">
        <v>415452</v>
      </c>
      <c r="C909" s="3">
        <v>644000</v>
      </c>
      <c r="D909" s="72">
        <v>43231</v>
      </c>
      <c r="E909" s="3" t="s">
        <v>846</v>
      </c>
    </row>
    <row r="910" spans="1:7" x14ac:dyDescent="0.25">
      <c r="A910" t="s">
        <v>1322</v>
      </c>
      <c r="B910" s="3">
        <v>242110</v>
      </c>
      <c r="C910" s="3">
        <v>65095</v>
      </c>
      <c r="D910" s="72">
        <v>43229</v>
      </c>
      <c r="E910" s="3" t="s">
        <v>1323</v>
      </c>
    </row>
    <row r="911" spans="1:7" x14ac:dyDescent="0.25">
      <c r="A911" t="s">
        <v>1324</v>
      </c>
      <c r="B911" s="3">
        <v>2329.8000000000002</v>
      </c>
      <c r="C911" s="3">
        <v>1067</v>
      </c>
      <c r="D911" s="72">
        <v>43231</v>
      </c>
      <c r="E911" s="3" t="s">
        <v>1325</v>
      </c>
    </row>
    <row r="912" spans="1:7" x14ac:dyDescent="0.25">
      <c r="B912" s="3">
        <f>SUM(B909:B911)</f>
        <v>659891.80000000005</v>
      </c>
      <c r="C912" s="3">
        <f>SUM(C909:C911)</f>
        <v>710162</v>
      </c>
      <c r="E912" s="63">
        <f>C912-B912</f>
        <v>50270.199999999953</v>
      </c>
      <c r="F912" s="72">
        <v>43231</v>
      </c>
      <c r="G912" s="72">
        <v>43232</v>
      </c>
    </row>
    <row r="914" spans="1:7" x14ac:dyDescent="0.25">
      <c r="A914" t="s">
        <v>1326</v>
      </c>
      <c r="B914" s="3">
        <v>387660</v>
      </c>
      <c r="C914" s="3">
        <v>649000</v>
      </c>
      <c r="D914" s="72">
        <v>43234</v>
      </c>
      <c r="E914" s="3" t="s">
        <v>963</v>
      </c>
    </row>
    <row r="915" spans="1:7" x14ac:dyDescent="0.25">
      <c r="B915" s="3">
        <f>SUM(B914)</f>
        <v>387660</v>
      </c>
      <c r="C915" s="3">
        <f>SUM(C914)</f>
        <v>649000</v>
      </c>
      <c r="E915" s="75">
        <f>C915-B915</f>
        <v>261340</v>
      </c>
      <c r="F915" s="72">
        <v>43234</v>
      </c>
      <c r="G915" s="72">
        <v>43236</v>
      </c>
    </row>
    <row r="917" spans="1:7" x14ac:dyDescent="0.25">
      <c r="A917" t="s">
        <v>1327</v>
      </c>
      <c r="B917" s="3">
        <v>18291</v>
      </c>
      <c r="C917" s="3">
        <v>63000</v>
      </c>
      <c r="D917" s="72">
        <v>43232</v>
      </c>
      <c r="E917" s="3" t="s">
        <v>1328</v>
      </c>
    </row>
    <row r="918" spans="1:7" x14ac:dyDescent="0.25">
      <c r="A918" t="s">
        <v>1329</v>
      </c>
      <c r="B918" s="3">
        <v>408250</v>
      </c>
      <c r="C918" s="3">
        <v>50000</v>
      </c>
      <c r="D918" s="72">
        <v>43232</v>
      </c>
      <c r="E918" s="3" t="s">
        <v>1328</v>
      </c>
    </row>
    <row r="919" spans="1:7" x14ac:dyDescent="0.25">
      <c r="C919" s="3">
        <v>94450</v>
      </c>
      <c r="D919" s="72">
        <v>43199</v>
      </c>
      <c r="E919" s="3" t="s">
        <v>1328</v>
      </c>
    </row>
    <row r="920" spans="1:7" x14ac:dyDescent="0.25">
      <c r="C920" s="3">
        <v>20000</v>
      </c>
      <c r="D920" s="72">
        <v>43234</v>
      </c>
    </row>
    <row r="921" spans="1:7" x14ac:dyDescent="0.25">
      <c r="C921" s="3">
        <v>8987</v>
      </c>
      <c r="D921" s="72">
        <v>43234</v>
      </c>
      <c r="E921" s="3" t="s">
        <v>1330</v>
      </c>
    </row>
    <row r="922" spans="1:7" x14ac:dyDescent="0.25">
      <c r="C922" s="84">
        <v>14433.1</v>
      </c>
      <c r="D922" s="72">
        <v>43229</v>
      </c>
      <c r="E922" s="3" t="s">
        <v>842</v>
      </c>
    </row>
    <row r="923" spans="1:7" x14ac:dyDescent="0.25">
      <c r="C923" s="63">
        <v>50270.2</v>
      </c>
      <c r="D923" s="72">
        <v>43231</v>
      </c>
      <c r="E923" s="3" t="s">
        <v>842</v>
      </c>
    </row>
    <row r="924" spans="1:7" x14ac:dyDescent="0.25">
      <c r="C924" s="51">
        <v>97560</v>
      </c>
      <c r="D924" s="72">
        <v>43223</v>
      </c>
      <c r="E924" s="3" t="s">
        <v>842</v>
      </c>
    </row>
    <row r="925" spans="1:7" x14ac:dyDescent="0.25">
      <c r="C925" s="3">
        <v>27841</v>
      </c>
      <c r="D925" s="72">
        <v>43234</v>
      </c>
    </row>
    <row r="926" spans="1:7" x14ac:dyDescent="0.25">
      <c r="B926" s="3">
        <f>SUM(B917:B924)</f>
        <v>426541</v>
      </c>
      <c r="C926" s="3">
        <f>SUM(C917:C925)</f>
        <v>426541.3</v>
      </c>
      <c r="E926" s="3">
        <f>C926-B926</f>
        <v>0.29999999998835847</v>
      </c>
      <c r="F926" s="72">
        <v>43234</v>
      </c>
      <c r="G926" s="72">
        <v>43236</v>
      </c>
    </row>
    <row r="928" spans="1:7" x14ac:dyDescent="0.25">
      <c r="A928" t="s">
        <v>1331</v>
      </c>
      <c r="B928" s="3">
        <v>197380</v>
      </c>
      <c r="C928" s="3">
        <v>634000</v>
      </c>
      <c r="D928" s="72">
        <v>43236</v>
      </c>
      <c r="E928" s="3" t="s">
        <v>846</v>
      </c>
    </row>
    <row r="929" spans="1:7" x14ac:dyDescent="0.25">
      <c r="A929" t="s">
        <v>1332</v>
      </c>
      <c r="B929" s="3">
        <v>398665</v>
      </c>
    </row>
    <row r="930" spans="1:7" x14ac:dyDescent="0.25">
      <c r="B930" s="3">
        <f>SUM(B928:B929)</f>
        <v>596045</v>
      </c>
      <c r="C930" s="3">
        <f>SUM(C928:C929)</f>
        <v>634000</v>
      </c>
      <c r="E930" s="50">
        <f>C930-B930</f>
        <v>37955</v>
      </c>
      <c r="F930" s="72">
        <v>43236</v>
      </c>
      <c r="G930" s="72">
        <v>43236</v>
      </c>
    </row>
    <row r="932" spans="1:7" x14ac:dyDescent="0.25">
      <c r="A932" t="s">
        <v>1333</v>
      </c>
      <c r="B932" s="3">
        <v>430260</v>
      </c>
      <c r="C932" s="3">
        <v>250000</v>
      </c>
      <c r="D932" s="72">
        <v>43239</v>
      </c>
      <c r="E932" s="3" t="s">
        <v>846</v>
      </c>
    </row>
    <row r="933" spans="1:7" x14ac:dyDescent="0.25">
      <c r="A933" t="s">
        <v>1334</v>
      </c>
      <c r="B933" s="3">
        <v>26301.9</v>
      </c>
      <c r="D933" s="72"/>
    </row>
    <row r="934" spans="1:7" x14ac:dyDescent="0.25">
      <c r="A934" t="s">
        <v>1335</v>
      </c>
      <c r="B934" s="3">
        <v>200072</v>
      </c>
      <c r="C934" s="50">
        <v>37955</v>
      </c>
      <c r="D934" s="72">
        <v>43236</v>
      </c>
      <c r="E934" s="3" t="s">
        <v>842</v>
      </c>
    </row>
    <row r="935" spans="1:7" x14ac:dyDescent="0.25">
      <c r="A935" t="s">
        <v>1336</v>
      </c>
      <c r="B935" s="3">
        <v>414740</v>
      </c>
      <c r="C935" s="3">
        <v>12850</v>
      </c>
      <c r="D935" s="72">
        <v>43241</v>
      </c>
    </row>
    <row r="936" spans="1:7" x14ac:dyDescent="0.25">
      <c r="C936" s="3">
        <v>80569</v>
      </c>
      <c r="D936" s="72">
        <v>43241</v>
      </c>
    </row>
    <row r="937" spans="1:7" x14ac:dyDescent="0.25">
      <c r="C937" s="3">
        <v>690000</v>
      </c>
      <c r="D937" s="72">
        <v>43238</v>
      </c>
      <c r="E937" s="3" t="s">
        <v>846</v>
      </c>
    </row>
    <row r="938" spans="1:7" x14ac:dyDescent="0.25">
      <c r="B938" s="3">
        <f>SUM(B932:B936)</f>
        <v>1071373.8999999999</v>
      </c>
      <c r="C938" s="3">
        <f>SUM(C932:C937)</f>
        <v>1071374</v>
      </c>
      <c r="E938" s="3">
        <f>C938-B938</f>
        <v>0.10000000009313226</v>
      </c>
      <c r="F938" s="72">
        <v>43238</v>
      </c>
      <c r="G938" s="72">
        <v>43243</v>
      </c>
    </row>
    <row r="940" spans="1:7" x14ac:dyDescent="0.25">
      <c r="A940" t="s">
        <v>1337</v>
      </c>
      <c r="B940" s="3">
        <v>28817.3</v>
      </c>
      <c r="C940" s="3">
        <v>424000</v>
      </c>
      <c r="D940" s="72">
        <v>43241</v>
      </c>
      <c r="E940" s="3" t="s">
        <v>846</v>
      </c>
    </row>
    <row r="941" spans="1:7" x14ac:dyDescent="0.25">
      <c r="A941" t="s">
        <v>1338</v>
      </c>
      <c r="B941" s="3">
        <v>326910.5</v>
      </c>
    </row>
    <row r="942" spans="1:7" x14ac:dyDescent="0.25">
      <c r="B942" s="3">
        <f>SUM(B940:B941)</f>
        <v>355727.8</v>
      </c>
      <c r="C942" s="3">
        <f>SUM(C940:C941)</f>
        <v>424000</v>
      </c>
      <c r="E942" s="95">
        <f>C942-B942</f>
        <v>68272.200000000012</v>
      </c>
      <c r="F942" s="72">
        <v>43241</v>
      </c>
      <c r="G942" s="72">
        <v>43243</v>
      </c>
    </row>
    <row r="944" spans="1:7" x14ac:dyDescent="0.25">
      <c r="A944" t="s">
        <v>1339</v>
      </c>
      <c r="B944" s="3">
        <v>193346</v>
      </c>
      <c r="C944" s="3">
        <v>280000</v>
      </c>
      <c r="D944" s="72">
        <v>43242</v>
      </c>
      <c r="E944" s="3" t="s">
        <v>846</v>
      </c>
    </row>
    <row r="945" spans="1:7" x14ac:dyDescent="0.25">
      <c r="B945" s="3">
        <f>SUM(B944)</f>
        <v>193346</v>
      </c>
      <c r="C945" s="3">
        <f>SUM(C944)</f>
        <v>280000</v>
      </c>
      <c r="E945" s="96">
        <f>C945-B945</f>
        <v>86654</v>
      </c>
      <c r="F945" s="72">
        <v>43242</v>
      </c>
      <c r="G945" s="72">
        <v>43243</v>
      </c>
    </row>
    <row r="947" spans="1:7" x14ac:dyDescent="0.25">
      <c r="A947" t="s">
        <v>1340</v>
      </c>
      <c r="B947" s="3">
        <v>404840</v>
      </c>
      <c r="C947" s="3">
        <v>455000</v>
      </c>
      <c r="D947" s="72">
        <v>43244</v>
      </c>
      <c r="E947" s="3" t="s">
        <v>846</v>
      </c>
    </row>
    <row r="948" spans="1:7" x14ac:dyDescent="0.25">
      <c r="B948" s="3">
        <f>SUM(B947)</f>
        <v>404840</v>
      </c>
      <c r="C948" s="3">
        <f>SUM(C947)</f>
        <v>455000</v>
      </c>
      <c r="E948" s="104">
        <f>C948-B948</f>
        <v>50160</v>
      </c>
      <c r="F948" s="72">
        <v>43244</v>
      </c>
      <c r="G948" s="72">
        <v>43245</v>
      </c>
    </row>
    <row r="950" spans="1:7" x14ac:dyDescent="0.25">
      <c r="A950" t="s">
        <v>1341</v>
      </c>
      <c r="B950" s="3">
        <v>240112</v>
      </c>
      <c r="C950" s="3">
        <v>100000</v>
      </c>
      <c r="D950" s="72">
        <v>43251</v>
      </c>
      <c r="E950" s="3" t="s">
        <v>846</v>
      </c>
    </row>
    <row r="951" spans="1:7" x14ac:dyDescent="0.25">
      <c r="A951" t="s">
        <v>1342</v>
      </c>
      <c r="B951" s="3">
        <v>213500</v>
      </c>
      <c r="C951" s="3">
        <v>500000</v>
      </c>
      <c r="D951" s="72">
        <v>43251</v>
      </c>
      <c r="E951" s="3" t="s">
        <v>846</v>
      </c>
    </row>
    <row r="952" spans="1:7" x14ac:dyDescent="0.25">
      <c r="A952" t="s">
        <v>1343</v>
      </c>
      <c r="B952" s="3">
        <v>239419.5</v>
      </c>
      <c r="C952" s="3">
        <v>753000</v>
      </c>
      <c r="D952" s="72">
        <v>43251</v>
      </c>
      <c r="E952" s="3" t="s">
        <v>846</v>
      </c>
    </row>
    <row r="953" spans="1:7" x14ac:dyDescent="0.25">
      <c r="A953" t="s">
        <v>1344</v>
      </c>
      <c r="B953" s="3">
        <v>206608</v>
      </c>
      <c r="C953" s="3">
        <v>590000</v>
      </c>
      <c r="D953" s="72">
        <v>43251</v>
      </c>
      <c r="E953" s="3" t="s">
        <v>846</v>
      </c>
    </row>
    <row r="954" spans="1:7" x14ac:dyDescent="0.25">
      <c r="A954" t="s">
        <v>1345</v>
      </c>
      <c r="B954" s="3">
        <v>192997</v>
      </c>
      <c r="C954" s="3">
        <v>229000</v>
      </c>
      <c r="D954" s="72">
        <v>43252</v>
      </c>
      <c r="E954" s="3" t="s">
        <v>846</v>
      </c>
    </row>
    <row r="955" spans="1:7" x14ac:dyDescent="0.25">
      <c r="A955" t="s">
        <v>1346</v>
      </c>
      <c r="B955" s="3">
        <v>405300</v>
      </c>
      <c r="C955" s="3">
        <v>54920</v>
      </c>
      <c r="D955" s="72">
        <v>43246</v>
      </c>
      <c r="F955" s="3">
        <v>54950</v>
      </c>
    </row>
    <row r="956" spans="1:7" x14ac:dyDescent="0.25">
      <c r="A956" t="s">
        <v>1347</v>
      </c>
      <c r="B956" s="3">
        <v>382900</v>
      </c>
      <c r="C956" s="3">
        <v>50138</v>
      </c>
      <c r="D956" s="72">
        <v>43242</v>
      </c>
      <c r="E956" s="3" t="s">
        <v>1348</v>
      </c>
    </row>
    <row r="957" spans="1:7" x14ac:dyDescent="0.25">
      <c r="A957" t="s">
        <v>1349</v>
      </c>
      <c r="B957" s="3">
        <v>390741</v>
      </c>
      <c r="C957" s="3">
        <v>4978</v>
      </c>
      <c r="D957" s="72">
        <v>43242</v>
      </c>
      <c r="E957" s="3" t="s">
        <v>1350</v>
      </c>
      <c r="F957" t="s">
        <v>1351</v>
      </c>
    </row>
    <row r="958" spans="1:7" x14ac:dyDescent="0.25">
      <c r="B958" s="3">
        <f>SUM(B950:B957)</f>
        <v>2271577.5</v>
      </c>
      <c r="C958" s="3">
        <f>SUM(C950:C957)</f>
        <v>2282036</v>
      </c>
      <c r="E958" s="50">
        <f>C958-B958</f>
        <v>10458.5</v>
      </c>
      <c r="F958" s="72">
        <v>43252</v>
      </c>
      <c r="G958" s="72">
        <v>43253</v>
      </c>
    </row>
    <row r="960" spans="1:7" x14ac:dyDescent="0.25">
      <c r="A960" t="s">
        <v>1352</v>
      </c>
      <c r="B960" s="3">
        <v>394284</v>
      </c>
      <c r="C960" s="3">
        <v>421000</v>
      </c>
      <c r="D960" s="72">
        <v>43253</v>
      </c>
      <c r="E960" s="3" t="s">
        <v>846</v>
      </c>
    </row>
    <row r="961" spans="1:7" x14ac:dyDescent="0.25">
      <c r="B961" s="3">
        <f>SUM(B960)</f>
        <v>394284</v>
      </c>
      <c r="C961" s="3">
        <f>SUM(C960)</f>
        <v>421000</v>
      </c>
      <c r="E961" s="94">
        <f>C961-B961</f>
        <v>26716</v>
      </c>
      <c r="F961" s="72">
        <v>43253</v>
      </c>
      <c r="G961" s="72">
        <v>43255</v>
      </c>
    </row>
    <row r="963" spans="1:7" x14ac:dyDescent="0.25">
      <c r="A963" t="s">
        <v>1353</v>
      </c>
      <c r="B963" s="3">
        <v>237569</v>
      </c>
      <c r="C963" s="3">
        <v>724000</v>
      </c>
      <c r="D963" s="72">
        <v>43256</v>
      </c>
      <c r="E963" s="3" t="s">
        <v>846</v>
      </c>
    </row>
    <row r="964" spans="1:7" x14ac:dyDescent="0.25">
      <c r="A964" t="s">
        <v>1354</v>
      </c>
      <c r="B964" s="3">
        <v>9691.9</v>
      </c>
      <c r="C964" s="94">
        <v>26716</v>
      </c>
      <c r="D964" s="72">
        <v>43253</v>
      </c>
      <c r="E964" s="3" t="s">
        <v>842</v>
      </c>
    </row>
    <row r="965" spans="1:7" x14ac:dyDescent="0.25">
      <c r="A965" t="s">
        <v>1355</v>
      </c>
      <c r="B965" s="3">
        <v>575940</v>
      </c>
      <c r="C965" s="3">
        <v>74000</v>
      </c>
      <c r="D965" s="72">
        <v>43255</v>
      </c>
    </row>
    <row r="966" spans="1:7" x14ac:dyDescent="0.25">
      <c r="B966" s="3">
        <f>SUM(B963:B965)</f>
        <v>823200.9</v>
      </c>
      <c r="C966" s="3">
        <f>SUM(C963:C965)</f>
        <v>824716</v>
      </c>
      <c r="E966" s="83">
        <f>C966-B966</f>
        <v>1515.0999999999767</v>
      </c>
      <c r="F966" s="72">
        <v>43256</v>
      </c>
      <c r="G966" s="72">
        <v>43257</v>
      </c>
    </row>
    <row r="968" spans="1:7" x14ac:dyDescent="0.25">
      <c r="A968" t="s">
        <v>1356</v>
      </c>
      <c r="B968" s="3">
        <v>203040</v>
      </c>
      <c r="D968" s="72"/>
    </row>
    <row r="969" spans="1:7" x14ac:dyDescent="0.25">
      <c r="C969" s="83">
        <v>1515.1</v>
      </c>
      <c r="D969" s="72">
        <v>43256</v>
      </c>
      <c r="E969" s="3" t="s">
        <v>842</v>
      </c>
    </row>
    <row r="970" spans="1:7" x14ac:dyDescent="0.25">
      <c r="A970" t="s">
        <v>1357</v>
      </c>
      <c r="B970" s="3">
        <v>391878</v>
      </c>
      <c r="C970" s="3">
        <v>34850</v>
      </c>
      <c r="D970" s="72">
        <v>43258</v>
      </c>
      <c r="E970" s="3" t="s">
        <v>1358</v>
      </c>
    </row>
    <row r="971" spans="1:7" x14ac:dyDescent="0.25">
      <c r="C971" s="50">
        <v>10458.5</v>
      </c>
      <c r="D971" s="72">
        <v>43252</v>
      </c>
      <c r="E971" s="3" t="s">
        <v>842</v>
      </c>
    </row>
    <row r="972" spans="1:7" x14ac:dyDescent="0.25">
      <c r="C972" s="3">
        <v>7375.2</v>
      </c>
      <c r="D972" s="72">
        <v>43258</v>
      </c>
      <c r="E972" s="3" t="s">
        <v>1359</v>
      </c>
    </row>
    <row r="973" spans="1:7" x14ac:dyDescent="0.25">
      <c r="C973" s="3">
        <v>6600</v>
      </c>
      <c r="D973" s="72">
        <v>43256</v>
      </c>
      <c r="E973" s="3" t="s">
        <v>1360</v>
      </c>
    </row>
    <row r="974" spans="1:7" x14ac:dyDescent="0.25">
      <c r="C974" s="3">
        <v>20168</v>
      </c>
      <c r="D974" s="72">
        <v>43257</v>
      </c>
      <c r="E974" s="3" t="s">
        <v>1361</v>
      </c>
    </row>
    <row r="975" spans="1:7" x14ac:dyDescent="0.25">
      <c r="C975" s="3">
        <v>2640</v>
      </c>
      <c r="D975" s="72">
        <v>43256</v>
      </c>
      <c r="E975" s="3" t="s">
        <v>1362</v>
      </c>
    </row>
    <row r="976" spans="1:7" x14ac:dyDescent="0.25">
      <c r="C976" s="3">
        <v>67450</v>
      </c>
      <c r="D976" s="72">
        <v>43258</v>
      </c>
      <c r="E976" s="3" t="s">
        <v>1363</v>
      </c>
    </row>
    <row r="977" spans="1:7" x14ac:dyDescent="0.25">
      <c r="C977" s="3">
        <v>445000</v>
      </c>
      <c r="D977" s="72">
        <v>43258</v>
      </c>
      <c r="E977" s="3" t="s">
        <v>846</v>
      </c>
    </row>
    <row r="978" spans="1:7" x14ac:dyDescent="0.25">
      <c r="B978" s="3">
        <f>SUM(B968:B975)</f>
        <v>594918</v>
      </c>
      <c r="C978" s="3">
        <f>SUM(C968:C977)</f>
        <v>596056.80000000005</v>
      </c>
      <c r="E978" s="63">
        <f>C978-B978</f>
        <v>1138.8000000000466</v>
      </c>
      <c r="F978" s="72">
        <v>43258</v>
      </c>
      <c r="G978" s="72">
        <v>43259</v>
      </c>
    </row>
    <row r="980" spans="1:7" x14ac:dyDescent="0.25">
      <c r="A980" t="s">
        <v>1364</v>
      </c>
      <c r="B980" s="3">
        <v>414286</v>
      </c>
      <c r="C980" s="3">
        <v>763000</v>
      </c>
      <c r="D980" s="72">
        <v>43260</v>
      </c>
      <c r="E980" s="3" t="s">
        <v>846</v>
      </c>
    </row>
    <row r="981" spans="1:7" x14ac:dyDescent="0.25">
      <c r="A981" t="s">
        <v>1365</v>
      </c>
      <c r="B981" s="3">
        <v>389156</v>
      </c>
      <c r="C981" s="63">
        <v>1138.5999999999999</v>
      </c>
      <c r="D981" s="72">
        <v>43258</v>
      </c>
      <c r="E981" s="3" t="s">
        <v>842</v>
      </c>
    </row>
    <row r="982" spans="1:7" x14ac:dyDescent="0.25">
      <c r="C982" s="3">
        <v>42000</v>
      </c>
      <c r="D982" s="72">
        <v>43260</v>
      </c>
      <c r="E982" s="3" t="s">
        <v>849</v>
      </c>
    </row>
    <row r="983" spans="1:7" x14ac:dyDescent="0.25">
      <c r="B983" s="3">
        <f>SUM(B980:B982)</f>
        <v>803442</v>
      </c>
      <c r="C983" s="3">
        <f>SUM(C980:C982)</f>
        <v>806138.6</v>
      </c>
      <c r="E983" s="107">
        <f>C983-B983</f>
        <v>2696.5999999999767</v>
      </c>
      <c r="F983" s="72">
        <v>43260</v>
      </c>
      <c r="G983" s="72">
        <v>43260</v>
      </c>
    </row>
    <row r="985" spans="1:7" x14ac:dyDescent="0.25">
      <c r="A985" t="s">
        <v>1366</v>
      </c>
      <c r="B985" s="3">
        <v>408542</v>
      </c>
      <c r="C985" s="104">
        <v>50160</v>
      </c>
      <c r="D985" s="72">
        <v>43244</v>
      </c>
      <c r="E985" s="3" t="s">
        <v>842</v>
      </c>
    </row>
    <row r="986" spans="1:7" x14ac:dyDescent="0.25">
      <c r="A986" t="s">
        <v>1367</v>
      </c>
      <c r="B986" s="3">
        <v>9079.4</v>
      </c>
      <c r="C986" s="3">
        <v>70750</v>
      </c>
      <c r="D986" s="72">
        <v>43246</v>
      </c>
    </row>
    <row r="987" spans="1:7" x14ac:dyDescent="0.25">
      <c r="A987" t="s">
        <v>1368</v>
      </c>
      <c r="B987" s="3">
        <v>10072.799999999999</v>
      </c>
      <c r="C987" s="96">
        <v>86654</v>
      </c>
      <c r="D987" s="72">
        <v>43242</v>
      </c>
      <c r="E987" s="3" t="s">
        <v>842</v>
      </c>
    </row>
    <row r="988" spans="1:7" x14ac:dyDescent="0.25">
      <c r="C988" s="3">
        <v>49900</v>
      </c>
      <c r="D988" s="72">
        <v>43238</v>
      </c>
    </row>
    <row r="989" spans="1:7" x14ac:dyDescent="0.25">
      <c r="C989" s="95">
        <v>68272.2</v>
      </c>
      <c r="D989" s="72">
        <v>43241</v>
      </c>
      <c r="E989" s="3" t="s">
        <v>842</v>
      </c>
    </row>
    <row r="990" spans="1:7" x14ac:dyDescent="0.25">
      <c r="C990" s="107">
        <v>2696.6</v>
      </c>
      <c r="D990" s="72">
        <v>43260</v>
      </c>
      <c r="E990" s="3" t="s">
        <v>842</v>
      </c>
    </row>
    <row r="991" spans="1:7" x14ac:dyDescent="0.25">
      <c r="C991" s="3">
        <v>52550</v>
      </c>
      <c r="D991" s="72">
        <v>43242</v>
      </c>
    </row>
    <row r="992" spans="1:7" x14ac:dyDescent="0.25">
      <c r="C992" s="3">
        <v>13700</v>
      </c>
      <c r="D992" s="72">
        <v>43235</v>
      </c>
    </row>
    <row r="993" spans="1:7" x14ac:dyDescent="0.25">
      <c r="C993" s="3">
        <v>33600</v>
      </c>
      <c r="D993" s="72">
        <v>43244</v>
      </c>
    </row>
    <row r="994" spans="1:7" x14ac:dyDescent="0.25">
      <c r="B994" s="3">
        <f>SUM(B985:B993)</f>
        <v>427694.2</v>
      </c>
      <c r="C994" s="3">
        <f>SUM(C985:C993)</f>
        <v>428282.8</v>
      </c>
      <c r="E994" s="54">
        <f>C994-B994</f>
        <v>588.59999999997672</v>
      </c>
      <c r="F994" s="72">
        <v>43263</v>
      </c>
      <c r="G994" s="72">
        <v>43265</v>
      </c>
    </row>
    <row r="996" spans="1:7" x14ac:dyDescent="0.25">
      <c r="A996" t="s">
        <v>1369</v>
      </c>
      <c r="B996" s="3">
        <v>227601</v>
      </c>
      <c r="C996" s="50">
        <v>198197</v>
      </c>
      <c r="D996" s="72">
        <v>43120</v>
      </c>
      <c r="E996" s="3" t="s">
        <v>842</v>
      </c>
    </row>
    <row r="997" spans="1:7" x14ac:dyDescent="0.25">
      <c r="C997" s="3">
        <v>34000</v>
      </c>
      <c r="D997" s="72">
        <v>43243</v>
      </c>
    </row>
    <row r="998" spans="1:7" x14ac:dyDescent="0.25">
      <c r="B998" s="3">
        <f>SUM(B996:B997)</f>
        <v>227601</v>
      </c>
      <c r="C998" s="3">
        <f>SUM(C996:C997)</f>
        <v>232197</v>
      </c>
      <c r="E998" s="83">
        <f>C998-B998</f>
        <v>4596</v>
      </c>
      <c r="F998" s="72">
        <v>43263</v>
      </c>
      <c r="G998" s="72">
        <v>43265</v>
      </c>
    </row>
    <row r="1000" spans="1:7" x14ac:dyDescent="0.25">
      <c r="A1000" t="s">
        <v>1370</v>
      </c>
      <c r="B1000" s="3">
        <v>37445.300000000003</v>
      </c>
      <c r="C1000" s="54">
        <v>588.6</v>
      </c>
      <c r="D1000" s="72">
        <v>43263</v>
      </c>
      <c r="E1000" s="3" t="s">
        <v>842</v>
      </c>
    </row>
    <row r="1001" spans="1:7" x14ac:dyDescent="0.25">
      <c r="A1001" t="s">
        <v>1371</v>
      </c>
      <c r="B1001" s="3">
        <v>215259</v>
      </c>
      <c r="C1001" s="83">
        <v>4596</v>
      </c>
      <c r="D1001" s="72">
        <v>43263</v>
      </c>
      <c r="E1001" s="3" t="s">
        <v>842</v>
      </c>
    </row>
    <row r="1002" spans="1:7" x14ac:dyDescent="0.25">
      <c r="A1002" t="s">
        <v>1372</v>
      </c>
      <c r="B1002" s="3">
        <v>10152</v>
      </c>
      <c r="C1002" s="3">
        <v>20288</v>
      </c>
      <c r="D1002" s="72">
        <v>43259</v>
      </c>
      <c r="E1002" s="3" t="s">
        <v>1373</v>
      </c>
    </row>
    <row r="1003" spans="1:7" x14ac:dyDescent="0.25">
      <c r="C1003" s="3">
        <v>265000</v>
      </c>
      <c r="D1003" s="72">
        <v>43264</v>
      </c>
      <c r="E1003" s="3" t="s">
        <v>963</v>
      </c>
    </row>
    <row r="1004" spans="1:7" x14ac:dyDescent="0.25">
      <c r="B1004" s="3">
        <f>SUM(B1000:B1003)</f>
        <v>262856.3</v>
      </c>
      <c r="C1004" s="3">
        <f>SUM(C1000:C1003)</f>
        <v>290472.59999999998</v>
      </c>
      <c r="E1004" s="79">
        <f>C1004-B1004</f>
        <v>27616.299999999988</v>
      </c>
      <c r="F1004" s="72">
        <v>43264</v>
      </c>
      <c r="G1004" s="72">
        <v>43265</v>
      </c>
    </row>
    <row r="1005" spans="1:7" x14ac:dyDescent="0.25">
      <c r="E1005" s="3">
        <v>270</v>
      </c>
      <c r="F1005" t="s">
        <v>1374</v>
      </c>
    </row>
    <row r="1006" spans="1:7" x14ac:dyDescent="0.25">
      <c r="A1006" t="s">
        <v>1375</v>
      </c>
      <c r="B1006" s="3">
        <v>226612</v>
      </c>
      <c r="C1006" s="3">
        <v>220000</v>
      </c>
      <c r="D1006" s="72">
        <v>43265</v>
      </c>
      <c r="E1006" s="3" t="s">
        <v>846</v>
      </c>
    </row>
    <row r="1007" spans="1:7" x14ac:dyDescent="0.25">
      <c r="C1007" s="3">
        <v>13200</v>
      </c>
      <c r="D1007" s="72">
        <v>43266</v>
      </c>
    </row>
    <row r="1008" spans="1:7" x14ac:dyDescent="0.25">
      <c r="A1008" t="s">
        <v>1376</v>
      </c>
      <c r="B1008" s="3">
        <v>417824</v>
      </c>
      <c r="C1008" s="79">
        <v>27886.3</v>
      </c>
      <c r="D1008" s="72">
        <v>43264</v>
      </c>
      <c r="E1008" s="3" t="s">
        <v>842</v>
      </c>
    </row>
    <row r="1009" spans="1:7" x14ac:dyDescent="0.25">
      <c r="A1009" t="s">
        <v>1377</v>
      </c>
      <c r="B1009" s="3">
        <v>11023.2</v>
      </c>
      <c r="C1009" s="3">
        <v>65350</v>
      </c>
      <c r="D1009" s="72">
        <v>43265</v>
      </c>
    </row>
    <row r="1010" spans="1:7" x14ac:dyDescent="0.25">
      <c r="C1010" s="3">
        <v>318000</v>
      </c>
      <c r="D1010" s="72">
        <v>43266</v>
      </c>
      <c r="E1010" s="3" t="s">
        <v>846</v>
      </c>
    </row>
    <row r="1011" spans="1:7" x14ac:dyDescent="0.25">
      <c r="C1011" s="3">
        <v>45689</v>
      </c>
      <c r="D1011" s="72">
        <v>43266</v>
      </c>
      <c r="E1011" s="3" t="s">
        <v>1378</v>
      </c>
    </row>
    <row r="1012" spans="1:7" x14ac:dyDescent="0.25">
      <c r="C1012" s="3">
        <v>1885</v>
      </c>
      <c r="D1012" s="72">
        <v>43266</v>
      </c>
      <c r="E1012" s="3" t="s">
        <v>1379</v>
      </c>
    </row>
    <row r="1013" spans="1:7" x14ac:dyDescent="0.25">
      <c r="B1013" s="3">
        <f>SUM(B1006:B1012)</f>
        <v>655459.19999999995</v>
      </c>
      <c r="C1013" s="3">
        <f>SUM(C1006:C1012)</f>
        <v>692010.3</v>
      </c>
      <c r="E1013" s="50">
        <f>C1013-B1013</f>
        <v>36551.100000000093</v>
      </c>
      <c r="F1013" s="72" t="s">
        <v>1380</v>
      </c>
      <c r="G1013" s="72">
        <v>43266</v>
      </c>
    </row>
    <row r="1015" spans="1:7" x14ac:dyDescent="0.25">
      <c r="A1015" t="s">
        <v>1381</v>
      </c>
      <c r="B1015" s="3">
        <v>433422</v>
      </c>
      <c r="C1015" s="3">
        <v>420000</v>
      </c>
      <c r="D1015" s="72">
        <v>43267</v>
      </c>
      <c r="E1015" s="3" t="s">
        <v>846</v>
      </c>
    </row>
    <row r="1016" spans="1:7" x14ac:dyDescent="0.25">
      <c r="C1016" s="3">
        <v>13422</v>
      </c>
      <c r="D1016" s="72">
        <v>43267</v>
      </c>
      <c r="E1016" s="3" t="s">
        <v>849</v>
      </c>
    </row>
    <row r="1017" spans="1:7" x14ac:dyDescent="0.25">
      <c r="B1017" s="3">
        <f>SUM(B1015:B1016)</f>
        <v>433422</v>
      </c>
      <c r="C1017" s="3">
        <f>SUM(C1015:C1016)</f>
        <v>433422</v>
      </c>
      <c r="E1017" s="3">
        <f>C1017-B1017</f>
        <v>0</v>
      </c>
      <c r="F1017" s="72">
        <v>43267</v>
      </c>
      <c r="G1017" s="72">
        <v>43267</v>
      </c>
    </row>
    <row r="1019" spans="1:7" x14ac:dyDescent="0.25">
      <c r="A1019" t="s">
        <v>1382</v>
      </c>
      <c r="B1019" s="3">
        <v>25575.9</v>
      </c>
      <c r="C1019" s="3">
        <v>684000</v>
      </c>
      <c r="D1019" s="72">
        <v>43269</v>
      </c>
      <c r="E1019" s="3" t="s">
        <v>846</v>
      </c>
    </row>
    <row r="1020" spans="1:7" x14ac:dyDescent="0.25">
      <c r="A1020" t="s">
        <v>1383</v>
      </c>
      <c r="B1020" s="3">
        <v>217554</v>
      </c>
    </row>
    <row r="1021" spans="1:7" x14ac:dyDescent="0.25">
      <c r="A1021" t="s">
        <v>1384</v>
      </c>
      <c r="B1021" s="3">
        <v>18044.3</v>
      </c>
    </row>
    <row r="1022" spans="1:7" x14ac:dyDescent="0.25">
      <c r="A1022" t="s">
        <v>1385</v>
      </c>
      <c r="B1022" s="3">
        <v>412173</v>
      </c>
    </row>
    <row r="1023" spans="1:7" x14ac:dyDescent="0.25">
      <c r="B1023" s="3">
        <f>SUM(B1019:B1022)</f>
        <v>673347.2</v>
      </c>
      <c r="C1023" s="3">
        <f>SUM(C1019:C1022)</f>
        <v>684000</v>
      </c>
      <c r="E1023" s="63">
        <f>C1023-B1023</f>
        <v>10652.800000000047</v>
      </c>
      <c r="F1023" s="72">
        <v>43269</v>
      </c>
      <c r="G1023" s="72">
        <v>43270</v>
      </c>
    </row>
    <row r="1025" spans="1:9" x14ac:dyDescent="0.25">
      <c r="A1025" t="s">
        <v>1386</v>
      </c>
      <c r="B1025" s="3">
        <v>378196</v>
      </c>
      <c r="C1025" s="51">
        <v>96242.9</v>
      </c>
      <c r="D1025" s="72">
        <v>43109</v>
      </c>
      <c r="E1025" s="3" t="s">
        <v>842</v>
      </c>
    </row>
    <row r="1026" spans="1:9" x14ac:dyDescent="0.25">
      <c r="C1026" s="79">
        <v>103792.3</v>
      </c>
      <c r="D1026" s="72">
        <v>43215</v>
      </c>
      <c r="E1026" s="3" t="s">
        <v>842</v>
      </c>
    </row>
    <row r="1027" spans="1:9" x14ac:dyDescent="0.25">
      <c r="C1027" s="50">
        <v>36551.1</v>
      </c>
      <c r="D1027" s="72">
        <v>43266</v>
      </c>
      <c r="E1027" s="3" t="s">
        <v>842</v>
      </c>
    </row>
    <row r="1028" spans="1:9" x14ac:dyDescent="0.25">
      <c r="C1028" s="63">
        <v>10652.8</v>
      </c>
      <c r="D1028" s="72">
        <v>43269</v>
      </c>
      <c r="E1028" s="3" t="s">
        <v>842</v>
      </c>
    </row>
    <row r="1029" spans="1:9" x14ac:dyDescent="0.25">
      <c r="C1029" s="3">
        <v>15000</v>
      </c>
      <c r="D1029" s="72">
        <v>43269</v>
      </c>
    </row>
    <row r="1030" spans="1:9" x14ac:dyDescent="0.25">
      <c r="C1030" s="3">
        <v>38500</v>
      </c>
      <c r="D1030" s="72">
        <v>43234</v>
      </c>
    </row>
    <row r="1031" spans="1:9" x14ac:dyDescent="0.25">
      <c r="C1031" s="3">
        <v>50000</v>
      </c>
      <c r="D1031" s="72">
        <v>43272</v>
      </c>
    </row>
    <row r="1032" spans="1:9" x14ac:dyDescent="0.25">
      <c r="C1032" s="3">
        <v>5407</v>
      </c>
      <c r="D1032" s="72">
        <v>43272</v>
      </c>
    </row>
    <row r="1033" spans="1:9" x14ac:dyDescent="0.25">
      <c r="B1033" s="3">
        <f>SUM(B1025:B1032)</f>
        <v>378196</v>
      </c>
      <c r="C1033" s="3">
        <f>SUM(C1025:C1032)</f>
        <v>356146.1</v>
      </c>
      <c r="E1033" s="3">
        <f>C1033-B1033</f>
        <v>-22049.900000000023</v>
      </c>
      <c r="F1033" s="72">
        <v>43271</v>
      </c>
      <c r="G1033" s="72">
        <v>43273</v>
      </c>
      <c r="H1033" t="s">
        <v>1387</v>
      </c>
      <c r="I1033" t="s">
        <v>1388</v>
      </c>
    </row>
    <row r="1035" spans="1:9" x14ac:dyDescent="0.25">
      <c r="A1035" t="s">
        <v>1389</v>
      </c>
      <c r="B1035" s="3">
        <v>234315</v>
      </c>
      <c r="C1035" s="3">
        <v>190000</v>
      </c>
      <c r="D1035" s="72">
        <v>43271</v>
      </c>
    </row>
    <row r="1036" spans="1:9" x14ac:dyDescent="0.25">
      <c r="C1036" s="3">
        <v>44315</v>
      </c>
      <c r="D1036" s="72">
        <v>43272</v>
      </c>
    </row>
    <row r="1037" spans="1:9" x14ac:dyDescent="0.25">
      <c r="B1037" s="3">
        <f>SUM(B1035:B1036)</f>
        <v>234315</v>
      </c>
      <c r="C1037" s="3">
        <f>SUM(C1035:C1036)</f>
        <v>234315</v>
      </c>
      <c r="E1037" s="3">
        <f>C1037-B1037</f>
        <v>0</v>
      </c>
      <c r="F1037" s="72">
        <v>43271</v>
      </c>
      <c r="G1037" s="72">
        <v>43273</v>
      </c>
    </row>
    <row r="1039" spans="1:9" x14ac:dyDescent="0.25">
      <c r="A1039" t="s">
        <v>1390</v>
      </c>
      <c r="B1039" s="3">
        <v>73128.899999999994</v>
      </c>
      <c r="C1039" s="3">
        <v>450000</v>
      </c>
      <c r="D1039" s="72">
        <v>43273</v>
      </c>
      <c r="E1039" s="3" t="s">
        <v>846</v>
      </c>
    </row>
    <row r="1040" spans="1:9" x14ac:dyDescent="0.25">
      <c r="A1040" t="s">
        <v>1391</v>
      </c>
      <c r="B1040" s="3">
        <v>232744</v>
      </c>
      <c r="C1040" s="3">
        <v>200000</v>
      </c>
      <c r="D1040" s="72">
        <v>43273</v>
      </c>
      <c r="E1040" s="3" t="s">
        <v>846</v>
      </c>
    </row>
    <row r="1041" spans="1:8" x14ac:dyDescent="0.25">
      <c r="A1041" t="s">
        <v>1392</v>
      </c>
      <c r="B1041" s="3">
        <v>226188</v>
      </c>
    </row>
    <row r="1042" spans="1:8" x14ac:dyDescent="0.25">
      <c r="B1042" s="3">
        <f>SUM(B1039:B1041)</f>
        <v>532060.9</v>
      </c>
      <c r="C1042" s="3">
        <f>SUM(C1039:C1041)</f>
        <v>650000</v>
      </c>
      <c r="E1042" s="54">
        <f>C1042-B1042</f>
        <v>117939.09999999998</v>
      </c>
      <c r="F1042" s="72">
        <v>43274</v>
      </c>
      <c r="G1042" s="72">
        <v>43274</v>
      </c>
      <c r="H1042" s="28"/>
    </row>
    <row r="1044" spans="1:8" x14ac:dyDescent="0.25">
      <c r="A1044" t="s">
        <v>1393</v>
      </c>
      <c r="B1044" s="3">
        <v>6350.4</v>
      </c>
      <c r="C1044" s="3">
        <v>466000</v>
      </c>
      <c r="D1044" s="72">
        <v>43274</v>
      </c>
      <c r="E1044" s="3" t="s">
        <v>846</v>
      </c>
    </row>
    <row r="1045" spans="1:8" x14ac:dyDescent="0.25">
      <c r="A1045" t="s">
        <v>1394</v>
      </c>
      <c r="B1045" s="3">
        <v>444056</v>
      </c>
    </row>
    <row r="1046" spans="1:8" x14ac:dyDescent="0.25">
      <c r="B1046" s="3">
        <f>SUM(B1044:B1045)</f>
        <v>450406.40000000002</v>
      </c>
      <c r="C1046" s="3">
        <f>SUM(C1044:C1045)</f>
        <v>466000</v>
      </c>
      <c r="E1046" s="86">
        <f>C1046-B1046</f>
        <v>15593.599999999977</v>
      </c>
      <c r="F1046" s="72">
        <v>43274</v>
      </c>
      <c r="G1046" s="72">
        <v>43274</v>
      </c>
      <c r="H1046" s="28"/>
    </row>
    <row r="1048" spans="1:8" x14ac:dyDescent="0.25">
      <c r="A1048" t="s">
        <v>1395</v>
      </c>
      <c r="B1048" s="3">
        <v>440296</v>
      </c>
      <c r="C1048" s="3">
        <v>250000</v>
      </c>
      <c r="D1048" s="72">
        <v>43276</v>
      </c>
      <c r="E1048" s="3" t="s">
        <v>846</v>
      </c>
    </row>
    <row r="1049" spans="1:8" x14ac:dyDescent="0.25">
      <c r="A1049" t="s">
        <v>1396</v>
      </c>
      <c r="B1049" s="3">
        <v>29875.599999999999</v>
      </c>
      <c r="C1049" s="3">
        <v>100000</v>
      </c>
      <c r="D1049" s="72">
        <v>43276</v>
      </c>
    </row>
    <row r="1050" spans="1:8" x14ac:dyDescent="0.25">
      <c r="C1050" s="54">
        <v>117939.1</v>
      </c>
      <c r="D1050" s="72">
        <v>43274</v>
      </c>
      <c r="E1050" s="3" t="s">
        <v>842</v>
      </c>
    </row>
    <row r="1051" spans="1:8" x14ac:dyDescent="0.25">
      <c r="C1051" s="86">
        <v>15593.6</v>
      </c>
      <c r="D1051" s="72">
        <v>43274</v>
      </c>
      <c r="E1051" s="3" t="s">
        <v>842</v>
      </c>
    </row>
    <row r="1052" spans="1:8" x14ac:dyDescent="0.25">
      <c r="B1052" s="3">
        <f>SUM(B1048:B1051)</f>
        <v>470171.6</v>
      </c>
      <c r="C1052" s="3">
        <f>SUM(C1048:C1051)</f>
        <v>483532.69999999995</v>
      </c>
      <c r="E1052" s="3">
        <f>C1052-B1052</f>
        <v>13361.099999999977</v>
      </c>
      <c r="F1052" s="72">
        <v>43276</v>
      </c>
      <c r="G1052" s="72">
        <v>43276</v>
      </c>
      <c r="H1052" s="108"/>
    </row>
    <row r="1054" spans="1:8" x14ac:dyDescent="0.25">
      <c r="A1054" t="s">
        <v>1397</v>
      </c>
      <c r="B1054" s="3">
        <v>1666.6</v>
      </c>
      <c r="C1054" s="3">
        <v>660000</v>
      </c>
      <c r="D1054" s="72">
        <v>43278</v>
      </c>
      <c r="E1054" s="3" t="s">
        <v>846</v>
      </c>
    </row>
    <row r="1055" spans="1:8" x14ac:dyDescent="0.25">
      <c r="A1055" t="s">
        <v>1398</v>
      </c>
      <c r="B1055" s="3">
        <v>400618</v>
      </c>
    </row>
    <row r="1056" spans="1:8" x14ac:dyDescent="0.25">
      <c r="A1056" t="s">
        <v>1399</v>
      </c>
      <c r="B1056" s="3">
        <v>236311</v>
      </c>
    </row>
    <row r="1057" spans="1:8" x14ac:dyDescent="0.25">
      <c r="B1057" s="3">
        <f>SUM(B1054:B1056)</f>
        <v>638595.6</v>
      </c>
      <c r="C1057" s="62">
        <f>SUM(C1054:C1056)</f>
        <v>660000</v>
      </c>
      <c r="E1057" s="3">
        <f>C1057-B1057</f>
        <v>21404.400000000023</v>
      </c>
      <c r="F1057" s="72">
        <v>43278</v>
      </c>
      <c r="G1057" s="72">
        <v>43278</v>
      </c>
      <c r="H1057" s="108"/>
    </row>
    <row r="1059" spans="1:8" x14ac:dyDescent="0.25">
      <c r="A1059" t="s">
        <v>1400</v>
      </c>
      <c r="B1059" s="3">
        <v>14144</v>
      </c>
      <c r="C1059" s="3">
        <v>21404.400000000001</v>
      </c>
      <c r="D1059" s="72">
        <v>43278</v>
      </c>
      <c r="E1059" s="3" t="s">
        <v>842</v>
      </c>
    </row>
    <row r="1060" spans="1:8" x14ac:dyDescent="0.25">
      <c r="A1060" t="s">
        <v>1401</v>
      </c>
      <c r="B1060" s="3">
        <v>438535</v>
      </c>
      <c r="C1060" s="3">
        <v>40000</v>
      </c>
      <c r="D1060" s="72">
        <v>43276</v>
      </c>
      <c r="E1060" s="3" t="s">
        <v>842</v>
      </c>
    </row>
    <row r="1061" spans="1:8" x14ac:dyDescent="0.25">
      <c r="C1061" s="3">
        <v>13361.1</v>
      </c>
      <c r="D1061" s="72">
        <v>43276</v>
      </c>
      <c r="E1061" s="3" t="s">
        <v>842</v>
      </c>
    </row>
    <row r="1062" spans="1:8" x14ac:dyDescent="0.25">
      <c r="C1062" s="3">
        <v>355000</v>
      </c>
      <c r="D1062" s="72">
        <v>43279</v>
      </c>
      <c r="E1062" s="3" t="s">
        <v>846</v>
      </c>
    </row>
    <row r="1063" spans="1:8" x14ac:dyDescent="0.25">
      <c r="C1063" s="3">
        <v>43200</v>
      </c>
      <c r="D1063" s="72">
        <v>43280</v>
      </c>
    </row>
    <row r="1064" spans="1:8" x14ac:dyDescent="0.25">
      <c r="B1064" s="3">
        <f>SUM(B1059:B1063)</f>
        <v>452679</v>
      </c>
      <c r="C1064" s="3">
        <f>SUM(C1059:C1063)</f>
        <v>472965.5</v>
      </c>
      <c r="E1064" s="109">
        <f>C1064-B1064</f>
        <v>20286.5</v>
      </c>
      <c r="F1064" s="72">
        <v>43280</v>
      </c>
      <c r="G1064" s="72">
        <v>43281</v>
      </c>
      <c r="H1064" s="28"/>
    </row>
    <row r="1066" spans="1:8" x14ac:dyDescent="0.25">
      <c r="A1066" t="s">
        <v>1402</v>
      </c>
      <c r="B1066" s="3">
        <v>24529</v>
      </c>
      <c r="C1066" s="3">
        <v>719000</v>
      </c>
      <c r="D1066" s="72">
        <v>43281</v>
      </c>
      <c r="E1066" s="3" t="s">
        <v>846</v>
      </c>
    </row>
    <row r="1067" spans="1:8" x14ac:dyDescent="0.25">
      <c r="A1067" t="s">
        <v>1403</v>
      </c>
      <c r="B1067" s="3">
        <v>429292.5</v>
      </c>
    </row>
    <row r="1068" spans="1:8" x14ac:dyDescent="0.25">
      <c r="A1068" t="s">
        <v>1404</v>
      </c>
      <c r="B1068" s="3">
        <v>250592</v>
      </c>
    </row>
    <row r="1069" spans="1:8" x14ac:dyDescent="0.25">
      <c r="B1069" s="3">
        <f>SUM(B1066:B1068)</f>
        <v>704413.5</v>
      </c>
      <c r="C1069" s="3">
        <f>SUM(C1066:C1068)</f>
        <v>719000</v>
      </c>
      <c r="E1069" s="50">
        <f>C1069-B1069</f>
        <v>14586.5</v>
      </c>
      <c r="F1069" s="72">
        <v>43281</v>
      </c>
      <c r="G1069" s="72">
        <v>43284</v>
      </c>
      <c r="H1069" s="28"/>
    </row>
    <row r="1071" spans="1:8" x14ac:dyDescent="0.25">
      <c r="A1071" t="s">
        <v>1405</v>
      </c>
      <c r="B1071" s="3">
        <v>470814</v>
      </c>
      <c r="C1071" s="3">
        <v>454000</v>
      </c>
      <c r="D1071" s="72">
        <v>43285</v>
      </c>
      <c r="E1071" s="3" t="s">
        <v>846</v>
      </c>
    </row>
    <row r="1072" spans="1:8" x14ac:dyDescent="0.25">
      <c r="A1072" t="s">
        <v>1406</v>
      </c>
      <c r="B1072" s="3">
        <v>430248</v>
      </c>
      <c r="C1072" s="3">
        <v>600000</v>
      </c>
      <c r="D1072" s="72">
        <v>43285</v>
      </c>
      <c r="E1072" s="3" t="s">
        <v>846</v>
      </c>
    </row>
    <row r="1073" spans="1:8" x14ac:dyDescent="0.25">
      <c r="B1073" s="3">
        <f>SUM(B1071:B1072)</f>
        <v>901062</v>
      </c>
      <c r="C1073" s="3">
        <f>SUM(C1071:C1072)</f>
        <v>1054000</v>
      </c>
      <c r="E1073" s="83">
        <f>C1073-B1073</f>
        <v>152938</v>
      </c>
      <c r="F1073" s="72">
        <v>43285</v>
      </c>
      <c r="G1073" s="72">
        <v>43286</v>
      </c>
      <c r="H1073" s="28"/>
    </row>
    <row r="1075" spans="1:8" x14ac:dyDescent="0.25">
      <c r="A1075" t="s">
        <v>1407</v>
      </c>
      <c r="B1075" s="3">
        <v>236768</v>
      </c>
      <c r="C1075" s="3">
        <v>88750</v>
      </c>
      <c r="D1075" s="72">
        <v>43286</v>
      </c>
    </row>
    <row r="1076" spans="1:8" x14ac:dyDescent="0.25">
      <c r="C1076" s="83">
        <v>152938</v>
      </c>
      <c r="D1076" s="72">
        <v>43285</v>
      </c>
      <c r="E1076" s="3" t="s">
        <v>842</v>
      </c>
    </row>
    <row r="1077" spans="1:8" x14ac:dyDescent="0.25">
      <c r="B1077" s="3">
        <f>SUM(B1075:B1076)</f>
        <v>236768</v>
      </c>
      <c r="C1077" s="3">
        <f>SUM(C1075:C1076)</f>
        <v>241688</v>
      </c>
      <c r="E1077" s="107">
        <f>C1077-B1077</f>
        <v>4920</v>
      </c>
      <c r="F1077" s="72">
        <v>43286</v>
      </c>
      <c r="G1077" s="72">
        <v>43286</v>
      </c>
    </row>
    <row r="1079" spans="1:8" x14ac:dyDescent="0.25">
      <c r="A1079" t="s">
        <v>1408</v>
      </c>
      <c r="B1079" s="3">
        <v>453185</v>
      </c>
      <c r="C1079" s="3">
        <v>670000</v>
      </c>
      <c r="D1079" s="72">
        <v>43287</v>
      </c>
      <c r="E1079" s="3" t="s">
        <v>846</v>
      </c>
    </row>
    <row r="1080" spans="1:8" x14ac:dyDescent="0.25">
      <c r="A1080" t="s">
        <v>1409</v>
      </c>
      <c r="B1080" s="3">
        <v>243183</v>
      </c>
      <c r="C1080" s="107">
        <v>4920</v>
      </c>
      <c r="D1080" s="72">
        <v>43286</v>
      </c>
      <c r="E1080" s="3" t="s">
        <v>842</v>
      </c>
    </row>
    <row r="1081" spans="1:8" x14ac:dyDescent="0.25">
      <c r="C1081" s="109">
        <v>20286.5</v>
      </c>
      <c r="D1081" s="72">
        <v>43280</v>
      </c>
      <c r="E1081" s="3" t="s">
        <v>842</v>
      </c>
    </row>
    <row r="1082" spans="1:8" x14ac:dyDescent="0.25">
      <c r="C1082" s="3">
        <v>1162</v>
      </c>
      <c r="D1082" s="72">
        <v>43288</v>
      </c>
    </row>
    <row r="1083" spans="1:8" x14ac:dyDescent="0.25">
      <c r="B1083" s="3">
        <f>SUM(B1079:B1082)</f>
        <v>696368</v>
      </c>
      <c r="C1083" s="3">
        <f>SUM(C1079:C1082)</f>
        <v>696368.5</v>
      </c>
      <c r="E1083" s="3">
        <f>C1083-B1083</f>
        <v>0.5</v>
      </c>
      <c r="F1083" s="72">
        <v>43287</v>
      </c>
      <c r="G1083" s="72">
        <v>43291</v>
      </c>
    </row>
    <row r="1085" spans="1:8" x14ac:dyDescent="0.25">
      <c r="A1085" t="s">
        <v>1410</v>
      </c>
      <c r="B1085" s="3">
        <v>427326</v>
      </c>
      <c r="C1085" s="3">
        <v>500000</v>
      </c>
      <c r="D1085" s="72">
        <v>43290</v>
      </c>
      <c r="E1085" s="3" t="s">
        <v>846</v>
      </c>
    </row>
    <row r="1086" spans="1:8" x14ac:dyDescent="0.25">
      <c r="A1086" t="s">
        <v>1411</v>
      </c>
      <c r="B1086" s="3">
        <v>451526</v>
      </c>
      <c r="C1086" s="3">
        <v>505000</v>
      </c>
      <c r="D1086" s="72">
        <v>43290</v>
      </c>
      <c r="E1086" s="3" t="s">
        <v>846</v>
      </c>
    </row>
    <row r="1087" spans="1:8" x14ac:dyDescent="0.25">
      <c r="A1087" t="s">
        <v>1412</v>
      </c>
      <c r="B1087" s="3">
        <v>13968</v>
      </c>
    </row>
    <row r="1088" spans="1:8" x14ac:dyDescent="0.25">
      <c r="A1088" t="s">
        <v>1413</v>
      </c>
      <c r="B1088" s="3">
        <v>68472.2</v>
      </c>
    </row>
    <row r="1089" spans="1:19" x14ac:dyDescent="0.25">
      <c r="B1089" s="3">
        <f>SUM(B1085:B1088)</f>
        <v>961292.2</v>
      </c>
      <c r="C1089" s="3">
        <f>SUM(C1085:C1088)</f>
        <v>1005000</v>
      </c>
      <c r="E1089" s="54">
        <f>C1089-B1089</f>
        <v>43707.800000000047</v>
      </c>
      <c r="F1089" s="72">
        <v>43291</v>
      </c>
      <c r="G1089" s="72">
        <v>43291</v>
      </c>
      <c r="H1089" s="28"/>
    </row>
    <row r="1091" spans="1:19" x14ac:dyDescent="0.25">
      <c r="A1091" t="s">
        <v>1414</v>
      </c>
      <c r="B1091" s="3">
        <v>1653.6</v>
      </c>
      <c r="C1091" s="3">
        <v>104900</v>
      </c>
      <c r="D1091" s="72">
        <v>43290</v>
      </c>
    </row>
    <row r="1092" spans="1:19" x14ac:dyDescent="0.25">
      <c r="A1092" t="s">
        <v>1415</v>
      </c>
      <c r="B1092" s="3">
        <v>470270</v>
      </c>
      <c r="C1092" s="50">
        <v>14586.5</v>
      </c>
      <c r="D1092" s="72">
        <v>43281</v>
      </c>
      <c r="E1092" s="3" t="s">
        <v>842</v>
      </c>
    </row>
    <row r="1093" spans="1:19" x14ac:dyDescent="0.25">
      <c r="A1093" t="s">
        <v>1416</v>
      </c>
      <c r="B1093" s="3">
        <v>465608</v>
      </c>
      <c r="C1093" s="92">
        <v>211865</v>
      </c>
      <c r="D1093" s="72">
        <v>43210</v>
      </c>
      <c r="E1093" s="3" t="s">
        <v>842</v>
      </c>
      <c r="L1093" s="3"/>
      <c r="M1093" s="72"/>
      <c r="N1093" s="72"/>
      <c r="O1093" s="3"/>
      <c r="P1093" s="72"/>
      <c r="Q1093" s="72"/>
      <c r="R1093" s="62"/>
      <c r="S1093" s="72"/>
    </row>
    <row r="1094" spans="1:19" x14ac:dyDescent="0.25">
      <c r="C1094" s="86">
        <v>561853</v>
      </c>
      <c r="D1094" s="72">
        <v>43192</v>
      </c>
      <c r="E1094" s="3" t="s">
        <v>842</v>
      </c>
      <c r="L1094" s="3"/>
      <c r="M1094" s="72"/>
      <c r="N1094" s="72"/>
    </row>
    <row r="1095" spans="1:19" x14ac:dyDescent="0.25">
      <c r="C1095" s="54">
        <v>43707.8</v>
      </c>
      <c r="D1095" s="72">
        <v>43291</v>
      </c>
      <c r="E1095" s="3" t="s">
        <v>842</v>
      </c>
    </row>
    <row r="1096" spans="1:19" x14ac:dyDescent="0.25">
      <c r="C1096" s="3">
        <v>619</v>
      </c>
      <c r="D1096" s="72">
        <v>43292</v>
      </c>
      <c r="E1096" s="3" t="s">
        <v>849</v>
      </c>
    </row>
    <row r="1097" spans="1:19" x14ac:dyDescent="0.25">
      <c r="B1097" s="3">
        <f>SUM(B1091:B1095)</f>
        <v>937531.6</v>
      </c>
      <c r="C1097" s="3">
        <f>SUM(C1091:C1096)</f>
        <v>937531.3</v>
      </c>
      <c r="E1097" s="3">
        <f>C1097-B1097</f>
        <v>-0.29999999993015081</v>
      </c>
      <c r="F1097" s="72">
        <v>43292</v>
      </c>
      <c r="G1097" s="72">
        <v>43292</v>
      </c>
    </row>
    <row r="1099" spans="1:19" x14ac:dyDescent="0.25">
      <c r="A1099" t="s">
        <v>1417</v>
      </c>
      <c r="B1099" s="3">
        <v>244218</v>
      </c>
      <c r="C1099" s="3">
        <v>241000</v>
      </c>
      <c r="D1099" s="72">
        <v>43294</v>
      </c>
      <c r="E1099" s="3" t="s">
        <v>846</v>
      </c>
    </row>
    <row r="1100" spans="1:19" x14ac:dyDescent="0.25">
      <c r="A1100" t="s">
        <v>1418</v>
      </c>
      <c r="B1100" s="3">
        <v>491986</v>
      </c>
      <c r="C1100" s="3">
        <v>500000</v>
      </c>
      <c r="D1100" s="72">
        <v>43294</v>
      </c>
      <c r="E1100" s="3" t="s">
        <v>846</v>
      </c>
    </row>
    <row r="1101" spans="1:19" x14ac:dyDescent="0.25">
      <c r="B1101" s="3">
        <f>SUM(B1099:B1100)</f>
        <v>736204</v>
      </c>
      <c r="C1101" s="3">
        <f>SUM(C1099:C1100)</f>
        <v>741000</v>
      </c>
      <c r="E1101" s="83">
        <f>C1101-B1101</f>
        <v>4796</v>
      </c>
      <c r="F1101" s="72">
        <v>43294</v>
      </c>
      <c r="G1101" s="72">
        <v>43295</v>
      </c>
    </row>
    <row r="1103" spans="1:19" x14ac:dyDescent="0.25">
      <c r="E1103" s="79">
        <v>276790.2</v>
      </c>
      <c r="F1103" s="72">
        <v>43295</v>
      </c>
      <c r="G1103" s="72">
        <v>43295</v>
      </c>
    </row>
    <row r="1105" spans="1:7" x14ac:dyDescent="0.25">
      <c r="A1105" t="s">
        <v>1419</v>
      </c>
      <c r="B1105" s="3">
        <v>8971.7999999999993</v>
      </c>
      <c r="C1105" s="3">
        <v>665000</v>
      </c>
      <c r="D1105" s="72">
        <v>43301</v>
      </c>
      <c r="E1105" s="3" t="s">
        <v>846</v>
      </c>
    </row>
    <row r="1106" spans="1:7" x14ac:dyDescent="0.25">
      <c r="A1106" t="s">
        <v>1420</v>
      </c>
      <c r="B1106" s="3">
        <v>501380</v>
      </c>
      <c r="C1106" s="3">
        <v>658000</v>
      </c>
      <c r="D1106" s="72">
        <v>43298</v>
      </c>
      <c r="E1106" s="3" t="s">
        <v>846</v>
      </c>
    </row>
    <row r="1107" spans="1:7" x14ac:dyDescent="0.25">
      <c r="A1107" t="s">
        <v>1421</v>
      </c>
      <c r="B1107" s="3">
        <v>34349.35</v>
      </c>
      <c r="C1107" s="83">
        <v>4796</v>
      </c>
      <c r="D1107" s="72">
        <v>43294</v>
      </c>
      <c r="E1107" s="3" t="s">
        <v>842</v>
      </c>
    </row>
    <row r="1108" spans="1:7" x14ac:dyDescent="0.25">
      <c r="A1108" t="s">
        <v>1422</v>
      </c>
      <c r="B1108" s="3">
        <v>462160</v>
      </c>
      <c r="C1108" s="79">
        <v>276790.2</v>
      </c>
      <c r="D1108" s="72">
        <v>43295</v>
      </c>
      <c r="E1108" s="3" t="s">
        <v>842</v>
      </c>
    </row>
    <row r="1109" spans="1:7" x14ac:dyDescent="0.25">
      <c r="A1109" t="s">
        <v>1423</v>
      </c>
      <c r="B1109" s="3">
        <v>473184</v>
      </c>
      <c r="C1109" s="75">
        <v>261340</v>
      </c>
      <c r="D1109" s="72">
        <v>43234</v>
      </c>
      <c r="E1109" s="3" t="s">
        <v>842</v>
      </c>
    </row>
    <row r="1110" spans="1:7" x14ac:dyDescent="0.25">
      <c r="C1110" s="3">
        <v>62580</v>
      </c>
      <c r="D1110" s="72">
        <v>42199</v>
      </c>
    </row>
    <row r="1111" spans="1:7" x14ac:dyDescent="0.25">
      <c r="C1111" s="3">
        <v>110000</v>
      </c>
      <c r="D1111" s="72">
        <v>43297</v>
      </c>
    </row>
    <row r="1112" spans="1:7" x14ac:dyDescent="0.25">
      <c r="C1112" s="3">
        <v>90000</v>
      </c>
      <c r="D1112" s="72">
        <v>43299</v>
      </c>
    </row>
    <row r="1113" spans="1:7" x14ac:dyDescent="0.25">
      <c r="C1113" s="3">
        <v>50000</v>
      </c>
      <c r="D1113" s="72">
        <v>43269</v>
      </c>
    </row>
    <row r="1114" spans="1:7" x14ac:dyDescent="0.25">
      <c r="C1114" s="3">
        <v>55650</v>
      </c>
      <c r="D1114" s="72">
        <v>43270</v>
      </c>
    </row>
    <row r="1115" spans="1:7" x14ac:dyDescent="0.25">
      <c r="B1115" s="3">
        <f>SUM(B1105:B1114)</f>
        <v>1480045.15</v>
      </c>
      <c r="C1115" s="3">
        <f>SUM(C1105:C1114)</f>
        <v>2234156.2000000002</v>
      </c>
      <c r="E1115" s="94">
        <f>C1115-B1115</f>
        <v>754111.05000000028</v>
      </c>
      <c r="F1115" s="72">
        <v>43302</v>
      </c>
      <c r="G1115" s="72">
        <v>43302</v>
      </c>
    </row>
    <row r="1118" spans="1:7" x14ac:dyDescent="0.25">
      <c r="A1118" t="s">
        <v>1424</v>
      </c>
      <c r="B1118" s="3">
        <v>262080</v>
      </c>
      <c r="C1118" s="94">
        <v>754111.05</v>
      </c>
      <c r="D1118" s="72">
        <v>43302</v>
      </c>
      <c r="E1118" s="3" t="s">
        <v>842</v>
      </c>
      <c r="F1118" s="72"/>
      <c r="G1118" s="72"/>
    </row>
    <row r="1119" spans="1:7" x14ac:dyDescent="0.25">
      <c r="A1119" t="s">
        <v>1425</v>
      </c>
      <c r="B1119" s="3">
        <v>522084</v>
      </c>
      <c r="C1119" s="3">
        <v>30053</v>
      </c>
    </row>
    <row r="1121" spans="1:7" x14ac:dyDescent="0.25">
      <c r="B1121" s="3">
        <f>SUM(B1118:B1120)</f>
        <v>784164</v>
      </c>
      <c r="C1121" s="3">
        <f>SUM(C1118:C1120)</f>
        <v>784164.05</v>
      </c>
      <c r="E1121" s="3">
        <f>C1121-B1121</f>
        <v>5.0000000046566129E-2</v>
      </c>
      <c r="F1121" s="72">
        <v>43302</v>
      </c>
      <c r="G1121" s="72">
        <v>43306</v>
      </c>
    </row>
    <row r="1123" spans="1:7" x14ac:dyDescent="0.25">
      <c r="A1123" t="s">
        <v>1426</v>
      </c>
      <c r="B1123" s="3">
        <v>481063</v>
      </c>
      <c r="C1123" s="3">
        <v>70000</v>
      </c>
      <c r="D1123" s="72">
        <v>43304</v>
      </c>
    </row>
    <row r="1124" spans="1:7" x14ac:dyDescent="0.25">
      <c r="A1124" t="s">
        <v>1427</v>
      </c>
      <c r="B1124" s="3">
        <v>465475</v>
      </c>
      <c r="C1124" s="3">
        <v>403000</v>
      </c>
      <c r="D1124" s="72">
        <v>43307</v>
      </c>
      <c r="E1124" t="s">
        <v>846</v>
      </c>
    </row>
    <row r="1125" spans="1:7" x14ac:dyDescent="0.25">
      <c r="A1125" t="s">
        <v>1428</v>
      </c>
      <c r="B1125" s="3">
        <v>9806.4</v>
      </c>
      <c r="C1125" s="3">
        <v>500000</v>
      </c>
      <c r="D1125" s="72">
        <v>43307</v>
      </c>
      <c r="E1125" t="s">
        <v>846</v>
      </c>
    </row>
    <row r="1126" spans="1:7" x14ac:dyDescent="0.25">
      <c r="A1126" t="s">
        <v>1429</v>
      </c>
      <c r="B1126" s="3">
        <v>473496</v>
      </c>
      <c r="C1126" s="3">
        <v>500000</v>
      </c>
      <c r="D1126" s="72">
        <v>43307</v>
      </c>
      <c r="E1126" t="s">
        <v>846</v>
      </c>
    </row>
    <row r="1127" spans="1:7" x14ac:dyDescent="0.25">
      <c r="A1127" t="s">
        <v>1430</v>
      </c>
      <c r="B1127" s="3">
        <v>535844</v>
      </c>
      <c r="C1127" s="3">
        <v>403000</v>
      </c>
      <c r="D1127" s="72">
        <v>43307</v>
      </c>
      <c r="E1127" t="s">
        <v>846</v>
      </c>
    </row>
    <row r="1128" spans="1:7" x14ac:dyDescent="0.25">
      <c r="A1128" t="s">
        <v>1431</v>
      </c>
      <c r="B1128" s="3">
        <v>20021.400000000001</v>
      </c>
      <c r="C1128" s="3">
        <v>286000</v>
      </c>
      <c r="D1128" s="72">
        <v>43308</v>
      </c>
      <c r="E1128" t="s">
        <v>846</v>
      </c>
    </row>
    <row r="1130" spans="1:7" x14ac:dyDescent="0.25">
      <c r="B1130" s="3">
        <f>SUM(B1123:B1129)</f>
        <v>1985705.7999999998</v>
      </c>
      <c r="C1130" s="3">
        <f>SUM(C1123:C1129)</f>
        <v>2162000</v>
      </c>
      <c r="E1130" s="102">
        <f>C1130-B1130</f>
        <v>176294.20000000019</v>
      </c>
      <c r="F1130" s="72">
        <v>43308</v>
      </c>
      <c r="G1130" s="72">
        <v>43308</v>
      </c>
    </row>
    <row r="1132" spans="1:7" x14ac:dyDescent="0.25">
      <c r="A1132" t="s">
        <v>1432</v>
      </c>
      <c r="B1132" s="3">
        <v>490122</v>
      </c>
      <c r="C1132" s="102">
        <v>176294.2</v>
      </c>
      <c r="D1132" s="72">
        <v>43308</v>
      </c>
    </row>
    <row r="1133" spans="1:7" x14ac:dyDescent="0.25">
      <c r="A1133" t="s">
        <v>1433</v>
      </c>
      <c r="B1133" s="3">
        <v>244842</v>
      </c>
      <c r="C1133" s="3">
        <v>400000</v>
      </c>
      <c r="D1133" s="72">
        <v>43311</v>
      </c>
      <c r="E1133" s="3" t="s">
        <v>846</v>
      </c>
    </row>
    <row r="1134" spans="1:7" x14ac:dyDescent="0.25">
      <c r="A1134" t="s">
        <v>1434</v>
      </c>
      <c r="B1134" s="3">
        <v>537947</v>
      </c>
      <c r="C1134" s="3">
        <v>392000</v>
      </c>
      <c r="D1134" s="72">
        <v>43311</v>
      </c>
      <c r="E1134" s="3" t="s">
        <v>846</v>
      </c>
    </row>
    <row r="1135" spans="1:7" x14ac:dyDescent="0.25">
      <c r="C1135" s="3">
        <v>229000</v>
      </c>
      <c r="D1135" s="72">
        <v>43312</v>
      </c>
      <c r="E1135" s="3" t="s">
        <v>846</v>
      </c>
    </row>
    <row r="1136" spans="1:7" x14ac:dyDescent="0.25">
      <c r="C1136" s="3">
        <v>151130</v>
      </c>
      <c r="D1136" s="72">
        <v>43312</v>
      </c>
      <c r="E1136" s="3" t="s">
        <v>846</v>
      </c>
    </row>
    <row r="1138" spans="1:14" x14ac:dyDescent="0.25">
      <c r="B1138" s="3">
        <f>SUM(B1132:B1137)</f>
        <v>1272911</v>
      </c>
      <c r="C1138" s="3">
        <f>SUM(C1132:C1137)</f>
        <v>1348424.2</v>
      </c>
      <c r="E1138" s="54">
        <f>C1138-B1138</f>
        <v>75513.199999999953</v>
      </c>
      <c r="F1138" s="72">
        <v>43313</v>
      </c>
      <c r="G1138" s="72">
        <v>43315</v>
      </c>
    </row>
    <row r="1140" spans="1:14" x14ac:dyDescent="0.25">
      <c r="A1140" t="s">
        <v>1435</v>
      </c>
      <c r="B1140" s="3">
        <v>485070</v>
      </c>
      <c r="C1140" s="3">
        <v>300000</v>
      </c>
      <c r="D1140" s="72">
        <v>43314</v>
      </c>
      <c r="E1140" s="3" t="s">
        <v>846</v>
      </c>
    </row>
    <row r="1141" spans="1:14" x14ac:dyDescent="0.25">
      <c r="A1141" t="s">
        <v>1436</v>
      </c>
      <c r="B1141" s="3">
        <v>194034</v>
      </c>
      <c r="C1141" s="3">
        <v>391000</v>
      </c>
      <c r="D1141" s="72">
        <v>43314</v>
      </c>
      <c r="E1141" s="3" t="s">
        <v>846</v>
      </c>
    </row>
    <row r="1142" spans="1:14" x14ac:dyDescent="0.25">
      <c r="B1142" s="3">
        <f>SUM(B1140:B1141)</f>
        <v>679104</v>
      </c>
      <c r="C1142" s="3">
        <f>SUM(C1140:C1141)</f>
        <v>691000</v>
      </c>
      <c r="E1142" s="50">
        <f>C1142-B1142</f>
        <v>11896</v>
      </c>
      <c r="F1142" s="72">
        <v>43314</v>
      </c>
      <c r="G1142" s="72">
        <v>43315</v>
      </c>
    </row>
    <row r="1144" spans="1:14" x14ac:dyDescent="0.25">
      <c r="A1144" t="s">
        <v>1437</v>
      </c>
      <c r="B1144" s="3">
        <v>287760</v>
      </c>
      <c r="C1144" s="3">
        <v>341000</v>
      </c>
      <c r="D1144" s="72">
        <v>43316</v>
      </c>
      <c r="E1144" s="3" t="s">
        <v>846</v>
      </c>
      <c r="L1144" s="2"/>
      <c r="M1144" s="72"/>
      <c r="N1144" s="72"/>
    </row>
    <row r="1145" spans="1:14" x14ac:dyDescent="0.25">
      <c r="A1145" t="s">
        <v>1438</v>
      </c>
      <c r="B1145" s="3">
        <v>260452</v>
      </c>
      <c r="C1145" s="3">
        <v>400000</v>
      </c>
      <c r="D1145" s="72">
        <v>43316</v>
      </c>
      <c r="E1145" s="3" t="s">
        <v>846</v>
      </c>
      <c r="L1145" s="2"/>
      <c r="M1145" s="72"/>
      <c r="N1145" s="72"/>
    </row>
    <row r="1146" spans="1:14" x14ac:dyDescent="0.25">
      <c r="B1146" s="3">
        <f>SUM(B1144:B1145)</f>
        <v>548212</v>
      </c>
      <c r="C1146" s="3">
        <f>SUM(C1144:C1145)</f>
        <v>741000</v>
      </c>
      <c r="E1146" s="75">
        <f>C1146-B1146</f>
        <v>192788</v>
      </c>
      <c r="F1146" s="72">
        <v>43316</v>
      </c>
      <c r="G1146" s="72">
        <v>43316</v>
      </c>
    </row>
    <row r="1148" spans="1:14" x14ac:dyDescent="0.25">
      <c r="A1148" t="s">
        <v>1439</v>
      </c>
      <c r="B1148" s="3">
        <v>226160</v>
      </c>
      <c r="C1148" s="3">
        <v>302000</v>
      </c>
      <c r="D1148" s="72">
        <v>43319</v>
      </c>
      <c r="E1148" s="3" t="s">
        <v>846</v>
      </c>
    </row>
    <row r="1149" spans="1:14" x14ac:dyDescent="0.25">
      <c r="A1149" t="s">
        <v>1440</v>
      </c>
      <c r="B1149" s="3">
        <v>489262</v>
      </c>
      <c r="C1149" s="3">
        <v>302000</v>
      </c>
      <c r="D1149" s="72">
        <v>43319</v>
      </c>
      <c r="E1149" s="3" t="s">
        <v>846</v>
      </c>
    </row>
    <row r="1150" spans="1:14" x14ac:dyDescent="0.25">
      <c r="A1150" t="s">
        <v>1441</v>
      </c>
      <c r="B1150" s="3">
        <v>507300</v>
      </c>
      <c r="C1150" s="3">
        <v>300000</v>
      </c>
      <c r="D1150" s="72">
        <v>43319</v>
      </c>
      <c r="E1150" s="3" t="s">
        <v>846</v>
      </c>
    </row>
    <row r="1151" spans="1:14" x14ac:dyDescent="0.25">
      <c r="C1151" s="3">
        <v>46300</v>
      </c>
      <c r="D1151" s="72">
        <v>43315</v>
      </c>
    </row>
    <row r="1152" spans="1:14" x14ac:dyDescent="0.25">
      <c r="C1152" s="54">
        <v>75513.2</v>
      </c>
      <c r="D1152" s="72">
        <v>43313</v>
      </c>
      <c r="E1152" s="3" t="s">
        <v>842</v>
      </c>
    </row>
    <row r="1153" spans="1:8" x14ac:dyDescent="0.25">
      <c r="C1153" s="75">
        <v>192788</v>
      </c>
      <c r="D1153" s="72">
        <v>43316</v>
      </c>
      <c r="E1153" s="3" t="s">
        <v>842</v>
      </c>
    </row>
    <row r="1154" spans="1:8" x14ac:dyDescent="0.25">
      <c r="C1154" s="50">
        <v>11896</v>
      </c>
      <c r="D1154" s="72">
        <v>43314</v>
      </c>
      <c r="E1154" s="3" t="s">
        <v>842</v>
      </c>
    </row>
    <row r="1155" spans="1:8" x14ac:dyDescent="0.25">
      <c r="B1155" s="3">
        <f>SUM(B1148:B1154)</f>
        <v>1222722</v>
      </c>
      <c r="C1155" s="3">
        <f>SUM(C1148:C1154)</f>
        <v>1230497.2</v>
      </c>
      <c r="E1155" s="107">
        <f>C1155-B1155</f>
        <v>7775.1999999999534</v>
      </c>
      <c r="F1155" s="72">
        <v>43319</v>
      </c>
      <c r="G1155" s="72">
        <v>43319</v>
      </c>
    </row>
    <row r="1157" spans="1:8" x14ac:dyDescent="0.25">
      <c r="A1157" t="s">
        <v>1442</v>
      </c>
      <c r="B1157" s="3">
        <v>284796</v>
      </c>
      <c r="C1157" s="3">
        <v>443000</v>
      </c>
      <c r="D1157" s="72">
        <v>43321</v>
      </c>
      <c r="E1157" s="3" t="s">
        <v>1443</v>
      </c>
    </row>
    <row r="1158" spans="1:8" x14ac:dyDescent="0.25">
      <c r="A1158" t="s">
        <v>1444</v>
      </c>
      <c r="B1158" s="3">
        <v>215254</v>
      </c>
      <c r="C1158" s="107">
        <v>7775.2</v>
      </c>
      <c r="D1158" s="72">
        <v>43319</v>
      </c>
      <c r="E1158" s="3" t="s">
        <v>842</v>
      </c>
    </row>
    <row r="1159" spans="1:8" x14ac:dyDescent="0.25">
      <c r="C1159" s="3">
        <v>22835</v>
      </c>
      <c r="D1159" s="72">
        <v>43320</v>
      </c>
      <c r="E1159" s="3" t="s">
        <v>1445</v>
      </c>
    </row>
    <row r="1160" spans="1:8" x14ac:dyDescent="0.25">
      <c r="C1160" s="3">
        <v>26439.8</v>
      </c>
      <c r="D1160" s="72">
        <v>43321</v>
      </c>
      <c r="E1160" s="3" t="s">
        <v>849</v>
      </c>
    </row>
    <row r="1161" spans="1:8" x14ac:dyDescent="0.25">
      <c r="B1161" s="3">
        <f>SUM(B1157:B1160)</f>
        <v>500050</v>
      </c>
      <c r="C1161" s="3">
        <f>SUM(C1157:C1160)</f>
        <v>500050</v>
      </c>
      <c r="E1161" s="3">
        <f>C1161-B1161</f>
        <v>0</v>
      </c>
      <c r="F1161" s="72">
        <v>43321</v>
      </c>
      <c r="G1161" s="72">
        <v>43323</v>
      </c>
    </row>
    <row r="1163" spans="1:8" x14ac:dyDescent="0.25">
      <c r="A1163" t="s">
        <v>1446</v>
      </c>
      <c r="B1163" s="3">
        <v>249392</v>
      </c>
      <c r="C1163" s="3">
        <v>579000</v>
      </c>
      <c r="D1163" s="72">
        <v>43323</v>
      </c>
      <c r="E1163" s="3" t="s">
        <v>846</v>
      </c>
    </row>
    <row r="1164" spans="1:8" x14ac:dyDescent="0.25">
      <c r="A1164" t="s">
        <v>1447</v>
      </c>
      <c r="B1164" s="3">
        <v>461828</v>
      </c>
      <c r="C1164" s="3">
        <v>21360.2</v>
      </c>
      <c r="D1164" s="72">
        <v>43322</v>
      </c>
    </row>
    <row r="1165" spans="1:8" x14ac:dyDescent="0.25">
      <c r="C1165" s="3">
        <v>56100</v>
      </c>
      <c r="D1165" s="72">
        <v>43322</v>
      </c>
      <c r="H1165" s="191"/>
    </row>
    <row r="1166" spans="1:8" x14ac:dyDescent="0.25">
      <c r="C1166" s="3">
        <v>55800</v>
      </c>
      <c r="D1166" s="72">
        <v>43323</v>
      </c>
      <c r="H1166" s="191"/>
    </row>
    <row r="1167" spans="1:8" x14ac:dyDescent="0.25">
      <c r="B1167" s="3">
        <f>SUM(B1163:B1166)</f>
        <v>711220</v>
      </c>
      <c r="C1167" s="3">
        <f>SUM(C1163:C1166)</f>
        <v>712260.2</v>
      </c>
      <c r="E1167" s="50">
        <f>C1167-B1167</f>
        <v>1040.1999999999534</v>
      </c>
      <c r="F1167" s="72">
        <v>43323</v>
      </c>
      <c r="G1167" s="72">
        <v>43323</v>
      </c>
      <c r="H1167" s="191"/>
    </row>
    <row r="1168" spans="1:8" x14ac:dyDescent="0.25">
      <c r="H1168" s="191"/>
    </row>
    <row r="1169" spans="1:8" x14ac:dyDescent="0.25">
      <c r="A1169" t="s">
        <v>1448</v>
      </c>
      <c r="B1169" s="3">
        <v>470072</v>
      </c>
      <c r="C1169" s="3">
        <v>476000</v>
      </c>
      <c r="D1169" s="72">
        <v>43325</v>
      </c>
      <c r="H1169" s="191"/>
    </row>
    <row r="1170" spans="1:8" x14ac:dyDescent="0.25">
      <c r="B1170" s="3">
        <f>SUM(B1169)</f>
        <v>470072</v>
      </c>
      <c r="C1170" s="3">
        <f>SUM(C1169)</f>
        <v>476000</v>
      </c>
      <c r="E1170" s="189">
        <f>C1170-B1170</f>
        <v>5928</v>
      </c>
      <c r="F1170" s="72">
        <v>43325</v>
      </c>
      <c r="G1170" s="72">
        <v>43325</v>
      </c>
      <c r="H1170" s="191"/>
    </row>
    <row r="1171" spans="1:8" x14ac:dyDescent="0.25">
      <c r="H1171" s="191"/>
    </row>
    <row r="1172" spans="1:8" x14ac:dyDescent="0.25">
      <c r="A1172" t="s">
        <v>1449</v>
      </c>
      <c r="B1172" s="3">
        <v>261924</v>
      </c>
      <c r="C1172" s="3">
        <v>57550</v>
      </c>
      <c r="D1172" s="72">
        <v>43326</v>
      </c>
      <c r="H1172" s="191"/>
    </row>
    <row r="1173" spans="1:8" x14ac:dyDescent="0.25">
      <c r="C1173" s="3">
        <v>126758</v>
      </c>
      <c r="D1173" s="72">
        <v>43326</v>
      </c>
      <c r="H1173" s="191"/>
    </row>
    <row r="1174" spans="1:8" x14ac:dyDescent="0.25">
      <c r="C1174" s="3">
        <v>48419</v>
      </c>
      <c r="D1174" s="72">
        <v>43326</v>
      </c>
      <c r="E1174" s="3" t="s">
        <v>1450</v>
      </c>
      <c r="H1174" s="191"/>
    </row>
    <row r="1175" spans="1:8" x14ac:dyDescent="0.25">
      <c r="C1175" s="3">
        <v>37245</v>
      </c>
      <c r="D1175" s="72">
        <v>43321</v>
      </c>
      <c r="E1175" s="3" t="s">
        <v>1451</v>
      </c>
      <c r="H1175" s="191"/>
    </row>
    <row r="1176" spans="1:8" x14ac:dyDescent="0.25">
      <c r="B1176" s="3">
        <f>SUM(B1172:B1175)</f>
        <v>261924</v>
      </c>
      <c r="C1176" s="3">
        <f>SUM(C1172:C1175)</f>
        <v>269972</v>
      </c>
      <c r="E1176" s="94">
        <f>C1176-B1176</f>
        <v>8048</v>
      </c>
      <c r="F1176" s="72">
        <v>43326</v>
      </c>
      <c r="G1176" s="72">
        <v>43326</v>
      </c>
      <c r="H1176" s="191"/>
    </row>
    <row r="1177" spans="1:8" x14ac:dyDescent="0.25">
      <c r="H1177" s="191"/>
    </row>
    <row r="1178" spans="1:8" x14ac:dyDescent="0.25">
      <c r="A1178" t="s">
        <v>1452</v>
      </c>
      <c r="B1178" s="3">
        <v>453351</v>
      </c>
      <c r="C1178" s="3">
        <v>500000</v>
      </c>
      <c r="D1178" s="72">
        <v>43328</v>
      </c>
      <c r="H1178" s="191"/>
    </row>
    <row r="1179" spans="1:8" x14ac:dyDescent="0.25">
      <c r="B1179" s="3">
        <f>SUM(B1178)</f>
        <v>453351</v>
      </c>
      <c r="C1179" s="3">
        <f>SUM(C1178)</f>
        <v>500000</v>
      </c>
      <c r="E1179" s="63">
        <f>C1179-B1179</f>
        <v>46649</v>
      </c>
      <c r="F1179" s="72">
        <v>43328</v>
      </c>
      <c r="G1179" s="72">
        <v>43328</v>
      </c>
      <c r="H1179" s="191"/>
    </row>
    <row r="1180" spans="1:8" x14ac:dyDescent="0.25">
      <c r="H1180" s="191"/>
    </row>
    <row r="1181" spans="1:8" x14ac:dyDescent="0.25">
      <c r="A1181" t="s">
        <v>1453</v>
      </c>
      <c r="B1181" s="3">
        <v>549309</v>
      </c>
      <c r="C1181" s="3">
        <v>470000</v>
      </c>
      <c r="D1181" s="72">
        <v>43330</v>
      </c>
      <c r="E1181" s="3" t="s">
        <v>846</v>
      </c>
      <c r="H1181" s="191"/>
    </row>
    <row r="1182" spans="1:8" x14ac:dyDescent="0.25">
      <c r="C1182" s="3">
        <v>80700</v>
      </c>
      <c r="D1182" s="72">
        <v>43330</v>
      </c>
      <c r="H1182" s="191"/>
    </row>
    <row r="1183" spans="1:8" x14ac:dyDescent="0.25">
      <c r="B1183" s="3">
        <f>SUM(B1181:B1182)</f>
        <v>549309</v>
      </c>
      <c r="C1183" s="3">
        <f>SUM(C1181:C1182)</f>
        <v>550700</v>
      </c>
      <c r="E1183" s="54">
        <f>C1183-B1183</f>
        <v>1391</v>
      </c>
      <c r="F1183" s="72">
        <v>43330</v>
      </c>
      <c r="G1183" s="72">
        <v>43330</v>
      </c>
      <c r="H1183" s="191"/>
    </row>
    <row r="1184" spans="1:8" x14ac:dyDescent="0.25">
      <c r="H1184" s="191"/>
    </row>
    <row r="1185" spans="1:8" x14ac:dyDescent="0.25">
      <c r="A1185" t="s">
        <v>1454</v>
      </c>
      <c r="B1185" s="3">
        <v>269326</v>
      </c>
      <c r="C1185" s="3">
        <v>300000</v>
      </c>
      <c r="D1185" s="72">
        <v>43332</v>
      </c>
      <c r="E1185" s="3" t="s">
        <v>846</v>
      </c>
      <c r="H1185" s="191"/>
    </row>
    <row r="1186" spans="1:8" x14ac:dyDescent="0.25">
      <c r="A1186" t="s">
        <v>1455</v>
      </c>
      <c r="B1186" s="3">
        <v>493373</v>
      </c>
      <c r="C1186" s="3">
        <v>338000</v>
      </c>
      <c r="D1186" s="72">
        <v>43332</v>
      </c>
      <c r="E1186" s="3" t="s">
        <v>846</v>
      </c>
      <c r="H1186" s="191"/>
    </row>
    <row r="1187" spans="1:8" x14ac:dyDescent="0.25">
      <c r="C1187" s="3">
        <v>10970</v>
      </c>
      <c r="D1187" s="72">
        <v>43328</v>
      </c>
    </row>
    <row r="1188" spans="1:8" x14ac:dyDescent="0.25">
      <c r="C1188" s="3">
        <v>42400</v>
      </c>
      <c r="D1188" s="72">
        <v>43327</v>
      </c>
    </row>
    <row r="1189" spans="1:8" x14ac:dyDescent="0.25">
      <c r="C1189" s="3">
        <v>56000</v>
      </c>
      <c r="D1189" s="72">
        <v>43332</v>
      </c>
    </row>
    <row r="1190" spans="1:8" x14ac:dyDescent="0.25">
      <c r="C1190" s="54">
        <v>1391</v>
      </c>
      <c r="D1190" s="72">
        <v>43330</v>
      </c>
      <c r="E1190" s="3" t="s">
        <v>842</v>
      </c>
    </row>
    <row r="1191" spans="1:8" x14ac:dyDescent="0.25">
      <c r="C1191" s="50">
        <v>1040.2</v>
      </c>
      <c r="D1191" s="72">
        <v>43323</v>
      </c>
      <c r="E1191" s="3" t="s">
        <v>842</v>
      </c>
    </row>
    <row r="1192" spans="1:8" x14ac:dyDescent="0.25">
      <c r="C1192" s="189">
        <v>5928</v>
      </c>
      <c r="D1192" s="72">
        <v>43325</v>
      </c>
      <c r="E1192" s="3" t="s">
        <v>842</v>
      </c>
    </row>
    <row r="1193" spans="1:8" x14ac:dyDescent="0.25">
      <c r="C1193" s="94">
        <v>8048</v>
      </c>
      <c r="D1193" s="72">
        <v>43326</v>
      </c>
      <c r="E1193" s="3" t="s">
        <v>842</v>
      </c>
    </row>
    <row r="1194" spans="1:8" x14ac:dyDescent="0.25">
      <c r="B1194" s="3">
        <f>SUM(B1185:B1193)</f>
        <v>762699</v>
      </c>
      <c r="C1194" s="3">
        <f>SUM(C1185:C1193)</f>
        <v>763777.2</v>
      </c>
      <c r="E1194" s="83">
        <f>C1194-B1194</f>
        <v>1078.1999999999534</v>
      </c>
      <c r="F1194" s="72">
        <v>43333</v>
      </c>
      <c r="G1194" s="72">
        <v>43334</v>
      </c>
    </row>
    <row r="1196" spans="1:8" x14ac:dyDescent="0.25">
      <c r="A1196" t="s">
        <v>1456</v>
      </c>
      <c r="B1196" s="3">
        <v>277780</v>
      </c>
      <c r="C1196" s="3">
        <v>309366.5</v>
      </c>
      <c r="D1196" s="72">
        <v>43334</v>
      </c>
      <c r="E1196" s="3" t="s">
        <v>846</v>
      </c>
    </row>
    <row r="1197" spans="1:8" x14ac:dyDescent="0.25">
      <c r="A1197" t="s">
        <v>1457</v>
      </c>
      <c r="B1197" s="3">
        <v>497336</v>
      </c>
      <c r="C1197" s="3">
        <v>338633.5</v>
      </c>
      <c r="D1197" s="72">
        <v>43334</v>
      </c>
      <c r="E1197" s="3" t="s">
        <v>846</v>
      </c>
    </row>
    <row r="1198" spans="1:8" x14ac:dyDescent="0.25">
      <c r="C1198" s="3">
        <v>60650</v>
      </c>
      <c r="D1198" s="72">
        <v>43334</v>
      </c>
    </row>
    <row r="1199" spans="1:8" x14ac:dyDescent="0.25">
      <c r="C1199" s="63">
        <v>46649</v>
      </c>
      <c r="D1199" s="72">
        <v>43328</v>
      </c>
      <c r="E1199" s="3" t="s">
        <v>842</v>
      </c>
    </row>
    <row r="1200" spans="1:8" x14ac:dyDescent="0.25">
      <c r="C1200" s="83">
        <v>1078.2</v>
      </c>
      <c r="D1200" s="72">
        <v>43333</v>
      </c>
      <c r="E1200" s="3" t="s">
        <v>842</v>
      </c>
    </row>
    <row r="1201" spans="1:7" x14ac:dyDescent="0.25">
      <c r="C1201" s="3">
        <v>12200</v>
      </c>
      <c r="D1201" s="72">
        <v>43335</v>
      </c>
    </row>
    <row r="1202" spans="1:7" x14ac:dyDescent="0.25">
      <c r="C1202" s="3">
        <v>6538</v>
      </c>
      <c r="D1202" s="72">
        <v>43335</v>
      </c>
      <c r="E1202" s="3" t="s">
        <v>849</v>
      </c>
    </row>
    <row r="1203" spans="1:7" x14ac:dyDescent="0.25">
      <c r="B1203" s="3">
        <f>SUM(B1196:B1200)</f>
        <v>775116</v>
      </c>
      <c r="C1203" s="3">
        <f>SUM(C1196:C1202)</f>
        <v>775115.2</v>
      </c>
      <c r="E1203" s="3">
        <f>C1203-B1203</f>
        <v>-0.80000000004656613</v>
      </c>
      <c r="F1203" s="72">
        <v>43334</v>
      </c>
      <c r="G1203" s="72">
        <v>43335</v>
      </c>
    </row>
    <row r="1205" spans="1:7" x14ac:dyDescent="0.25">
      <c r="A1205" t="s">
        <v>1458</v>
      </c>
      <c r="B1205" s="3">
        <v>493926</v>
      </c>
      <c r="C1205" s="3">
        <v>300000</v>
      </c>
      <c r="D1205" s="72">
        <v>43336</v>
      </c>
      <c r="E1205" s="3" t="s">
        <v>846</v>
      </c>
    </row>
    <row r="1206" spans="1:7" x14ac:dyDescent="0.25">
      <c r="C1206" s="3">
        <v>307000</v>
      </c>
      <c r="D1206" s="72">
        <v>43336</v>
      </c>
      <c r="E1206" s="3" t="s">
        <v>846</v>
      </c>
    </row>
    <row r="1207" spans="1:7" x14ac:dyDescent="0.25">
      <c r="B1207" s="3">
        <f>SUM(B1205:B1206)</f>
        <v>493926</v>
      </c>
      <c r="C1207" s="3">
        <f>SUM(C1205:C1206)</f>
        <v>607000</v>
      </c>
      <c r="E1207" s="50">
        <f>C1207-B1207</f>
        <v>113074</v>
      </c>
      <c r="F1207" s="72">
        <v>43336</v>
      </c>
      <c r="G1207" s="72">
        <v>43336</v>
      </c>
    </row>
    <row r="1209" spans="1:7" x14ac:dyDescent="0.25">
      <c r="A1209" t="s">
        <v>1459</v>
      </c>
      <c r="B1209" s="3">
        <v>527180</v>
      </c>
      <c r="C1209" s="3">
        <v>410000</v>
      </c>
      <c r="D1209" s="72">
        <v>43337</v>
      </c>
      <c r="E1209" s="3" t="s">
        <v>846</v>
      </c>
    </row>
    <row r="1210" spans="1:7" x14ac:dyDescent="0.25">
      <c r="C1210" s="50">
        <v>113074</v>
      </c>
      <c r="D1210" s="72">
        <v>43336</v>
      </c>
      <c r="E1210" s="3" t="s">
        <v>842</v>
      </c>
    </row>
    <row r="1211" spans="1:7" x14ac:dyDescent="0.25">
      <c r="C1211" s="3">
        <v>22900</v>
      </c>
      <c r="D1211" s="72">
        <v>43337</v>
      </c>
      <c r="E1211" s="3" t="s">
        <v>849</v>
      </c>
    </row>
    <row r="1212" spans="1:7" x14ac:dyDescent="0.25">
      <c r="B1212" s="3">
        <f>SUM(B1209:B1211)</f>
        <v>527180</v>
      </c>
      <c r="C1212" s="3">
        <f>SUM(C1209:C1211)</f>
        <v>545974</v>
      </c>
      <c r="E1212" s="91">
        <f>C1212-B1212</f>
        <v>18794</v>
      </c>
      <c r="F1212" s="72">
        <v>43337</v>
      </c>
      <c r="G1212" s="72">
        <v>43337</v>
      </c>
    </row>
    <row r="1214" spans="1:7" x14ac:dyDescent="0.25">
      <c r="A1214" t="s">
        <v>1460</v>
      </c>
      <c r="B1214" s="3">
        <v>24523.4</v>
      </c>
      <c r="C1214" s="3">
        <v>138159</v>
      </c>
      <c r="D1214" s="72">
        <v>43340</v>
      </c>
    </row>
    <row r="1215" spans="1:7" x14ac:dyDescent="0.25">
      <c r="A1215" t="s">
        <v>1461</v>
      </c>
      <c r="B1215" s="3">
        <v>20906.650000000001</v>
      </c>
      <c r="C1215" s="3">
        <v>507000</v>
      </c>
      <c r="D1215" s="72">
        <v>43340</v>
      </c>
      <c r="E1215" s="3" t="s">
        <v>846</v>
      </c>
    </row>
    <row r="1216" spans="1:7" x14ac:dyDescent="0.25">
      <c r="A1216" t="s">
        <v>1462</v>
      </c>
      <c r="B1216" s="3">
        <v>284192</v>
      </c>
    </row>
    <row r="1217" spans="1:12" x14ac:dyDescent="0.25">
      <c r="A1217" t="s">
        <v>1463</v>
      </c>
      <c r="B1217" s="3">
        <v>240690</v>
      </c>
    </row>
    <row r="1218" spans="1:12" x14ac:dyDescent="0.25">
      <c r="B1218" s="3">
        <f>SUM(B1214:B1217)</f>
        <v>570312.05000000005</v>
      </c>
      <c r="C1218" s="3">
        <f>SUM(C1214:C1217)</f>
        <v>645159</v>
      </c>
      <c r="E1218" s="107">
        <f>C1218-B1218</f>
        <v>74846.949999999953</v>
      </c>
      <c r="F1218" s="72">
        <v>43340</v>
      </c>
      <c r="G1218" s="72">
        <v>43341</v>
      </c>
      <c r="H1218" t="s">
        <v>1464</v>
      </c>
    </row>
    <row r="1220" spans="1:12" x14ac:dyDescent="0.25">
      <c r="A1220" t="s">
        <v>1465</v>
      </c>
      <c r="B1220" s="3">
        <v>10864.8</v>
      </c>
      <c r="C1220" s="3">
        <v>349793</v>
      </c>
      <c r="D1220" s="72">
        <v>43343</v>
      </c>
      <c r="E1220" s="3" t="s">
        <v>846</v>
      </c>
      <c r="L1220" s="3"/>
    </row>
    <row r="1221" spans="1:12" x14ac:dyDescent="0.25">
      <c r="A1221" t="s">
        <v>1466</v>
      </c>
      <c r="B1221" s="3">
        <v>264350</v>
      </c>
      <c r="C1221" s="3">
        <v>348207</v>
      </c>
      <c r="D1221" s="72">
        <v>43343</v>
      </c>
      <c r="E1221" s="3" t="s">
        <v>846</v>
      </c>
      <c r="L1221" s="3"/>
    </row>
    <row r="1222" spans="1:12" x14ac:dyDescent="0.25">
      <c r="A1222" t="s">
        <v>1467</v>
      </c>
      <c r="B1222" s="3">
        <v>242394</v>
      </c>
      <c r="C1222" s="107">
        <v>74846.95</v>
      </c>
    </row>
    <row r="1223" spans="1:12" x14ac:dyDescent="0.25">
      <c r="A1223" t="s">
        <v>1468</v>
      </c>
      <c r="B1223" s="3">
        <v>252192</v>
      </c>
    </row>
    <row r="1224" spans="1:12" x14ac:dyDescent="0.25">
      <c r="B1224" s="3">
        <f>SUM(B1220:B1223)</f>
        <v>769800.8</v>
      </c>
      <c r="C1224" s="3">
        <f>SUM(C1220:C1222)</f>
        <v>772846.95</v>
      </c>
      <c r="E1224" s="94">
        <f>C1224-B1224</f>
        <v>3046.1499999999069</v>
      </c>
      <c r="F1224" s="72">
        <v>43343</v>
      </c>
      <c r="G1224" s="72">
        <v>43346</v>
      </c>
    </row>
    <row r="1226" spans="1:12" x14ac:dyDescent="0.25">
      <c r="A1226" t="s">
        <v>1469</v>
      </c>
      <c r="B1226" s="3">
        <v>496825</v>
      </c>
      <c r="C1226" s="3">
        <v>492716</v>
      </c>
      <c r="D1226" s="72">
        <v>43346</v>
      </c>
      <c r="E1226" s="3" t="s">
        <v>846</v>
      </c>
    </row>
    <row r="1227" spans="1:12" x14ac:dyDescent="0.25">
      <c r="A1227" t="s">
        <v>1470</v>
      </c>
      <c r="B1227" s="3">
        <v>25084.799999999999</v>
      </c>
      <c r="C1227" s="3">
        <v>472284</v>
      </c>
      <c r="D1227" s="72">
        <v>43346</v>
      </c>
      <c r="E1227" s="3" t="s">
        <v>846</v>
      </c>
    </row>
    <row r="1228" spans="1:12" x14ac:dyDescent="0.25">
      <c r="A1228" t="s">
        <v>1471</v>
      </c>
      <c r="B1228" s="3">
        <v>483224.5</v>
      </c>
      <c r="C1228" s="94">
        <v>3046.15</v>
      </c>
      <c r="D1228" s="72">
        <v>43343</v>
      </c>
      <c r="E1228" s="3" t="s">
        <v>842</v>
      </c>
    </row>
    <row r="1229" spans="1:12" x14ac:dyDescent="0.25">
      <c r="C1229" s="91">
        <v>18794</v>
      </c>
      <c r="D1229" s="72">
        <v>43337</v>
      </c>
      <c r="E1229" s="3" t="s">
        <v>842</v>
      </c>
    </row>
    <row r="1230" spans="1:12" x14ac:dyDescent="0.25">
      <c r="C1230" s="3">
        <v>57000</v>
      </c>
      <c r="D1230" s="72">
        <v>43347</v>
      </c>
    </row>
    <row r="1231" spans="1:12" x14ac:dyDescent="0.25">
      <c r="B1231" s="3">
        <f>SUM(B1226:B1229)</f>
        <v>1005134.3</v>
      </c>
      <c r="C1231" s="3">
        <f>SUM(C1226:C1230)</f>
        <v>1043840.15</v>
      </c>
      <c r="E1231" s="50">
        <f>C1231-B1231</f>
        <v>38705.849999999977</v>
      </c>
      <c r="F1231" s="72">
        <v>43346</v>
      </c>
      <c r="G1231" s="72">
        <v>43348</v>
      </c>
    </row>
    <row r="1233" spans="1:7" x14ac:dyDescent="0.25">
      <c r="A1233" t="s">
        <v>1472</v>
      </c>
      <c r="B1233" s="3">
        <v>317940</v>
      </c>
      <c r="C1233" s="3">
        <v>422000</v>
      </c>
      <c r="D1233" s="72">
        <v>43347</v>
      </c>
      <c r="E1233" s="3" t="s">
        <v>846</v>
      </c>
    </row>
    <row r="1234" spans="1:7" x14ac:dyDescent="0.25">
      <c r="A1234" t="s">
        <v>1473</v>
      </c>
      <c r="B1234" s="3">
        <v>8179.2</v>
      </c>
    </row>
    <row r="1235" spans="1:7" x14ac:dyDescent="0.25">
      <c r="B1235" s="3">
        <f>SUM(B1233:B1234)</f>
        <v>326119.2</v>
      </c>
      <c r="C1235" s="3">
        <f>SUM(C1233:C1234)</f>
        <v>422000</v>
      </c>
      <c r="E1235" s="110">
        <f>C1235-B1235</f>
        <v>95880.799999999988</v>
      </c>
      <c r="F1235" s="72">
        <v>43347</v>
      </c>
      <c r="G1235" s="72">
        <v>43348</v>
      </c>
    </row>
    <row r="1237" spans="1:7" x14ac:dyDescent="0.25">
      <c r="A1237" t="s">
        <v>1474</v>
      </c>
      <c r="B1237" s="3">
        <v>249184</v>
      </c>
      <c r="C1237" s="3">
        <v>266000</v>
      </c>
      <c r="D1237" s="72">
        <v>43348</v>
      </c>
      <c r="E1237" s="3" t="s">
        <v>846</v>
      </c>
    </row>
    <row r="1238" spans="1:7" x14ac:dyDescent="0.25">
      <c r="B1238" s="3">
        <f>SUM(B1237)</f>
        <v>249184</v>
      </c>
      <c r="C1238" s="3">
        <f>SUM(C1237)</f>
        <v>266000</v>
      </c>
      <c r="E1238" s="111">
        <f>C1238-B1238</f>
        <v>16816</v>
      </c>
      <c r="F1238" s="72">
        <v>43349</v>
      </c>
      <c r="G1238" s="72">
        <v>43349</v>
      </c>
    </row>
    <row r="1240" spans="1:7" x14ac:dyDescent="0.25">
      <c r="A1240" t="s">
        <v>1475</v>
      </c>
      <c r="B1240" s="3">
        <v>281785</v>
      </c>
      <c r="C1240" s="3">
        <v>360000</v>
      </c>
      <c r="D1240" s="72">
        <v>43349</v>
      </c>
      <c r="E1240" s="3" t="s">
        <v>846</v>
      </c>
    </row>
    <row r="1241" spans="1:7" x14ac:dyDescent="0.25">
      <c r="A1241" t="s">
        <v>1476</v>
      </c>
      <c r="B1241" s="3">
        <v>274560</v>
      </c>
      <c r="C1241" s="50">
        <v>38705.85</v>
      </c>
      <c r="D1241" s="72">
        <v>43346</v>
      </c>
      <c r="E1241" s="3" t="s">
        <v>842</v>
      </c>
    </row>
    <row r="1242" spans="1:7" x14ac:dyDescent="0.25">
      <c r="C1242" s="110">
        <v>95880.8</v>
      </c>
      <c r="D1242" s="72">
        <v>43347</v>
      </c>
      <c r="E1242" s="3" t="s">
        <v>842</v>
      </c>
    </row>
    <row r="1243" spans="1:7" x14ac:dyDescent="0.25">
      <c r="C1243" s="111">
        <v>16816</v>
      </c>
      <c r="D1243" s="72">
        <v>43349</v>
      </c>
      <c r="E1243" s="3" t="s">
        <v>842</v>
      </c>
    </row>
    <row r="1244" spans="1:7" x14ac:dyDescent="0.25">
      <c r="C1244" s="3">
        <v>17479</v>
      </c>
      <c r="D1244" s="72">
        <v>43347</v>
      </c>
      <c r="E1244" s="3" t="s">
        <v>1477</v>
      </c>
    </row>
    <row r="1245" spans="1:7" x14ac:dyDescent="0.25">
      <c r="C1245" s="3">
        <v>10488</v>
      </c>
      <c r="D1245" s="72">
        <v>43349</v>
      </c>
      <c r="E1245" s="3" t="s">
        <v>1478</v>
      </c>
    </row>
    <row r="1246" spans="1:7" x14ac:dyDescent="0.25">
      <c r="C1246" s="3">
        <v>37900</v>
      </c>
      <c r="D1246" s="72">
        <v>43349</v>
      </c>
      <c r="E1246" s="3" t="s">
        <v>849</v>
      </c>
    </row>
    <row r="1247" spans="1:7" x14ac:dyDescent="0.25">
      <c r="B1247" s="3">
        <f>SUM(B1240:B1246)</f>
        <v>556345</v>
      </c>
      <c r="C1247" s="3">
        <f>SUM(C1240:C1246)</f>
        <v>577269.64999999991</v>
      </c>
      <c r="E1247" s="83">
        <f>C1247-B1247</f>
        <v>20924.649999999907</v>
      </c>
      <c r="F1247" s="72">
        <v>43349</v>
      </c>
      <c r="G1247" s="72">
        <v>43349</v>
      </c>
    </row>
    <row r="1249" spans="1:7" x14ac:dyDescent="0.25">
      <c r="A1249" t="s">
        <v>1479</v>
      </c>
      <c r="B1249" s="3">
        <v>519141</v>
      </c>
      <c r="C1249" s="3">
        <v>392000</v>
      </c>
      <c r="D1249" s="72">
        <v>43351</v>
      </c>
      <c r="E1249" s="3" t="s">
        <v>846</v>
      </c>
    </row>
    <row r="1250" spans="1:7" x14ac:dyDescent="0.25">
      <c r="C1250" s="3">
        <v>114930</v>
      </c>
      <c r="D1250" s="72">
        <v>43351</v>
      </c>
    </row>
    <row r="1251" spans="1:7" x14ac:dyDescent="0.25">
      <c r="C1251" s="83">
        <v>20924.650000000001</v>
      </c>
      <c r="D1251" s="72">
        <v>43349</v>
      </c>
      <c r="E1251" s="3" t="s">
        <v>842</v>
      </c>
    </row>
    <row r="1252" spans="1:7" x14ac:dyDescent="0.25">
      <c r="B1252" s="3">
        <f>SUM(B1249:B1251)</f>
        <v>519141</v>
      </c>
      <c r="C1252" s="3">
        <f>SUM(C1249:C1251)</f>
        <v>527854.65</v>
      </c>
      <c r="E1252" s="63">
        <f>C1252-B1252</f>
        <v>8713.6500000000233</v>
      </c>
      <c r="F1252" s="72">
        <v>43351</v>
      </c>
      <c r="G1252" s="72">
        <v>43353</v>
      </c>
    </row>
    <row r="1254" spans="1:7" x14ac:dyDescent="0.25">
      <c r="A1254" t="s">
        <v>1480</v>
      </c>
      <c r="B1254" s="3">
        <v>284823</v>
      </c>
      <c r="C1254" s="3">
        <v>424000</v>
      </c>
      <c r="D1254" s="72">
        <v>43353</v>
      </c>
      <c r="E1254" s="3" t="s">
        <v>846</v>
      </c>
    </row>
    <row r="1255" spans="1:7" x14ac:dyDescent="0.25">
      <c r="B1255" s="3">
        <f>SUM(B1254)</f>
        <v>284823</v>
      </c>
      <c r="C1255" s="3">
        <f>SUM(C1254)</f>
        <v>424000</v>
      </c>
      <c r="E1255" s="75">
        <f>C1255-B1255</f>
        <v>139177</v>
      </c>
      <c r="F1255" s="72">
        <v>43353</v>
      </c>
      <c r="G1255" s="72"/>
    </row>
    <row r="1257" spans="1:7" x14ac:dyDescent="0.25">
      <c r="A1257" t="s">
        <v>1481</v>
      </c>
      <c r="B1257" s="3">
        <v>262125.5</v>
      </c>
      <c r="C1257" s="63">
        <v>8713.6</v>
      </c>
      <c r="D1257" s="72">
        <v>43351</v>
      </c>
      <c r="E1257" s="3" t="s">
        <v>842</v>
      </c>
    </row>
    <row r="1258" spans="1:7" x14ac:dyDescent="0.25">
      <c r="C1258" s="75">
        <v>139177</v>
      </c>
      <c r="D1258" s="72">
        <v>43353</v>
      </c>
      <c r="E1258" s="3" t="s">
        <v>842</v>
      </c>
    </row>
    <row r="1259" spans="1:7" x14ac:dyDescent="0.25">
      <c r="C1259" s="3">
        <v>50600</v>
      </c>
      <c r="D1259" s="72">
        <v>43354</v>
      </c>
    </row>
    <row r="1260" spans="1:7" x14ac:dyDescent="0.25">
      <c r="C1260" s="3">
        <v>70100</v>
      </c>
      <c r="D1260" s="72">
        <v>43355</v>
      </c>
      <c r="E1260" s="3" t="s">
        <v>849</v>
      </c>
    </row>
    <row r="1261" spans="1:7" x14ac:dyDescent="0.25">
      <c r="B1261" s="3">
        <f>SUM(B1257:B1260)</f>
        <v>262125.5</v>
      </c>
      <c r="C1261" s="3">
        <f>SUM(C1257:C1260)</f>
        <v>268590.59999999998</v>
      </c>
      <c r="E1261" s="54">
        <f>C1261-B1261</f>
        <v>6465.0999999999767</v>
      </c>
      <c r="F1261" s="72">
        <v>43354</v>
      </c>
      <c r="G1261" s="72">
        <v>43357</v>
      </c>
    </row>
    <row r="1263" spans="1:7" x14ac:dyDescent="0.25">
      <c r="A1263" t="s">
        <v>1482</v>
      </c>
      <c r="B1263" s="3">
        <v>36388.800000000003</v>
      </c>
      <c r="C1263" s="3">
        <v>400000</v>
      </c>
      <c r="D1263" s="72">
        <v>43356</v>
      </c>
      <c r="E1263" s="3" t="s">
        <v>846</v>
      </c>
    </row>
    <row r="1264" spans="1:7" x14ac:dyDescent="0.25">
      <c r="A1264" t="s">
        <v>1483</v>
      </c>
      <c r="B1264" s="3">
        <v>543095</v>
      </c>
      <c r="C1264" s="3">
        <v>366000</v>
      </c>
      <c r="D1264" s="72">
        <v>43356</v>
      </c>
      <c r="E1264" s="3" t="s">
        <v>846</v>
      </c>
    </row>
    <row r="1265" spans="1:7" x14ac:dyDescent="0.25">
      <c r="B1265" s="3">
        <f>SUM(B1263:B1264)</f>
        <v>579483.80000000005</v>
      </c>
      <c r="C1265" s="3">
        <f>SUM(C1263:C1264)</f>
        <v>766000</v>
      </c>
      <c r="E1265" s="107">
        <f>C1265-B1265</f>
        <v>186516.19999999995</v>
      </c>
      <c r="F1265" s="72">
        <v>43356</v>
      </c>
      <c r="G1265" s="72">
        <v>43357</v>
      </c>
    </row>
    <row r="1267" spans="1:7" x14ac:dyDescent="0.25">
      <c r="A1267" t="s">
        <v>1484</v>
      </c>
      <c r="B1267" s="3">
        <v>39225.599999999999</v>
      </c>
      <c r="C1267" s="3">
        <v>454000</v>
      </c>
      <c r="D1267" s="72">
        <v>43357</v>
      </c>
      <c r="E1267" s="3" t="s">
        <v>846</v>
      </c>
    </row>
    <row r="1268" spans="1:7" x14ac:dyDescent="0.25">
      <c r="A1268" t="s">
        <v>1485</v>
      </c>
      <c r="B1268" s="3">
        <v>106103.4</v>
      </c>
    </row>
    <row r="1269" spans="1:7" x14ac:dyDescent="0.25">
      <c r="A1269" t="s">
        <v>1486</v>
      </c>
      <c r="B1269" s="3">
        <v>263451</v>
      </c>
    </row>
    <row r="1270" spans="1:7" x14ac:dyDescent="0.25">
      <c r="B1270" s="3">
        <f>SUM(B1267:B1269)</f>
        <v>408780</v>
      </c>
      <c r="C1270" s="3">
        <f>SUM(C1267:C1269)</f>
        <v>454000</v>
      </c>
      <c r="E1270" s="102">
        <f>C1270-B1270</f>
        <v>45220</v>
      </c>
      <c r="F1270" s="72">
        <v>43357</v>
      </c>
      <c r="G1270" s="72">
        <v>43357</v>
      </c>
    </row>
    <row r="1272" spans="1:7" x14ac:dyDescent="0.25">
      <c r="A1272" t="s">
        <v>1487</v>
      </c>
      <c r="B1272" s="3">
        <v>456496</v>
      </c>
      <c r="C1272" s="3">
        <v>324426</v>
      </c>
      <c r="D1272" s="72">
        <v>43360</v>
      </c>
      <c r="E1272" s="3" t="s">
        <v>846</v>
      </c>
    </row>
    <row r="1273" spans="1:7" x14ac:dyDescent="0.25">
      <c r="A1273" t="s">
        <v>1488</v>
      </c>
      <c r="B1273" s="3">
        <v>473472</v>
      </c>
      <c r="C1273" s="3">
        <v>417574</v>
      </c>
      <c r="D1273" s="72">
        <v>43360</v>
      </c>
      <c r="E1273" s="3" t="s">
        <v>846</v>
      </c>
    </row>
    <row r="1274" spans="1:7" x14ac:dyDescent="0.25">
      <c r="A1274" t="s">
        <v>1489</v>
      </c>
      <c r="B1274" s="3">
        <v>271590</v>
      </c>
      <c r="C1274" s="3">
        <v>33500</v>
      </c>
      <c r="D1274" s="72">
        <v>43361</v>
      </c>
    </row>
    <row r="1275" spans="1:7" x14ac:dyDescent="0.25">
      <c r="C1275" s="3">
        <v>38500</v>
      </c>
      <c r="D1275" s="72">
        <v>43354</v>
      </c>
    </row>
    <row r="1276" spans="1:7" x14ac:dyDescent="0.25">
      <c r="C1276" s="3">
        <v>51500</v>
      </c>
      <c r="D1276" s="72">
        <v>43354</v>
      </c>
    </row>
    <row r="1277" spans="1:7" x14ac:dyDescent="0.25">
      <c r="C1277" s="3">
        <v>80000</v>
      </c>
      <c r="D1277" s="72">
        <v>43357</v>
      </c>
    </row>
    <row r="1278" spans="1:7" x14ac:dyDescent="0.25">
      <c r="C1278" s="102">
        <v>45220</v>
      </c>
      <c r="D1278" s="72">
        <v>43357</v>
      </c>
      <c r="E1278" s="3" t="s">
        <v>842</v>
      </c>
    </row>
    <row r="1279" spans="1:7" x14ac:dyDescent="0.25">
      <c r="C1279" s="54">
        <v>6465</v>
      </c>
      <c r="D1279" s="72">
        <v>43354</v>
      </c>
      <c r="E1279" s="3" t="s">
        <v>842</v>
      </c>
    </row>
    <row r="1280" spans="1:7" x14ac:dyDescent="0.25">
      <c r="C1280" s="107">
        <v>186516.2</v>
      </c>
      <c r="D1280" s="72">
        <v>43356</v>
      </c>
      <c r="E1280" s="3" t="s">
        <v>842</v>
      </c>
    </row>
    <row r="1281" spans="1:7" x14ac:dyDescent="0.25">
      <c r="C1281" s="3">
        <v>17857</v>
      </c>
      <c r="D1281" s="72">
        <v>43361</v>
      </c>
      <c r="E1281" s="3" t="s">
        <v>849</v>
      </c>
    </row>
    <row r="1282" spans="1:7" x14ac:dyDescent="0.25">
      <c r="B1282" s="3">
        <f>SUM(B1272:B1281)</f>
        <v>1201558</v>
      </c>
      <c r="C1282" s="3">
        <f>SUM(C1272:C1281)</f>
        <v>1201558.2</v>
      </c>
      <c r="E1282" s="3">
        <f>C1282-B1282</f>
        <v>0.19999999995343387</v>
      </c>
      <c r="F1282" s="72">
        <v>43361</v>
      </c>
      <c r="G1282" s="72">
        <v>43362</v>
      </c>
    </row>
    <row r="1284" spans="1:7" x14ac:dyDescent="0.25">
      <c r="A1284" t="s">
        <v>1490</v>
      </c>
      <c r="B1284" s="3">
        <v>449550</v>
      </c>
      <c r="C1284" s="3">
        <v>589000</v>
      </c>
      <c r="D1284" s="72">
        <v>43362</v>
      </c>
      <c r="E1284" s="3" t="s">
        <v>846</v>
      </c>
    </row>
    <row r="1285" spans="1:7" x14ac:dyDescent="0.25">
      <c r="B1285" s="3">
        <f>SUM(B1284)</f>
        <v>449550</v>
      </c>
      <c r="C1285" s="3">
        <f>SUM(C1284)</f>
        <v>589000</v>
      </c>
      <c r="E1285" s="50">
        <f>C1285-B1285</f>
        <v>139450</v>
      </c>
      <c r="F1285" s="72">
        <v>43362</v>
      </c>
      <c r="G1285" s="72">
        <v>43363</v>
      </c>
    </row>
    <row r="1287" spans="1:7" x14ac:dyDescent="0.25">
      <c r="A1287" t="s">
        <v>1491</v>
      </c>
      <c r="B1287" s="3">
        <v>39196.800000000003</v>
      </c>
      <c r="C1287" s="3">
        <v>409704</v>
      </c>
      <c r="D1287" s="72">
        <v>43365</v>
      </c>
      <c r="E1287" s="3" t="s">
        <v>846</v>
      </c>
    </row>
    <row r="1288" spans="1:7" x14ac:dyDescent="0.25">
      <c r="A1288" t="s">
        <v>1492</v>
      </c>
      <c r="B1288" s="3">
        <v>233685</v>
      </c>
      <c r="C1288" s="3">
        <v>318296</v>
      </c>
      <c r="D1288" s="72">
        <v>43365</v>
      </c>
      <c r="E1288" s="3" t="s">
        <v>846</v>
      </c>
    </row>
    <row r="1289" spans="1:7" x14ac:dyDescent="0.25">
      <c r="A1289" t="s">
        <v>1493</v>
      </c>
      <c r="B1289" s="3">
        <v>445095</v>
      </c>
    </row>
    <row r="1290" spans="1:7" x14ac:dyDescent="0.25">
      <c r="B1290" s="3">
        <f>SUM(B1287:B1289)</f>
        <v>717976.8</v>
      </c>
      <c r="C1290" s="3">
        <f>SUM(C1287:C1289)</f>
        <v>728000</v>
      </c>
      <c r="E1290" s="51">
        <f>C1290-B1290</f>
        <v>10023.199999999953</v>
      </c>
      <c r="F1290" s="72">
        <v>43365</v>
      </c>
      <c r="G1290" s="72">
        <v>43365</v>
      </c>
    </row>
    <row r="1292" spans="1:7" x14ac:dyDescent="0.25">
      <c r="A1292" t="s">
        <v>1494</v>
      </c>
      <c r="B1292" s="3">
        <v>213030</v>
      </c>
      <c r="C1292" s="3">
        <v>360000</v>
      </c>
      <c r="D1292" s="72">
        <v>43365</v>
      </c>
      <c r="E1292" s="3" t="s">
        <v>846</v>
      </c>
    </row>
    <row r="1293" spans="1:7" x14ac:dyDescent="0.25">
      <c r="A1293" t="s">
        <v>1495</v>
      </c>
      <c r="B1293" s="3">
        <v>264870</v>
      </c>
      <c r="C1293" s="50">
        <v>139450</v>
      </c>
      <c r="D1293" s="72">
        <v>43362</v>
      </c>
      <c r="E1293" s="3" t="s">
        <v>842</v>
      </c>
    </row>
    <row r="1294" spans="1:7" x14ac:dyDescent="0.25">
      <c r="B1294" s="3">
        <f>SUM(B1292:B1293)</f>
        <v>477900</v>
      </c>
      <c r="C1294" s="3">
        <f>SUM(C1292:C1293)</f>
        <v>499450</v>
      </c>
      <c r="E1294" s="83">
        <f>C1294-B1294</f>
        <v>21550</v>
      </c>
      <c r="F1294" s="72">
        <v>43365</v>
      </c>
      <c r="G1294" s="72">
        <v>43365</v>
      </c>
    </row>
    <row r="1296" spans="1:7" x14ac:dyDescent="0.25">
      <c r="A1296" t="s">
        <v>1496</v>
      </c>
      <c r="B1296" s="3">
        <v>438615</v>
      </c>
      <c r="C1296" s="3">
        <v>200000</v>
      </c>
      <c r="D1296" s="72">
        <v>43368</v>
      </c>
      <c r="E1296" s="3" t="s">
        <v>846</v>
      </c>
    </row>
    <row r="1297" spans="1:7" x14ac:dyDescent="0.25">
      <c r="A1297" t="s">
        <v>1497</v>
      </c>
      <c r="B1297" s="3">
        <v>237606</v>
      </c>
      <c r="C1297" s="3">
        <v>481000</v>
      </c>
      <c r="D1297" s="72">
        <v>43368</v>
      </c>
      <c r="E1297" s="3" t="s">
        <v>846</v>
      </c>
    </row>
    <row r="1298" spans="1:7" x14ac:dyDescent="0.25">
      <c r="B1298" s="3">
        <f>SUM(B1296:B1297)</f>
        <v>676221</v>
      </c>
      <c r="C1298" s="3">
        <f>SUM(C1296:C1297)</f>
        <v>681000</v>
      </c>
      <c r="E1298" s="109">
        <f>C1298-B1298</f>
        <v>4779</v>
      </c>
      <c r="F1298" s="72">
        <v>43368</v>
      </c>
      <c r="G1298" s="72">
        <v>43368</v>
      </c>
    </row>
    <row r="1300" spans="1:7" x14ac:dyDescent="0.25">
      <c r="A1300" t="s">
        <v>1498</v>
      </c>
      <c r="B1300" s="3">
        <v>459249</v>
      </c>
      <c r="C1300" s="3">
        <v>185000</v>
      </c>
      <c r="D1300" s="72">
        <v>43369</v>
      </c>
      <c r="E1300" s="3" t="s">
        <v>846</v>
      </c>
    </row>
    <row r="1301" spans="1:7" x14ac:dyDescent="0.25">
      <c r="A1301" t="s">
        <v>1499</v>
      </c>
      <c r="B1301" s="3">
        <v>438501</v>
      </c>
      <c r="C1301" s="3">
        <v>250000</v>
      </c>
      <c r="D1301" s="72">
        <v>43374</v>
      </c>
      <c r="E1301" s="3" t="s">
        <v>846</v>
      </c>
    </row>
    <row r="1302" spans="1:7" x14ac:dyDescent="0.25">
      <c r="A1302" t="s">
        <v>1500</v>
      </c>
      <c r="B1302" s="3">
        <v>423738</v>
      </c>
      <c r="C1302" s="3">
        <v>374000</v>
      </c>
      <c r="D1302" s="72">
        <v>43374</v>
      </c>
      <c r="E1302" s="3" t="s">
        <v>846</v>
      </c>
    </row>
    <row r="1303" spans="1:7" x14ac:dyDescent="0.25">
      <c r="A1303" t="s">
        <v>1501</v>
      </c>
      <c r="B1303" s="3">
        <v>255360</v>
      </c>
      <c r="C1303" s="3">
        <v>400000</v>
      </c>
      <c r="D1303" s="72">
        <v>43374</v>
      </c>
      <c r="E1303" s="3" t="s">
        <v>846</v>
      </c>
    </row>
    <row r="1304" spans="1:7" x14ac:dyDescent="0.25">
      <c r="C1304" s="3">
        <v>350000</v>
      </c>
      <c r="D1304" s="72">
        <v>43374</v>
      </c>
      <c r="E1304" s="3" t="s">
        <v>846</v>
      </c>
    </row>
    <row r="1305" spans="1:7" x14ac:dyDescent="0.25">
      <c r="C1305" s="3">
        <v>300</v>
      </c>
      <c r="D1305" s="72">
        <v>43369</v>
      </c>
      <c r="E1305" s="3" t="s">
        <v>1502</v>
      </c>
    </row>
    <row r="1306" spans="1:7" x14ac:dyDescent="0.25">
      <c r="C1306" s="3">
        <v>6056</v>
      </c>
      <c r="D1306" s="72">
        <v>43365</v>
      </c>
      <c r="E1306" s="3" t="s">
        <v>1503</v>
      </c>
    </row>
    <row r="1307" spans="1:7" x14ac:dyDescent="0.25">
      <c r="C1307" s="3">
        <v>3871</v>
      </c>
      <c r="D1307" s="72">
        <v>43368</v>
      </c>
      <c r="E1307" s="3" t="s">
        <v>1504</v>
      </c>
    </row>
    <row r="1308" spans="1:7" x14ac:dyDescent="0.25">
      <c r="C1308" s="3">
        <v>5443</v>
      </c>
      <c r="D1308" s="72">
        <v>43368</v>
      </c>
      <c r="E1308" s="3" t="s">
        <v>1505</v>
      </c>
    </row>
    <row r="1309" spans="1:7" x14ac:dyDescent="0.25">
      <c r="C1309" s="109">
        <v>4779</v>
      </c>
      <c r="D1309" s="72">
        <v>43368</v>
      </c>
      <c r="E1309" s="3" t="s">
        <v>842</v>
      </c>
    </row>
    <row r="1310" spans="1:7" x14ac:dyDescent="0.25">
      <c r="C1310" s="83">
        <v>21550</v>
      </c>
      <c r="D1310" s="72">
        <v>43365</v>
      </c>
      <c r="E1310" s="3" t="s">
        <v>842</v>
      </c>
    </row>
    <row r="1311" spans="1:7" x14ac:dyDescent="0.25">
      <c r="C1311" s="51">
        <v>10023</v>
      </c>
      <c r="D1311" s="72">
        <v>43365</v>
      </c>
      <c r="E1311" s="3" t="s">
        <v>842</v>
      </c>
    </row>
    <row r="1312" spans="1:7" x14ac:dyDescent="0.25">
      <c r="B1312" s="3">
        <f>SUM(B1300:B1311)</f>
        <v>1576848</v>
      </c>
      <c r="C1312" s="3">
        <f>SUM(C1300:C1311)</f>
        <v>1611022</v>
      </c>
      <c r="E1312" s="99">
        <f>C1312-B1312</f>
        <v>34174</v>
      </c>
      <c r="F1312" s="72">
        <v>43374</v>
      </c>
      <c r="G1312" s="72">
        <v>43376</v>
      </c>
    </row>
    <row r="1314" spans="1:7" x14ac:dyDescent="0.25">
      <c r="A1314" t="s">
        <v>1506</v>
      </c>
      <c r="B1314" s="3">
        <v>437340</v>
      </c>
      <c r="C1314" s="3">
        <v>490000</v>
      </c>
    </row>
    <row r="1315" spans="1:7" x14ac:dyDescent="0.25">
      <c r="B1315" s="3">
        <f>SUM(B1314)</f>
        <v>437340</v>
      </c>
      <c r="C1315" s="3">
        <f>SUM(C1314)</f>
        <v>490000</v>
      </c>
      <c r="E1315" s="50">
        <f>C1315-B1315</f>
        <v>52660</v>
      </c>
      <c r="F1315" s="72">
        <v>43375</v>
      </c>
      <c r="G1315" s="72">
        <v>43376</v>
      </c>
    </row>
    <row r="1317" spans="1:7" x14ac:dyDescent="0.25">
      <c r="A1317" t="s">
        <v>1507</v>
      </c>
      <c r="B1317" s="3">
        <v>235984</v>
      </c>
      <c r="C1317" s="3">
        <v>400000</v>
      </c>
    </row>
    <row r="1318" spans="1:7" x14ac:dyDescent="0.25">
      <c r="B1318" s="3">
        <f>SUM(B1317)</f>
        <v>235984</v>
      </c>
      <c r="C1318" s="3">
        <f>SUM(C1317)</f>
        <v>400000</v>
      </c>
      <c r="E1318" s="112">
        <f>C1318-B1318</f>
        <v>164016</v>
      </c>
      <c r="F1318" s="72">
        <v>39724</v>
      </c>
      <c r="G1318" s="72">
        <v>43376</v>
      </c>
    </row>
    <row r="1320" spans="1:7" x14ac:dyDescent="0.25">
      <c r="A1320" t="s">
        <v>1508</v>
      </c>
      <c r="B1320" s="3">
        <v>236768</v>
      </c>
      <c r="C1320" s="3">
        <v>1600</v>
      </c>
      <c r="D1320" s="72">
        <v>43374</v>
      </c>
      <c r="E1320" s="3" t="s">
        <v>1509</v>
      </c>
    </row>
    <row r="1321" spans="1:7" x14ac:dyDescent="0.25">
      <c r="C1321" s="3">
        <v>2376</v>
      </c>
      <c r="D1321" s="72">
        <v>43370</v>
      </c>
      <c r="E1321" s="3" t="s">
        <v>1510</v>
      </c>
    </row>
    <row r="1322" spans="1:7" x14ac:dyDescent="0.25">
      <c r="C1322" s="3">
        <v>12625</v>
      </c>
      <c r="D1322" s="72">
        <v>43370</v>
      </c>
      <c r="E1322" s="3" t="s">
        <v>1511</v>
      </c>
    </row>
    <row r="1323" spans="1:7" x14ac:dyDescent="0.25">
      <c r="C1323" s="3">
        <v>9664</v>
      </c>
      <c r="D1323" s="72">
        <v>43369</v>
      </c>
      <c r="E1323" s="3" t="s">
        <v>1512</v>
      </c>
    </row>
    <row r="1324" spans="1:7" x14ac:dyDescent="0.25">
      <c r="C1324" s="99">
        <v>34174</v>
      </c>
      <c r="D1324" s="72">
        <v>43374</v>
      </c>
      <c r="E1324" s="3" t="s">
        <v>842</v>
      </c>
    </row>
    <row r="1325" spans="1:7" x14ac:dyDescent="0.25">
      <c r="C1325" s="112">
        <v>164016</v>
      </c>
      <c r="D1325" s="72">
        <v>43376</v>
      </c>
      <c r="E1325" s="3" t="s">
        <v>842</v>
      </c>
    </row>
    <row r="1326" spans="1:7" x14ac:dyDescent="0.25">
      <c r="C1326" s="3">
        <v>12313</v>
      </c>
      <c r="D1326" s="72">
        <v>43376</v>
      </c>
      <c r="E1326" s="3" t="s">
        <v>849</v>
      </c>
    </row>
    <row r="1327" spans="1:7" x14ac:dyDescent="0.25">
      <c r="B1327" s="3">
        <f>SUM(B1320:B1326)</f>
        <v>236768</v>
      </c>
      <c r="C1327" s="3">
        <f>SUM(C1320:C1326)</f>
        <v>236768</v>
      </c>
      <c r="E1327" s="3">
        <f>C1327-B1327</f>
        <v>0</v>
      </c>
      <c r="F1327" s="72">
        <v>43376</v>
      </c>
      <c r="G1327" s="72">
        <v>43376</v>
      </c>
    </row>
    <row r="1329" spans="1:7" x14ac:dyDescent="0.25">
      <c r="A1329" t="s">
        <v>1513</v>
      </c>
      <c r="B1329" s="3">
        <v>470421</v>
      </c>
      <c r="C1329" s="3">
        <v>503000</v>
      </c>
      <c r="D1329" s="72">
        <v>43379</v>
      </c>
      <c r="E1329" s="3" t="s">
        <v>846</v>
      </c>
    </row>
    <row r="1330" spans="1:7" x14ac:dyDescent="0.25">
      <c r="B1330" s="3">
        <f>SUM(B1329)</f>
        <v>470421</v>
      </c>
      <c r="C1330" s="3">
        <f>SUM(C1329)</f>
        <v>503000</v>
      </c>
      <c r="E1330" s="102">
        <f>C1330-B1330</f>
        <v>32579</v>
      </c>
      <c r="F1330" s="72">
        <v>43379</v>
      </c>
      <c r="G1330" s="72">
        <v>43379</v>
      </c>
    </row>
    <row r="1332" spans="1:7" x14ac:dyDescent="0.25">
      <c r="A1332" t="s">
        <v>1514</v>
      </c>
      <c r="B1332" s="3">
        <v>2805.4</v>
      </c>
      <c r="C1332" s="3">
        <v>32579</v>
      </c>
      <c r="D1332" s="72">
        <v>43379</v>
      </c>
      <c r="E1332" s="3" t="s">
        <v>842</v>
      </c>
    </row>
    <row r="1333" spans="1:7" x14ac:dyDescent="0.25">
      <c r="A1333" t="s">
        <v>1515</v>
      </c>
      <c r="B1333" s="3">
        <v>216700</v>
      </c>
      <c r="C1333" s="3">
        <v>30300</v>
      </c>
      <c r="D1333" s="72">
        <v>43381</v>
      </c>
    </row>
    <row r="1334" spans="1:7" x14ac:dyDescent="0.25">
      <c r="C1334" s="3">
        <v>75200</v>
      </c>
      <c r="D1334" s="72">
        <v>43367</v>
      </c>
    </row>
    <row r="1335" spans="1:7" x14ac:dyDescent="0.25">
      <c r="C1335" s="3">
        <v>52660</v>
      </c>
      <c r="D1335" s="72">
        <v>43375</v>
      </c>
      <c r="E1335" s="3" t="s">
        <v>842</v>
      </c>
    </row>
    <row r="1336" spans="1:7" x14ac:dyDescent="0.25">
      <c r="C1336" s="3">
        <v>28766</v>
      </c>
      <c r="D1336" s="72">
        <v>43381</v>
      </c>
      <c r="E1336" s="3" t="s">
        <v>849</v>
      </c>
    </row>
    <row r="1337" spans="1:7" x14ac:dyDescent="0.25">
      <c r="B1337" s="3">
        <f>SUM(B1332:B1336)</f>
        <v>219505.4</v>
      </c>
      <c r="C1337" s="3">
        <f>SUM(C1332:C1336)</f>
        <v>219505</v>
      </c>
      <c r="E1337" s="3">
        <f>C1337-B1337</f>
        <v>-0.39999999999417923</v>
      </c>
      <c r="F1337" s="72">
        <v>43381</v>
      </c>
      <c r="G1337" s="72">
        <v>43381</v>
      </c>
    </row>
    <row r="1339" spans="1:7" x14ac:dyDescent="0.25">
      <c r="A1339" t="s">
        <v>1514</v>
      </c>
      <c r="B1339" s="3">
        <v>2805.4</v>
      </c>
      <c r="C1339" s="3">
        <v>75200</v>
      </c>
      <c r="D1339" s="72">
        <v>43367</v>
      </c>
    </row>
    <row r="1340" spans="1:7" x14ac:dyDescent="0.25">
      <c r="A1340" t="s">
        <v>1515</v>
      </c>
      <c r="B1340" s="3">
        <v>216700</v>
      </c>
      <c r="C1340" s="3">
        <v>30300</v>
      </c>
      <c r="D1340" s="72">
        <v>43381</v>
      </c>
    </row>
    <row r="1341" spans="1:7" x14ac:dyDescent="0.25">
      <c r="C1341" s="3">
        <v>28766</v>
      </c>
      <c r="D1341" s="72">
        <v>43381</v>
      </c>
    </row>
    <row r="1342" spans="1:7" x14ac:dyDescent="0.25">
      <c r="C1342" s="50">
        <v>52660</v>
      </c>
      <c r="D1342" s="72">
        <v>43375</v>
      </c>
      <c r="E1342" s="3" t="s">
        <v>842</v>
      </c>
    </row>
    <row r="1343" spans="1:7" x14ac:dyDescent="0.25">
      <c r="C1343" s="102">
        <v>32579</v>
      </c>
      <c r="D1343" s="72">
        <v>43379</v>
      </c>
      <c r="E1343" s="3" t="s">
        <v>842</v>
      </c>
    </row>
    <row r="1344" spans="1:7" x14ac:dyDescent="0.25">
      <c r="B1344" s="3">
        <f>SUM(B1339:B1343)</f>
        <v>219505.4</v>
      </c>
      <c r="C1344" s="3">
        <f>SUM(C1339:C1343)</f>
        <v>219505</v>
      </c>
      <c r="E1344" s="3">
        <f>C1344-B1344</f>
        <v>-0.39999999999417923</v>
      </c>
      <c r="F1344" s="72">
        <v>43381</v>
      </c>
      <c r="G1344" s="72">
        <v>43383</v>
      </c>
    </row>
    <row r="1346" spans="1:7" x14ac:dyDescent="0.25">
      <c r="A1346" t="s">
        <v>1516</v>
      </c>
      <c r="B1346" s="3">
        <v>420675</v>
      </c>
      <c r="C1346" s="3">
        <v>363063</v>
      </c>
      <c r="D1346" s="72">
        <v>43383</v>
      </c>
      <c r="E1346" s="3" t="s">
        <v>846</v>
      </c>
    </row>
    <row r="1347" spans="1:7" x14ac:dyDescent="0.25">
      <c r="A1347" t="s">
        <v>1517</v>
      </c>
      <c r="B1347" s="3">
        <v>403368</v>
      </c>
      <c r="C1347" s="3">
        <v>336937</v>
      </c>
      <c r="D1347" s="72">
        <v>43383</v>
      </c>
      <c r="E1347" s="3" t="s">
        <v>846</v>
      </c>
    </row>
    <row r="1348" spans="1:7" x14ac:dyDescent="0.25">
      <c r="C1348" s="3">
        <v>363000</v>
      </c>
      <c r="D1348" s="72">
        <v>43383</v>
      </c>
      <c r="E1348" s="3" t="s">
        <v>846</v>
      </c>
    </row>
    <row r="1349" spans="1:7" x14ac:dyDescent="0.25">
      <c r="B1349" s="3">
        <f>SUM(B1346:B1348)</f>
        <v>824043</v>
      </c>
      <c r="C1349" s="3">
        <f>SUM(C1346:C1348)</f>
        <v>1063000</v>
      </c>
      <c r="E1349" s="51">
        <f>C1349-B1349</f>
        <v>238957</v>
      </c>
      <c r="F1349" s="72">
        <v>43383</v>
      </c>
      <c r="G1349" s="72">
        <v>43384</v>
      </c>
    </row>
    <row r="1351" spans="1:7" x14ac:dyDescent="0.25">
      <c r="A1351" t="s">
        <v>1518</v>
      </c>
      <c r="B1351" s="3">
        <v>279936</v>
      </c>
      <c r="C1351" s="3">
        <v>335503</v>
      </c>
      <c r="D1351" s="72">
        <v>43391</v>
      </c>
      <c r="E1351" s="3" t="s">
        <v>846</v>
      </c>
    </row>
    <row r="1352" spans="1:7" x14ac:dyDescent="0.25">
      <c r="A1352" t="s">
        <v>1519</v>
      </c>
      <c r="B1352" s="3">
        <v>249156</v>
      </c>
      <c r="C1352" s="3">
        <v>300497</v>
      </c>
      <c r="D1352" s="72">
        <v>43391</v>
      </c>
      <c r="E1352" s="3" t="s">
        <v>846</v>
      </c>
    </row>
    <row r="1353" spans="1:7" x14ac:dyDescent="0.25">
      <c r="A1353" t="s">
        <v>1520</v>
      </c>
      <c r="B1353" s="3">
        <v>475860</v>
      </c>
      <c r="C1353" s="3">
        <v>364000</v>
      </c>
      <c r="D1353" s="72">
        <v>43391</v>
      </c>
      <c r="E1353" s="3" t="s">
        <v>846</v>
      </c>
    </row>
    <row r="1354" spans="1:7" x14ac:dyDescent="0.25">
      <c r="A1354" t="s">
        <v>1521</v>
      </c>
      <c r="B1354" s="3">
        <v>484770</v>
      </c>
      <c r="C1354" s="3">
        <v>446388</v>
      </c>
      <c r="D1354" s="72">
        <v>43391</v>
      </c>
      <c r="E1354" s="3" t="s">
        <v>846</v>
      </c>
    </row>
    <row r="1355" spans="1:7" x14ac:dyDescent="0.25">
      <c r="A1355" t="s">
        <v>1522</v>
      </c>
      <c r="B1355" s="3">
        <v>499200</v>
      </c>
      <c r="C1355" s="3">
        <v>420612</v>
      </c>
      <c r="D1355" s="72">
        <v>43391</v>
      </c>
      <c r="E1355" s="3" t="s">
        <v>846</v>
      </c>
    </row>
    <row r="1356" spans="1:7" x14ac:dyDescent="0.25">
      <c r="C1356" s="51">
        <v>238957</v>
      </c>
      <c r="D1356" s="72">
        <v>43383</v>
      </c>
      <c r="E1356" s="3" t="s">
        <v>842</v>
      </c>
    </row>
    <row r="1357" spans="1:7" x14ac:dyDescent="0.25">
      <c r="B1357" s="3">
        <f>SUM(B1351:B1355)</f>
        <v>1988922</v>
      </c>
      <c r="C1357" s="3">
        <f>SUM(C1351:C1356)</f>
        <v>2105957</v>
      </c>
      <c r="E1357" s="54">
        <f>C1357-B1357</f>
        <v>117035</v>
      </c>
      <c r="F1357" s="72">
        <v>43390</v>
      </c>
      <c r="G1357" s="72">
        <v>43391</v>
      </c>
    </row>
    <row r="1359" spans="1:7" x14ac:dyDescent="0.25">
      <c r="A1359" t="s">
        <v>1523</v>
      </c>
      <c r="B1359" s="3">
        <v>212613</v>
      </c>
      <c r="C1359" s="3">
        <v>619000</v>
      </c>
      <c r="D1359" s="72">
        <v>43392</v>
      </c>
      <c r="E1359" s="3" t="s">
        <v>846</v>
      </c>
    </row>
    <row r="1360" spans="1:7" x14ac:dyDescent="0.25">
      <c r="A1360" t="s">
        <v>1524</v>
      </c>
      <c r="B1360" s="3">
        <v>474630</v>
      </c>
      <c r="C1360" s="54">
        <v>117035</v>
      </c>
      <c r="D1360" s="72">
        <v>43390</v>
      </c>
      <c r="E1360" s="3" t="s">
        <v>842</v>
      </c>
    </row>
    <row r="1361" spans="1:7" x14ac:dyDescent="0.25">
      <c r="A1361" t="s">
        <v>1525</v>
      </c>
      <c r="B1361" s="3">
        <v>11892.5</v>
      </c>
    </row>
    <row r="1362" spans="1:7" x14ac:dyDescent="0.25">
      <c r="B1362" s="3">
        <f>SUM(B1359:B1361)</f>
        <v>699135.5</v>
      </c>
      <c r="C1362" s="3">
        <f>SUM(C1359:C1361)</f>
        <v>736035</v>
      </c>
      <c r="E1362" s="113">
        <f>C1362-B1362</f>
        <v>36899.5</v>
      </c>
      <c r="F1362" s="72">
        <v>43392</v>
      </c>
      <c r="G1362" s="72">
        <v>43393</v>
      </c>
    </row>
    <row r="1364" spans="1:7" x14ac:dyDescent="0.25">
      <c r="A1364" t="s">
        <v>1526</v>
      </c>
      <c r="B1364" s="3">
        <v>248900</v>
      </c>
      <c r="C1364" s="3">
        <v>411791</v>
      </c>
      <c r="D1364" s="72">
        <v>43395</v>
      </c>
      <c r="E1364" s="3" t="s">
        <v>846</v>
      </c>
    </row>
    <row r="1365" spans="1:7" x14ac:dyDescent="0.25">
      <c r="A1365" t="s">
        <v>1527</v>
      </c>
      <c r="B1365" s="3">
        <v>252444</v>
      </c>
      <c r="C1365" s="3">
        <v>512209</v>
      </c>
      <c r="D1365" s="72">
        <v>43395</v>
      </c>
      <c r="E1365" s="3" t="s">
        <v>846</v>
      </c>
    </row>
    <row r="1366" spans="1:7" x14ac:dyDescent="0.25">
      <c r="A1366" t="s">
        <v>1528</v>
      </c>
      <c r="B1366" s="3">
        <v>501600</v>
      </c>
      <c r="C1366" s="113">
        <v>36899.5</v>
      </c>
    </row>
    <row r="1367" spans="1:7" x14ac:dyDescent="0.25">
      <c r="C1367" s="3">
        <v>42044</v>
      </c>
      <c r="D1367" s="72">
        <v>43396</v>
      </c>
      <c r="E1367" s="3" t="s">
        <v>849</v>
      </c>
    </row>
    <row r="1368" spans="1:7" x14ac:dyDescent="0.25">
      <c r="B1368" s="3">
        <f>SUM(B1364:B1367)</f>
        <v>1002944</v>
      </c>
      <c r="C1368" s="3">
        <f>SUM(C1364:C1367)</f>
        <v>1002943.5</v>
      </c>
      <c r="E1368" s="3">
        <f>C1368-B1368</f>
        <v>-0.5</v>
      </c>
      <c r="F1368" s="72">
        <v>43396</v>
      </c>
      <c r="G1368" s="72">
        <v>43397</v>
      </c>
    </row>
    <row r="1370" spans="1:7" x14ac:dyDescent="0.25">
      <c r="A1370" t="s">
        <v>1529</v>
      </c>
      <c r="B1370" s="3">
        <v>503120</v>
      </c>
      <c r="C1370" s="3">
        <v>487000</v>
      </c>
      <c r="D1370" s="72">
        <v>43398</v>
      </c>
      <c r="E1370" s="3" t="s">
        <v>846</v>
      </c>
    </row>
    <row r="1371" spans="1:7" x14ac:dyDescent="0.25">
      <c r="C1371" s="3">
        <v>16120</v>
      </c>
      <c r="D1371" s="72">
        <v>43398</v>
      </c>
      <c r="E1371" s="3" t="s">
        <v>849</v>
      </c>
    </row>
    <row r="1372" spans="1:7" x14ac:dyDescent="0.25">
      <c r="B1372" s="3">
        <f>SUM(B1370:B1371)</f>
        <v>503120</v>
      </c>
      <c r="C1372" s="3">
        <f>SUM(C1370:C1371)</f>
        <v>503120</v>
      </c>
      <c r="E1372" s="3">
        <f>C1372-B1372</f>
        <v>0</v>
      </c>
      <c r="F1372" s="72">
        <v>43398</v>
      </c>
      <c r="G1372" s="72">
        <v>43398</v>
      </c>
    </row>
    <row r="1374" spans="1:7" x14ac:dyDescent="0.25">
      <c r="A1374" t="s">
        <v>1530</v>
      </c>
      <c r="B1374" s="3">
        <v>219261</v>
      </c>
      <c r="C1374" s="3">
        <v>403000</v>
      </c>
      <c r="D1374" s="72">
        <v>43399</v>
      </c>
      <c r="E1374" s="3" t="s">
        <v>846</v>
      </c>
    </row>
    <row r="1375" spans="1:7" x14ac:dyDescent="0.25">
      <c r="A1375" t="s">
        <v>1531</v>
      </c>
      <c r="B1375" s="3">
        <v>259000</v>
      </c>
      <c r="C1375" s="3">
        <v>61420</v>
      </c>
      <c r="D1375" s="72">
        <v>43399</v>
      </c>
    </row>
    <row r="1376" spans="1:7" x14ac:dyDescent="0.25">
      <c r="C1376" s="3">
        <v>7197</v>
      </c>
      <c r="D1376" s="72">
        <v>43398</v>
      </c>
      <c r="E1376" s="3" t="s">
        <v>1532</v>
      </c>
    </row>
    <row r="1377" spans="1:7" x14ac:dyDescent="0.25">
      <c r="C1377" s="3">
        <v>6644</v>
      </c>
      <c r="D1377" s="72">
        <v>43399</v>
      </c>
      <c r="E1377" s="3" t="s">
        <v>849</v>
      </c>
    </row>
    <row r="1378" spans="1:7" x14ac:dyDescent="0.25">
      <c r="B1378" s="3">
        <f>SUM(B1374:B1377)</f>
        <v>478261</v>
      </c>
      <c r="C1378" s="3">
        <f>SUM(C1374:C1377)</f>
        <v>478261</v>
      </c>
      <c r="E1378" s="3">
        <f>C1378-B1378</f>
        <v>0</v>
      </c>
      <c r="F1378" s="72">
        <v>43399</v>
      </c>
      <c r="G1378" s="72">
        <v>43400</v>
      </c>
    </row>
    <row r="1380" spans="1:7" x14ac:dyDescent="0.25">
      <c r="E1380" s="51">
        <v>119035</v>
      </c>
      <c r="F1380" s="72">
        <v>43400</v>
      </c>
      <c r="G1380" s="72">
        <v>43400</v>
      </c>
    </row>
    <row r="1382" spans="1:7" x14ac:dyDescent="0.25">
      <c r="A1382" t="s">
        <v>1533</v>
      </c>
      <c r="B1382" s="3">
        <v>454977</v>
      </c>
      <c r="C1382" s="3">
        <v>300000</v>
      </c>
      <c r="D1382" s="72">
        <v>43402</v>
      </c>
      <c r="E1382" s="3" t="s">
        <v>846</v>
      </c>
    </row>
    <row r="1383" spans="1:7" x14ac:dyDescent="0.25">
      <c r="C1383" s="51">
        <v>119035</v>
      </c>
      <c r="D1383" s="72">
        <v>43400</v>
      </c>
      <c r="E1383" s="3" t="s">
        <v>842</v>
      </c>
    </row>
    <row r="1384" spans="1:7" x14ac:dyDescent="0.25">
      <c r="C1384" s="3">
        <v>12185</v>
      </c>
      <c r="D1384" s="72">
        <v>43401</v>
      </c>
      <c r="E1384" s="3" t="s">
        <v>1534</v>
      </c>
    </row>
    <row r="1385" spans="1:7" x14ac:dyDescent="0.25">
      <c r="C1385" s="3">
        <v>73093</v>
      </c>
      <c r="D1385" s="72">
        <v>43402</v>
      </c>
      <c r="E1385" s="3" t="s">
        <v>1535</v>
      </c>
    </row>
    <row r="1386" spans="1:7" x14ac:dyDescent="0.25">
      <c r="B1386" s="3">
        <f>SUM(B1382:B1385)</f>
        <v>454977</v>
      </c>
      <c r="C1386" s="3">
        <f>SUM(C1382:C1385)</f>
        <v>504313</v>
      </c>
      <c r="E1386" s="94">
        <f>C1386-B1386</f>
        <v>49336</v>
      </c>
      <c r="F1386" s="72">
        <v>43402</v>
      </c>
      <c r="G1386" s="72">
        <v>43403</v>
      </c>
    </row>
    <row r="1388" spans="1:7" x14ac:dyDescent="0.25">
      <c r="A1388" t="s">
        <v>1536</v>
      </c>
      <c r="B1388" s="3">
        <v>259000</v>
      </c>
      <c r="C1388" s="3">
        <v>227000</v>
      </c>
      <c r="D1388" s="72">
        <v>43403</v>
      </c>
      <c r="E1388" s="3" t="s">
        <v>846</v>
      </c>
    </row>
    <row r="1389" spans="1:7" x14ac:dyDescent="0.25">
      <c r="C1389" s="3">
        <v>95000</v>
      </c>
      <c r="D1389" s="72">
        <v>43403</v>
      </c>
    </row>
    <row r="1390" spans="1:7" x14ac:dyDescent="0.25">
      <c r="B1390" s="3">
        <f>SUM(B1388:B1389)</f>
        <v>259000</v>
      </c>
      <c r="C1390" s="3">
        <f>SUM(C1388:C1389)</f>
        <v>322000</v>
      </c>
      <c r="E1390" s="96">
        <f>C1390-B1390</f>
        <v>63000</v>
      </c>
      <c r="F1390" s="72">
        <v>43403</v>
      </c>
      <c r="G1390" s="72">
        <v>43404</v>
      </c>
    </row>
    <row r="1392" spans="1:7" x14ac:dyDescent="0.25">
      <c r="A1392" t="s">
        <v>1537</v>
      </c>
      <c r="B1392" s="3">
        <v>183396</v>
      </c>
      <c r="C1392" s="3">
        <v>165000</v>
      </c>
      <c r="D1392" s="72">
        <v>43404</v>
      </c>
      <c r="E1392" s="3" t="s">
        <v>846</v>
      </c>
    </row>
    <row r="1393" spans="1:7" x14ac:dyDescent="0.25">
      <c r="A1393" t="s">
        <v>1538</v>
      </c>
      <c r="B1393" s="3">
        <v>188097</v>
      </c>
      <c r="C1393" s="3">
        <v>250000</v>
      </c>
      <c r="D1393" s="72">
        <v>43404</v>
      </c>
      <c r="E1393" s="3" t="s">
        <v>846</v>
      </c>
    </row>
    <row r="1394" spans="1:7" x14ac:dyDescent="0.25">
      <c r="B1394" s="3">
        <f>SUM(B1392:B1393)</f>
        <v>371493</v>
      </c>
      <c r="C1394" s="3">
        <f>SUM(C1392:C1393)</f>
        <v>415000</v>
      </c>
      <c r="E1394" s="83">
        <f>C1394-B1394</f>
        <v>43507</v>
      </c>
      <c r="F1394" s="72">
        <v>43404</v>
      </c>
      <c r="G1394" s="72">
        <v>43404</v>
      </c>
    </row>
    <row r="1396" spans="1:7" x14ac:dyDescent="0.25">
      <c r="A1396" t="s">
        <v>1539</v>
      </c>
      <c r="B1396" s="3">
        <v>233100</v>
      </c>
      <c r="C1396" s="3">
        <v>319000</v>
      </c>
      <c r="D1396" s="72">
        <v>43405</v>
      </c>
      <c r="E1396" s="3" t="s">
        <v>846</v>
      </c>
    </row>
    <row r="1397" spans="1:7" x14ac:dyDescent="0.25">
      <c r="A1397" t="s">
        <v>1540</v>
      </c>
      <c r="B1397" s="3">
        <v>239850</v>
      </c>
      <c r="C1397" s="3">
        <v>15000</v>
      </c>
      <c r="D1397" s="72">
        <v>43405</v>
      </c>
    </row>
    <row r="1398" spans="1:7" x14ac:dyDescent="0.25">
      <c r="C1398" s="94">
        <v>49336</v>
      </c>
      <c r="D1398" s="72">
        <v>43402</v>
      </c>
      <c r="E1398" s="3" t="s">
        <v>842</v>
      </c>
    </row>
    <row r="1399" spans="1:7" x14ac:dyDescent="0.25">
      <c r="C1399" s="83">
        <v>43507</v>
      </c>
      <c r="D1399" s="72">
        <v>43403</v>
      </c>
      <c r="E1399" s="3" t="s">
        <v>842</v>
      </c>
    </row>
    <row r="1400" spans="1:7" x14ac:dyDescent="0.25">
      <c r="C1400" s="96">
        <v>63000</v>
      </c>
      <c r="D1400" s="72">
        <v>43403</v>
      </c>
      <c r="E1400" s="3" t="s">
        <v>842</v>
      </c>
    </row>
    <row r="1401" spans="1:7" x14ac:dyDescent="0.25">
      <c r="C1401" s="3">
        <v>6218</v>
      </c>
      <c r="D1401" s="72">
        <v>43405</v>
      </c>
      <c r="E1401" s="3" t="s">
        <v>1541</v>
      </c>
    </row>
    <row r="1402" spans="1:7" x14ac:dyDescent="0.25">
      <c r="B1402" s="3">
        <f>SUM(B1396:B1401)</f>
        <v>472950</v>
      </c>
      <c r="C1402" s="3">
        <f>SUM(C1396:C1401)</f>
        <v>496061</v>
      </c>
      <c r="E1402" s="107">
        <f>C1402-B1402</f>
        <v>23111</v>
      </c>
      <c r="F1402" s="72">
        <v>43405</v>
      </c>
      <c r="G1402" s="72">
        <v>43407</v>
      </c>
    </row>
    <row r="1404" spans="1:7" x14ac:dyDescent="0.25">
      <c r="A1404" t="s">
        <v>1542</v>
      </c>
      <c r="B1404" s="3">
        <v>468630</v>
      </c>
      <c r="C1404" s="3">
        <v>340555</v>
      </c>
      <c r="D1404" s="72">
        <v>43407</v>
      </c>
      <c r="E1404" s="3" t="s">
        <v>846</v>
      </c>
    </row>
    <row r="1405" spans="1:7" x14ac:dyDescent="0.25">
      <c r="A1405" t="s">
        <v>1543</v>
      </c>
      <c r="B1405" s="3">
        <v>9887.2000000000007</v>
      </c>
      <c r="C1405" s="3">
        <v>338445</v>
      </c>
      <c r="D1405" s="72">
        <v>43407</v>
      </c>
      <c r="E1405" s="3" t="s">
        <v>846</v>
      </c>
    </row>
    <row r="1406" spans="1:7" x14ac:dyDescent="0.25">
      <c r="B1406" s="3">
        <f>SUM(B1404:B1405)</f>
        <v>478517.2</v>
      </c>
      <c r="C1406" s="3">
        <f>SUM(C1404:C1405)</f>
        <v>679000</v>
      </c>
      <c r="E1406" s="102">
        <f>C1406-B1406</f>
        <v>200482.8</v>
      </c>
      <c r="F1406" s="72">
        <v>43407</v>
      </c>
      <c r="G1406" s="72">
        <v>43407</v>
      </c>
    </row>
    <row r="1408" spans="1:7" x14ac:dyDescent="0.25">
      <c r="A1408" t="s">
        <v>1544</v>
      </c>
      <c r="B1408" s="3">
        <v>466083.9</v>
      </c>
      <c r="C1408" s="3">
        <v>533000</v>
      </c>
      <c r="D1408" s="73">
        <v>43409</v>
      </c>
      <c r="E1408" t="s">
        <v>846</v>
      </c>
    </row>
    <row r="1409" spans="1:7" x14ac:dyDescent="0.25">
      <c r="A1409" t="s">
        <v>1545</v>
      </c>
      <c r="B1409" s="3">
        <v>22112.2</v>
      </c>
    </row>
    <row r="1410" spans="1:7" x14ac:dyDescent="0.25">
      <c r="B1410" s="3">
        <f>SUM(B1408:B1409)</f>
        <v>488196.10000000003</v>
      </c>
      <c r="C1410" s="3">
        <f>SUM(C1408:C1409)</f>
        <v>533000</v>
      </c>
      <c r="E1410" s="83">
        <f>C1410-B1410</f>
        <v>44803.899999999965</v>
      </c>
      <c r="F1410" s="72">
        <v>43409</v>
      </c>
      <c r="G1410" s="72">
        <v>43410</v>
      </c>
    </row>
    <row r="1412" spans="1:7" x14ac:dyDescent="0.25">
      <c r="A1412" t="s">
        <v>1546</v>
      </c>
      <c r="B1412" s="3">
        <v>435344</v>
      </c>
      <c r="C1412" s="3">
        <v>67900</v>
      </c>
      <c r="D1412" s="72">
        <v>43407</v>
      </c>
    </row>
    <row r="1413" spans="1:7" x14ac:dyDescent="0.25">
      <c r="A1413" t="s">
        <v>1547</v>
      </c>
      <c r="B1413" s="3">
        <v>469737</v>
      </c>
      <c r="C1413" s="107">
        <v>23111</v>
      </c>
      <c r="D1413" s="72">
        <v>43405</v>
      </c>
      <c r="E1413" s="3" t="s">
        <v>842</v>
      </c>
    </row>
    <row r="1414" spans="1:7" x14ac:dyDescent="0.25">
      <c r="C1414" s="102">
        <v>200482.8</v>
      </c>
      <c r="D1414" s="72">
        <v>43407</v>
      </c>
      <c r="E1414" s="3" t="s">
        <v>842</v>
      </c>
    </row>
    <row r="1415" spans="1:7" x14ac:dyDescent="0.25">
      <c r="C1415" s="3">
        <v>276796</v>
      </c>
      <c r="D1415" s="72">
        <v>43411</v>
      </c>
      <c r="E1415" s="3" t="s">
        <v>846</v>
      </c>
    </row>
    <row r="1416" spans="1:7" x14ac:dyDescent="0.25">
      <c r="C1416" s="3">
        <v>343204</v>
      </c>
      <c r="D1416" s="72">
        <v>43411</v>
      </c>
      <c r="E1416" s="3" t="s">
        <v>846</v>
      </c>
    </row>
    <row r="1417" spans="1:7" x14ac:dyDescent="0.25">
      <c r="B1417" s="3">
        <f>SUM(B1412:B1415)</f>
        <v>905081</v>
      </c>
      <c r="C1417" s="3">
        <f>SUM(C1412:C1416)</f>
        <v>911493.8</v>
      </c>
      <c r="E1417" s="75">
        <f>C1417-B1417</f>
        <v>6412.8000000000466</v>
      </c>
      <c r="F1417" s="72">
        <v>43411</v>
      </c>
      <c r="G1417" s="72">
        <v>43412</v>
      </c>
    </row>
    <row r="1419" spans="1:7" x14ac:dyDescent="0.25">
      <c r="A1419" t="s">
        <v>1548</v>
      </c>
      <c r="B1419" s="3">
        <v>442200</v>
      </c>
      <c r="C1419" s="3">
        <v>431000</v>
      </c>
      <c r="D1419" s="72">
        <v>43414</v>
      </c>
      <c r="E1419" s="3" t="s">
        <v>846</v>
      </c>
    </row>
    <row r="1420" spans="1:7" x14ac:dyDescent="0.25">
      <c r="A1420" t="s">
        <v>1549</v>
      </c>
      <c r="B1420" s="3">
        <v>400365</v>
      </c>
      <c r="C1420" s="3">
        <v>400000</v>
      </c>
      <c r="D1420" s="72">
        <v>43414</v>
      </c>
      <c r="E1420" s="3" t="s">
        <v>846</v>
      </c>
    </row>
    <row r="1421" spans="1:7" x14ac:dyDescent="0.25">
      <c r="C1421" s="3">
        <v>11565</v>
      </c>
      <c r="D1421" s="72">
        <v>43414</v>
      </c>
      <c r="E1421" s="3" t="s">
        <v>849</v>
      </c>
    </row>
    <row r="1422" spans="1:7" x14ac:dyDescent="0.25">
      <c r="B1422" s="3">
        <f>SUM(B1419:B1420)</f>
        <v>842565</v>
      </c>
      <c r="C1422" s="3">
        <f>SUM(C1419:C1421)</f>
        <v>842565</v>
      </c>
      <c r="E1422" s="3">
        <f>C1422-B1422</f>
        <v>0</v>
      </c>
      <c r="F1422" s="72">
        <v>43414</v>
      </c>
      <c r="G1422" s="72">
        <v>43416</v>
      </c>
    </row>
    <row r="1424" spans="1:7" x14ac:dyDescent="0.25">
      <c r="A1424" t="s">
        <v>1550</v>
      </c>
      <c r="B1424" s="3">
        <v>136524</v>
      </c>
      <c r="C1424" s="3">
        <v>555000</v>
      </c>
      <c r="D1424" s="72">
        <v>43416</v>
      </c>
      <c r="E1424" s="3" t="s">
        <v>846</v>
      </c>
    </row>
    <row r="1425" spans="1:7" x14ac:dyDescent="0.25">
      <c r="A1425" t="s">
        <v>1551</v>
      </c>
      <c r="B1425" s="3">
        <v>25336.799999999999</v>
      </c>
    </row>
    <row r="1426" spans="1:7" x14ac:dyDescent="0.25">
      <c r="A1426" t="s">
        <v>1552</v>
      </c>
      <c r="B1426" s="3">
        <v>250551</v>
      </c>
    </row>
    <row r="1427" spans="1:7" x14ac:dyDescent="0.25">
      <c r="B1427" s="3">
        <f>SUM(B1424:B1426)</f>
        <v>412411.8</v>
      </c>
      <c r="C1427" s="3">
        <f>SUM(C1424:C1426)</f>
        <v>555000</v>
      </c>
      <c r="E1427" s="83">
        <f>C1427-B1427</f>
        <v>142588.20000000001</v>
      </c>
      <c r="F1427" s="72">
        <v>43416</v>
      </c>
      <c r="G1427" s="72">
        <v>43417</v>
      </c>
    </row>
    <row r="1429" spans="1:7" x14ac:dyDescent="0.25">
      <c r="A1429" t="s">
        <v>1553</v>
      </c>
      <c r="B1429" s="3">
        <v>262405</v>
      </c>
      <c r="C1429" s="3">
        <v>241742</v>
      </c>
      <c r="D1429" s="72">
        <v>43419</v>
      </c>
      <c r="E1429" s="3" t="s">
        <v>846</v>
      </c>
    </row>
    <row r="1430" spans="1:7" x14ac:dyDescent="0.25">
      <c r="A1430" t="s">
        <v>1554</v>
      </c>
      <c r="B1430" s="3">
        <v>241853</v>
      </c>
      <c r="C1430" s="3">
        <v>504258</v>
      </c>
      <c r="D1430" s="72">
        <v>43419</v>
      </c>
      <c r="E1430" s="3" t="s">
        <v>846</v>
      </c>
    </row>
    <row r="1431" spans="1:7" x14ac:dyDescent="0.25">
      <c r="B1431" s="3">
        <f>SUM(B1429:B1430)</f>
        <v>504258</v>
      </c>
      <c r="C1431" s="3">
        <f>SUM(C1429:C1430)</f>
        <v>746000</v>
      </c>
      <c r="E1431" s="51">
        <f>C1431-B1431</f>
        <v>241742</v>
      </c>
      <c r="F1431" s="72">
        <v>43419</v>
      </c>
      <c r="G1431" s="72">
        <v>43420</v>
      </c>
    </row>
    <row r="1433" spans="1:7" x14ac:dyDescent="0.25">
      <c r="A1433" t="s">
        <v>1555</v>
      </c>
      <c r="B1433" s="3">
        <v>274866</v>
      </c>
      <c r="C1433" s="3">
        <v>229000</v>
      </c>
      <c r="D1433" s="72">
        <v>43420</v>
      </c>
      <c r="E1433" s="3" t="s">
        <v>846</v>
      </c>
    </row>
    <row r="1434" spans="1:7" x14ac:dyDescent="0.25">
      <c r="C1434" s="75">
        <v>6412.8</v>
      </c>
      <c r="D1434" s="72">
        <v>43411</v>
      </c>
      <c r="E1434" s="3" t="s">
        <v>842</v>
      </c>
    </row>
    <row r="1435" spans="1:7" x14ac:dyDescent="0.25">
      <c r="C1435" s="3">
        <v>15206</v>
      </c>
      <c r="D1435" s="72">
        <v>43413</v>
      </c>
      <c r="E1435" s="3" t="s">
        <v>1556</v>
      </c>
    </row>
    <row r="1436" spans="1:7" x14ac:dyDescent="0.25">
      <c r="C1436" s="3">
        <v>21724</v>
      </c>
      <c r="D1436" s="72">
        <v>43411</v>
      </c>
      <c r="E1436" s="3" t="s">
        <v>1557</v>
      </c>
    </row>
    <row r="1437" spans="1:7" x14ac:dyDescent="0.25">
      <c r="C1437" s="3">
        <v>2523</v>
      </c>
      <c r="D1437" s="72">
        <v>43420</v>
      </c>
      <c r="E1437" s="3" t="s">
        <v>849</v>
      </c>
    </row>
    <row r="1438" spans="1:7" x14ac:dyDescent="0.25">
      <c r="B1438" s="3">
        <f>SUM(B1433:B1437)</f>
        <v>274866</v>
      </c>
      <c r="C1438" s="3">
        <f>SUM(C1433:C1437)</f>
        <v>274865.8</v>
      </c>
      <c r="E1438" s="3">
        <f>C1438-B1438</f>
        <v>-0.20000000001164153</v>
      </c>
      <c r="F1438" s="72">
        <v>43420</v>
      </c>
      <c r="G1438" s="72">
        <v>43421</v>
      </c>
    </row>
    <row r="1440" spans="1:7" x14ac:dyDescent="0.25">
      <c r="A1440" t="s">
        <v>1558</v>
      </c>
      <c r="B1440" s="3">
        <v>482754</v>
      </c>
      <c r="C1440" s="3">
        <v>347324</v>
      </c>
      <c r="D1440" s="72">
        <v>43424</v>
      </c>
      <c r="E1440" s="3" t="s">
        <v>846</v>
      </c>
    </row>
    <row r="1441" spans="1:7" x14ac:dyDescent="0.25">
      <c r="A1441" t="s">
        <v>1559</v>
      </c>
      <c r="B1441" s="3">
        <v>21508</v>
      </c>
      <c r="C1441" s="3">
        <v>323075</v>
      </c>
      <c r="D1441" s="72">
        <v>43424</v>
      </c>
      <c r="E1441" s="3" t="s">
        <v>846</v>
      </c>
    </row>
    <row r="1442" spans="1:7" x14ac:dyDescent="0.25">
      <c r="A1442" t="s">
        <v>1560</v>
      </c>
      <c r="B1442" s="3">
        <v>478728</v>
      </c>
      <c r="C1442" s="3">
        <v>352601</v>
      </c>
      <c r="D1442" s="72">
        <v>43424</v>
      </c>
      <c r="E1442" s="3" t="s">
        <v>846</v>
      </c>
    </row>
    <row r="1443" spans="1:7" x14ac:dyDescent="0.25">
      <c r="B1443" s="3">
        <f>SUM(B1440:B1442)</f>
        <v>982990</v>
      </c>
      <c r="C1443" s="3">
        <f>SUM(C1440:C1442)</f>
        <v>1023000</v>
      </c>
      <c r="E1443" s="107">
        <f>C1443-B1443</f>
        <v>40010</v>
      </c>
      <c r="F1443" s="72">
        <v>43424</v>
      </c>
      <c r="G1443" s="72">
        <v>43425</v>
      </c>
    </row>
    <row r="1445" spans="1:7" x14ac:dyDescent="0.25">
      <c r="A1445" t="s">
        <v>1561</v>
      </c>
      <c r="B1445" s="3">
        <v>227880</v>
      </c>
      <c r="C1445" s="3">
        <v>375780</v>
      </c>
      <c r="D1445" s="72">
        <v>43426</v>
      </c>
      <c r="E1445" s="3" t="s">
        <v>846</v>
      </c>
    </row>
    <row r="1446" spans="1:7" x14ac:dyDescent="0.25">
      <c r="A1446" t="s">
        <v>1562</v>
      </c>
      <c r="B1446" s="3">
        <v>221654</v>
      </c>
      <c r="C1446" s="3">
        <v>404220</v>
      </c>
      <c r="D1446" s="72">
        <v>43426</v>
      </c>
      <c r="E1446" s="3" t="s">
        <v>846</v>
      </c>
    </row>
    <row r="1447" spans="1:7" x14ac:dyDescent="0.25">
      <c r="A1447" t="s">
        <v>1563</v>
      </c>
      <c r="B1447" s="3">
        <v>191520</v>
      </c>
    </row>
    <row r="1448" spans="1:7" x14ac:dyDescent="0.25">
      <c r="B1448" s="3">
        <f>SUM(B1445:B1447)</f>
        <v>641054</v>
      </c>
      <c r="C1448" s="3">
        <f>SUM(C1445:C1447)</f>
        <v>780000</v>
      </c>
      <c r="E1448" s="114">
        <f>C1448-B1448</f>
        <v>138946</v>
      </c>
      <c r="F1448" s="72">
        <v>43426</v>
      </c>
      <c r="G1448" s="72">
        <v>43427</v>
      </c>
    </row>
    <row r="1450" spans="1:7" x14ac:dyDescent="0.25">
      <c r="A1450" t="s">
        <v>1564</v>
      </c>
      <c r="B1450" s="3">
        <v>398849</v>
      </c>
      <c r="C1450" s="3">
        <v>400000</v>
      </c>
      <c r="D1450" s="72">
        <v>43428</v>
      </c>
      <c r="E1450" s="3" t="s">
        <v>846</v>
      </c>
    </row>
    <row r="1451" spans="1:7" x14ac:dyDescent="0.25">
      <c r="B1451" s="3">
        <f>SUM(B1450)</f>
        <v>398849</v>
      </c>
      <c r="C1451" s="3">
        <f>SUM(C1450)</f>
        <v>400000</v>
      </c>
      <c r="E1451" s="54">
        <f>C1451-B1451</f>
        <v>1151</v>
      </c>
      <c r="F1451" s="72">
        <v>43428</v>
      </c>
      <c r="G1451" s="72">
        <v>43430</v>
      </c>
    </row>
    <row r="1453" spans="1:7" x14ac:dyDescent="0.25">
      <c r="A1453" t="s">
        <v>1565</v>
      </c>
      <c r="B1453" s="3">
        <v>383720</v>
      </c>
      <c r="C1453" s="3">
        <v>549000</v>
      </c>
      <c r="D1453" s="72">
        <v>43430</v>
      </c>
      <c r="E1453" s="3" t="s">
        <v>846</v>
      </c>
    </row>
    <row r="1454" spans="1:7" x14ac:dyDescent="0.25">
      <c r="B1454" s="3">
        <f>SUM(B1453)</f>
        <v>383720</v>
      </c>
      <c r="C1454" s="3">
        <f>SUM(C1453)</f>
        <v>549000</v>
      </c>
      <c r="E1454" s="99">
        <f>C1454-B1454</f>
        <v>165280</v>
      </c>
      <c r="F1454" s="72">
        <v>43430</v>
      </c>
      <c r="G1454" s="72">
        <v>43431</v>
      </c>
    </row>
    <row r="1456" spans="1:7" x14ac:dyDescent="0.25">
      <c r="A1456" t="s">
        <v>1566</v>
      </c>
      <c r="B1456" s="3">
        <v>248400</v>
      </c>
      <c r="C1456" s="54">
        <v>1151</v>
      </c>
      <c r="D1456" s="72">
        <v>43428</v>
      </c>
      <c r="E1456" s="3" t="s">
        <v>842</v>
      </c>
    </row>
    <row r="1457" spans="1:7" x14ac:dyDescent="0.25">
      <c r="A1457" t="s">
        <v>1567</v>
      </c>
      <c r="B1457" s="3">
        <v>11194.8</v>
      </c>
      <c r="C1457" s="3">
        <v>371000</v>
      </c>
      <c r="D1457" s="72">
        <v>43431</v>
      </c>
      <c r="E1457" s="3" t="s">
        <v>846</v>
      </c>
    </row>
    <row r="1458" spans="1:7" x14ac:dyDescent="0.25">
      <c r="A1458" t="s">
        <v>1568</v>
      </c>
      <c r="B1458" s="3">
        <v>113876.35</v>
      </c>
      <c r="C1458" s="3">
        <v>1320</v>
      </c>
      <c r="D1458" s="72">
        <v>43431</v>
      </c>
      <c r="E1458" s="3" t="s">
        <v>849</v>
      </c>
    </row>
    <row r="1459" spans="1:7" x14ac:dyDescent="0.25">
      <c r="B1459" s="3">
        <f>SUM(B1456:B1458)</f>
        <v>373471.15</v>
      </c>
      <c r="C1459" s="3">
        <f>SUM(C1456:C1458)</f>
        <v>373471</v>
      </c>
      <c r="E1459" s="3">
        <f>C1459-B1459</f>
        <v>-0.15000000002328306</v>
      </c>
      <c r="F1459" s="72">
        <v>43431</v>
      </c>
      <c r="G1459" s="72">
        <v>43433</v>
      </c>
    </row>
    <row r="1461" spans="1:7" x14ac:dyDescent="0.25">
      <c r="A1461" t="s">
        <v>1569</v>
      </c>
      <c r="B1461" s="3">
        <v>254800</v>
      </c>
      <c r="C1461" s="3">
        <v>350000</v>
      </c>
      <c r="D1461" s="72">
        <v>43434</v>
      </c>
      <c r="E1461" s="3" t="s">
        <v>846</v>
      </c>
    </row>
    <row r="1462" spans="1:7" x14ac:dyDescent="0.25">
      <c r="A1462" t="s">
        <v>1570</v>
      </c>
      <c r="B1462" s="3">
        <v>244185</v>
      </c>
      <c r="C1462" s="3">
        <v>650000</v>
      </c>
      <c r="D1462" s="72">
        <v>43434</v>
      </c>
      <c r="E1462" s="3" t="s">
        <v>846</v>
      </c>
    </row>
    <row r="1463" spans="1:7" x14ac:dyDescent="0.25">
      <c r="A1463" t="s">
        <v>1571</v>
      </c>
      <c r="B1463" s="3">
        <v>282100</v>
      </c>
    </row>
    <row r="1464" spans="1:7" x14ac:dyDescent="0.25">
      <c r="B1464" s="3">
        <f>SUM(B1461:B1463)</f>
        <v>781085</v>
      </c>
      <c r="C1464" s="3">
        <f>SUM(C1461:C1463)</f>
        <v>1000000</v>
      </c>
      <c r="E1464" s="107">
        <f>C1464-B1464</f>
        <v>218915</v>
      </c>
      <c r="F1464" s="72">
        <v>43434</v>
      </c>
      <c r="G1464" s="72">
        <v>43434</v>
      </c>
    </row>
    <row r="1466" spans="1:7" x14ac:dyDescent="0.25">
      <c r="A1466" t="s">
        <v>1572</v>
      </c>
      <c r="B1466" s="3">
        <v>491036</v>
      </c>
      <c r="C1466" s="3">
        <v>369000</v>
      </c>
      <c r="D1466" s="72">
        <v>43437</v>
      </c>
      <c r="E1466" s="3" t="s">
        <v>846</v>
      </c>
    </row>
    <row r="1467" spans="1:7" x14ac:dyDescent="0.25">
      <c r="C1467" s="83">
        <v>44803.9</v>
      </c>
      <c r="D1467" s="72">
        <v>43409</v>
      </c>
      <c r="E1467" s="3" t="s">
        <v>842</v>
      </c>
    </row>
    <row r="1468" spans="1:7" x14ac:dyDescent="0.25">
      <c r="C1468" s="3">
        <v>22400</v>
      </c>
      <c r="D1468" s="72">
        <v>43427</v>
      </c>
    </row>
    <row r="1469" spans="1:7" x14ac:dyDescent="0.25">
      <c r="C1469" s="107">
        <v>40010</v>
      </c>
      <c r="D1469" s="72">
        <v>43424</v>
      </c>
      <c r="E1469" s="3" t="s">
        <v>842</v>
      </c>
    </row>
    <row r="1470" spans="1:7" x14ac:dyDescent="0.25">
      <c r="C1470" s="3">
        <v>18200</v>
      </c>
      <c r="D1470" s="72">
        <v>43434</v>
      </c>
      <c r="E1470" s="3" t="s">
        <v>842</v>
      </c>
      <c r="F1470" t="s">
        <v>1573</v>
      </c>
    </row>
    <row r="1471" spans="1:7" x14ac:dyDescent="0.25">
      <c r="B1471" s="3">
        <f>SUM(B1466:B1470)</f>
        <v>491036</v>
      </c>
      <c r="C1471" s="3">
        <f>SUM(C1466:C1470)</f>
        <v>494413.9</v>
      </c>
      <c r="E1471" s="75">
        <f>C1471-B1471</f>
        <v>3377.9000000000233</v>
      </c>
      <c r="F1471" s="72">
        <v>43437</v>
      </c>
      <c r="G1471" s="72">
        <v>43438</v>
      </c>
    </row>
    <row r="1473" spans="1:7" x14ac:dyDescent="0.25">
      <c r="A1473" t="s">
        <v>1574</v>
      </c>
      <c r="B1473" s="3">
        <v>471380</v>
      </c>
      <c r="C1473" s="3">
        <v>470000</v>
      </c>
      <c r="D1473" s="72">
        <v>43438</v>
      </c>
      <c r="E1473" s="3" t="s">
        <v>846</v>
      </c>
    </row>
    <row r="1474" spans="1:7" x14ac:dyDescent="0.25">
      <c r="C1474" s="3">
        <v>1380</v>
      </c>
      <c r="D1474" s="72">
        <v>43438</v>
      </c>
      <c r="E1474" s="3" t="s">
        <v>849</v>
      </c>
    </row>
    <row r="1475" spans="1:7" x14ac:dyDescent="0.25">
      <c r="B1475" s="3">
        <f>SUM(B1473:B1474)</f>
        <v>471380</v>
      </c>
      <c r="C1475" s="3">
        <f>SUM(C1473:C1474)</f>
        <v>471380</v>
      </c>
      <c r="E1475" s="3">
        <f>C1475-B1475</f>
        <v>0</v>
      </c>
      <c r="F1475" s="72">
        <v>43438</v>
      </c>
      <c r="G1475" s="72">
        <v>43438</v>
      </c>
    </row>
    <row r="1477" spans="1:7" x14ac:dyDescent="0.25">
      <c r="A1477" t="s">
        <v>1575</v>
      </c>
      <c r="B1477" s="3">
        <v>246428</v>
      </c>
      <c r="C1477" s="3">
        <v>340000</v>
      </c>
      <c r="D1477" s="72">
        <v>43440</v>
      </c>
      <c r="E1477" s="3" t="s">
        <v>846</v>
      </c>
    </row>
    <row r="1478" spans="1:7" x14ac:dyDescent="0.25">
      <c r="B1478" s="3">
        <f>SUM(B1477)</f>
        <v>246428</v>
      </c>
      <c r="C1478" s="3">
        <f>SUM(C1477)</f>
        <v>340000</v>
      </c>
      <c r="E1478" s="95">
        <f>C1478-B1478</f>
        <v>93572</v>
      </c>
      <c r="F1478" s="72">
        <v>43440</v>
      </c>
      <c r="G1478" s="72">
        <v>43441</v>
      </c>
    </row>
    <row r="1480" spans="1:7" x14ac:dyDescent="0.25">
      <c r="A1480" t="s">
        <v>1576</v>
      </c>
      <c r="B1480" s="3">
        <v>410625</v>
      </c>
      <c r="C1480" s="3">
        <v>556000</v>
      </c>
      <c r="D1480" s="72">
        <v>43441</v>
      </c>
      <c r="E1480" s="3" t="s">
        <v>846</v>
      </c>
    </row>
    <row r="1481" spans="1:7" x14ac:dyDescent="0.25">
      <c r="A1481" t="s">
        <v>1577</v>
      </c>
      <c r="B1481" s="3">
        <v>426244</v>
      </c>
      <c r="C1481" s="3">
        <v>169106</v>
      </c>
      <c r="D1481" s="72">
        <v>43441</v>
      </c>
    </row>
    <row r="1482" spans="1:7" x14ac:dyDescent="0.25">
      <c r="C1482" s="95">
        <v>93572</v>
      </c>
      <c r="D1482" s="72">
        <v>43440</v>
      </c>
      <c r="E1482" s="3" t="s">
        <v>842</v>
      </c>
    </row>
    <row r="1483" spans="1:7" x14ac:dyDescent="0.25">
      <c r="C1483" s="75">
        <v>3377.9</v>
      </c>
      <c r="D1483" s="72">
        <v>43437</v>
      </c>
      <c r="E1483" s="3" t="s">
        <v>842</v>
      </c>
    </row>
    <row r="1484" spans="1:7" x14ac:dyDescent="0.25">
      <c r="C1484" s="3">
        <v>47000</v>
      </c>
      <c r="D1484" s="72">
        <v>43412</v>
      </c>
    </row>
    <row r="1485" spans="1:7" x14ac:dyDescent="0.25">
      <c r="C1485" s="3">
        <v>11762</v>
      </c>
      <c r="D1485" s="72">
        <v>43440</v>
      </c>
      <c r="E1485" s="3" t="s">
        <v>1578</v>
      </c>
    </row>
    <row r="1486" spans="1:7" x14ac:dyDescent="0.25">
      <c r="B1486" s="3">
        <f>SUM(B1480:B1485)</f>
        <v>836869</v>
      </c>
      <c r="C1486" s="3">
        <f>SUM(C1480:C1485)</f>
        <v>880817.9</v>
      </c>
      <c r="E1486" s="91">
        <f>C1486-B1486</f>
        <v>43948.900000000023</v>
      </c>
      <c r="F1486" s="72">
        <v>43441</v>
      </c>
      <c r="G1486" s="72">
        <v>43441</v>
      </c>
    </row>
    <row r="1488" spans="1:7" x14ac:dyDescent="0.25">
      <c r="A1488" t="s">
        <v>1579</v>
      </c>
      <c r="B1488" s="3">
        <v>470106</v>
      </c>
      <c r="C1488" s="3">
        <v>400000</v>
      </c>
      <c r="D1488" s="72">
        <v>43444</v>
      </c>
      <c r="E1488" s="3" t="s">
        <v>846</v>
      </c>
    </row>
    <row r="1489" spans="1:7" x14ac:dyDescent="0.25">
      <c r="A1489" t="s">
        <v>1580</v>
      </c>
      <c r="B1489" s="3">
        <v>41380.800000000003</v>
      </c>
      <c r="C1489" s="3">
        <v>393000</v>
      </c>
      <c r="D1489" s="72">
        <v>43444</v>
      </c>
      <c r="E1489" s="3" t="s">
        <v>846</v>
      </c>
    </row>
    <row r="1490" spans="1:7" x14ac:dyDescent="0.25">
      <c r="A1490" t="s">
        <v>1581</v>
      </c>
      <c r="B1490" s="3">
        <v>241776</v>
      </c>
    </row>
    <row r="1491" spans="1:7" x14ac:dyDescent="0.25">
      <c r="A1491" t="s">
        <v>1582</v>
      </c>
      <c r="B1491" s="3">
        <v>35707.839999999997</v>
      </c>
    </row>
    <row r="1492" spans="1:7" x14ac:dyDescent="0.25">
      <c r="B1492" s="3">
        <f>SUM(B1488:B1491)</f>
        <v>788970.64</v>
      </c>
      <c r="C1492" s="3">
        <f>SUM(C1488:C1491)</f>
        <v>793000</v>
      </c>
      <c r="E1492" s="83">
        <f>C1492-B1492</f>
        <v>4029.359999999986</v>
      </c>
      <c r="F1492" s="72">
        <v>43444</v>
      </c>
      <c r="G1492" s="72">
        <v>43445</v>
      </c>
    </row>
    <row r="1494" spans="1:7" x14ac:dyDescent="0.25">
      <c r="A1494" t="s">
        <v>1583</v>
      </c>
      <c r="B1494" s="3">
        <v>237682.5</v>
      </c>
      <c r="C1494" s="3">
        <v>345000</v>
      </c>
      <c r="D1494" s="72">
        <v>43445</v>
      </c>
      <c r="E1494" s="3" t="s">
        <v>846</v>
      </c>
    </row>
    <row r="1495" spans="1:7" x14ac:dyDescent="0.25">
      <c r="B1495" s="3">
        <f>SUM(B1494)</f>
        <v>237682.5</v>
      </c>
      <c r="C1495" s="3">
        <f>SUM(C1494)</f>
        <v>345000</v>
      </c>
      <c r="E1495" s="115">
        <f>C1495-B1495</f>
        <v>107317.5</v>
      </c>
      <c r="F1495" s="72">
        <v>43445</v>
      </c>
      <c r="G1495" s="72">
        <v>43446</v>
      </c>
    </row>
    <row r="1497" spans="1:7" x14ac:dyDescent="0.25">
      <c r="A1497" t="s">
        <v>1584</v>
      </c>
      <c r="B1497" s="3">
        <v>243984</v>
      </c>
      <c r="C1497" s="3">
        <v>400000</v>
      </c>
      <c r="D1497" s="72">
        <v>43447</v>
      </c>
      <c r="E1497" s="3" t="s">
        <v>846</v>
      </c>
    </row>
    <row r="1498" spans="1:7" x14ac:dyDescent="0.25">
      <c r="A1498" t="s">
        <v>1585</v>
      </c>
      <c r="B1498" s="3">
        <v>466835</v>
      </c>
      <c r="C1498" s="3">
        <v>363000</v>
      </c>
      <c r="D1498" s="72">
        <v>43447</v>
      </c>
      <c r="E1498" s="3" t="s">
        <v>846</v>
      </c>
    </row>
    <row r="1499" spans="1:7" x14ac:dyDescent="0.25">
      <c r="B1499" s="3">
        <f>SUM(B1497:B1498)</f>
        <v>710819</v>
      </c>
      <c r="C1499" s="3">
        <f>SUM(C1497:C1498)</f>
        <v>763000</v>
      </c>
      <c r="E1499" s="54">
        <f>C1499-B1499</f>
        <v>52181</v>
      </c>
      <c r="F1499" s="72">
        <v>43447</v>
      </c>
      <c r="G1499" s="72">
        <v>43448</v>
      </c>
    </row>
    <row r="1501" spans="1:7" x14ac:dyDescent="0.25">
      <c r="A1501" t="s">
        <v>1586</v>
      </c>
      <c r="B1501" s="3">
        <v>81142.740000000005</v>
      </c>
      <c r="C1501" s="3">
        <v>330000</v>
      </c>
      <c r="D1501" s="72">
        <v>43448</v>
      </c>
      <c r="E1501" s="3" t="s">
        <v>846</v>
      </c>
    </row>
    <row r="1502" spans="1:7" x14ac:dyDescent="0.25">
      <c r="A1502" t="s">
        <v>1587</v>
      </c>
      <c r="B1502" s="3">
        <v>464940</v>
      </c>
      <c r="C1502" s="91">
        <v>43948.9</v>
      </c>
      <c r="D1502" s="72">
        <v>43441</v>
      </c>
      <c r="E1502" s="3" t="s">
        <v>842</v>
      </c>
    </row>
    <row r="1503" spans="1:7" x14ac:dyDescent="0.25">
      <c r="C1503" s="54">
        <v>52181</v>
      </c>
      <c r="D1503" s="72">
        <v>43447</v>
      </c>
      <c r="E1503" s="3" t="s">
        <v>842</v>
      </c>
    </row>
    <row r="1504" spans="1:7" x14ac:dyDescent="0.25">
      <c r="C1504" s="115">
        <v>107317.5</v>
      </c>
      <c r="D1504" s="72">
        <v>43445</v>
      </c>
      <c r="E1504" s="3" t="s">
        <v>842</v>
      </c>
    </row>
    <row r="1505" spans="1:7" x14ac:dyDescent="0.25">
      <c r="C1505" s="83">
        <v>4029.36</v>
      </c>
      <c r="D1505" s="72">
        <v>43444</v>
      </c>
      <c r="E1505" s="3" t="s">
        <v>842</v>
      </c>
    </row>
    <row r="1506" spans="1:7" x14ac:dyDescent="0.25">
      <c r="C1506" s="3">
        <v>8606</v>
      </c>
      <c r="D1506" s="72">
        <v>43448</v>
      </c>
      <c r="E1506" s="3" t="s">
        <v>849</v>
      </c>
    </row>
    <row r="1507" spans="1:7" x14ac:dyDescent="0.25">
      <c r="B1507" s="3">
        <f>SUM(B1501:B1505)</f>
        <v>546082.74</v>
      </c>
      <c r="C1507" s="3">
        <f>SUM(C1501:C1506)</f>
        <v>546082.76</v>
      </c>
      <c r="E1507" s="3">
        <f>C1507-B1507</f>
        <v>2.0000000018626451E-2</v>
      </c>
      <c r="F1507" s="72">
        <v>43448</v>
      </c>
      <c r="G1507" s="72">
        <v>43449</v>
      </c>
    </row>
    <row r="1509" spans="1:7" x14ac:dyDescent="0.25">
      <c r="A1509" t="s">
        <v>1588</v>
      </c>
      <c r="B1509" s="3">
        <v>238419.5</v>
      </c>
      <c r="C1509" s="3">
        <v>370700</v>
      </c>
      <c r="D1509" s="72">
        <v>43451</v>
      </c>
      <c r="E1509" s="3" t="s">
        <v>846</v>
      </c>
    </row>
    <row r="1510" spans="1:7" x14ac:dyDescent="0.25">
      <c r="A1510" t="s">
        <v>1589</v>
      </c>
      <c r="B1510" s="3">
        <v>482250</v>
      </c>
      <c r="C1510" s="3">
        <v>358300</v>
      </c>
      <c r="D1510" s="72">
        <v>43451</v>
      </c>
      <c r="E1510" s="3" t="s">
        <v>846</v>
      </c>
    </row>
    <row r="1511" spans="1:7" x14ac:dyDescent="0.25">
      <c r="B1511" s="3">
        <f>SUM(B1509:B1510)</f>
        <v>720669.5</v>
      </c>
      <c r="C1511" s="3">
        <f>SUM(C1509:C1510)</f>
        <v>729000</v>
      </c>
      <c r="E1511" s="75">
        <f>C1511-B1511</f>
        <v>8330.5</v>
      </c>
      <c r="F1511" s="72">
        <v>43451</v>
      </c>
      <c r="G1511" s="72">
        <v>43452</v>
      </c>
    </row>
    <row r="1513" spans="1:7" x14ac:dyDescent="0.25">
      <c r="A1513" t="s">
        <v>1590</v>
      </c>
      <c r="B1513" s="3">
        <v>460525.5</v>
      </c>
      <c r="C1513" s="3">
        <v>627000</v>
      </c>
      <c r="D1513" s="72">
        <v>43452</v>
      </c>
      <c r="E1513" s="3" t="s">
        <v>846</v>
      </c>
    </row>
    <row r="1514" spans="1:7" x14ac:dyDescent="0.25">
      <c r="A1514" t="s">
        <v>1591</v>
      </c>
      <c r="B1514" s="3">
        <v>463760</v>
      </c>
      <c r="C1514" s="3">
        <v>386000</v>
      </c>
      <c r="D1514" s="72">
        <v>43452</v>
      </c>
      <c r="E1514" s="3" t="s">
        <v>846</v>
      </c>
    </row>
    <row r="1515" spans="1:7" x14ac:dyDescent="0.25">
      <c r="A1515" t="s">
        <v>1592</v>
      </c>
      <c r="B1515" s="3">
        <v>149787</v>
      </c>
      <c r="C1515" s="3">
        <v>498000</v>
      </c>
      <c r="D1515" s="72">
        <v>43452</v>
      </c>
      <c r="E1515" s="3" t="s">
        <v>846</v>
      </c>
    </row>
    <row r="1516" spans="1:7" x14ac:dyDescent="0.25">
      <c r="A1516" t="s">
        <v>1593</v>
      </c>
      <c r="B1516" s="3">
        <v>244970</v>
      </c>
      <c r="C1516" s="3">
        <v>503000</v>
      </c>
      <c r="D1516" s="72">
        <v>43452</v>
      </c>
      <c r="E1516" s="3" t="s">
        <v>846</v>
      </c>
    </row>
    <row r="1517" spans="1:7" x14ac:dyDescent="0.25">
      <c r="C1517" s="3">
        <v>485000</v>
      </c>
      <c r="D1517" s="72">
        <v>43452</v>
      </c>
      <c r="E1517" s="3" t="s">
        <v>846</v>
      </c>
    </row>
    <row r="1518" spans="1:7" x14ac:dyDescent="0.25">
      <c r="B1518" s="3">
        <f>SUM(B1513:B1517)</f>
        <v>1319042.5</v>
      </c>
      <c r="C1518" s="3">
        <f>SUM(C1513:C1517)</f>
        <v>2499000</v>
      </c>
      <c r="E1518" s="86">
        <f>C1518-B1518</f>
        <v>1179957.5</v>
      </c>
      <c r="F1518" s="72">
        <v>43452</v>
      </c>
      <c r="G1518" s="72">
        <v>43453</v>
      </c>
    </row>
    <row r="1520" spans="1:7" x14ac:dyDescent="0.25">
      <c r="A1520" t="s">
        <v>1594</v>
      </c>
      <c r="B1520" s="3">
        <v>244125</v>
      </c>
      <c r="C1520" s="3">
        <v>4674</v>
      </c>
      <c r="D1520" s="72">
        <v>181218</v>
      </c>
      <c r="E1520" s="3" t="s">
        <v>1595</v>
      </c>
    </row>
    <row r="1521" spans="1:14" x14ac:dyDescent="0.25">
      <c r="A1521" t="s">
        <v>1596</v>
      </c>
      <c r="B1521" s="3">
        <v>155238.29999999999</v>
      </c>
      <c r="C1521" s="3">
        <v>18017</v>
      </c>
      <c r="D1521" s="72">
        <v>43450</v>
      </c>
      <c r="E1521" s="3" t="s">
        <v>861</v>
      </c>
    </row>
    <row r="1522" spans="1:14" x14ac:dyDescent="0.25">
      <c r="C1522" s="3">
        <v>6180</v>
      </c>
      <c r="D1522" s="72">
        <v>43450</v>
      </c>
      <c r="E1522" s="3" t="s">
        <v>1597</v>
      </c>
      <c r="L1522" s="3"/>
      <c r="M1522" s="72"/>
      <c r="N1522" s="72"/>
    </row>
    <row r="1523" spans="1:14" x14ac:dyDescent="0.25">
      <c r="C1523" s="75">
        <v>8330.5</v>
      </c>
      <c r="D1523" s="72">
        <v>43451</v>
      </c>
      <c r="E1523" s="3" t="s">
        <v>842</v>
      </c>
    </row>
    <row r="1524" spans="1:14" x14ac:dyDescent="0.25">
      <c r="C1524" s="107">
        <v>218915</v>
      </c>
      <c r="D1524" s="72">
        <v>43434</v>
      </c>
      <c r="E1524" s="3" t="s">
        <v>842</v>
      </c>
    </row>
    <row r="1525" spans="1:14" x14ac:dyDescent="0.25">
      <c r="C1525" s="3">
        <v>129674</v>
      </c>
      <c r="D1525" s="72">
        <v>43428</v>
      </c>
    </row>
    <row r="1526" spans="1:14" x14ac:dyDescent="0.25">
      <c r="C1526" s="3">
        <v>13573</v>
      </c>
      <c r="D1526" s="72">
        <v>43454</v>
      </c>
      <c r="E1526" s="3" t="s">
        <v>849</v>
      </c>
    </row>
    <row r="1527" spans="1:14" x14ac:dyDescent="0.25">
      <c r="B1527" s="3">
        <f>SUM(B1520:B1526)</f>
        <v>399363.3</v>
      </c>
      <c r="C1527" s="3">
        <f>SUM(C1520:C1526)</f>
        <v>399363.5</v>
      </c>
      <c r="E1527" s="3">
        <f>C1527-B1527</f>
        <v>0.20000000001164153</v>
      </c>
      <c r="F1527" s="72">
        <v>43454</v>
      </c>
      <c r="G1527" s="72">
        <v>43454</v>
      </c>
    </row>
    <row r="1529" spans="1:14" x14ac:dyDescent="0.25">
      <c r="A1529" t="s">
        <v>1598</v>
      </c>
      <c r="B1529" s="3">
        <v>243848</v>
      </c>
      <c r="C1529" s="51">
        <v>241742</v>
      </c>
      <c r="D1529" s="72">
        <v>43419</v>
      </c>
      <c r="E1529" s="3" t="s">
        <v>842</v>
      </c>
    </row>
    <row r="1530" spans="1:14" x14ac:dyDescent="0.25">
      <c r="C1530" s="3">
        <v>2106</v>
      </c>
      <c r="D1530" s="72">
        <v>43454</v>
      </c>
    </row>
    <row r="1531" spans="1:14" x14ac:dyDescent="0.25">
      <c r="B1531" s="3">
        <f>SUM(B1529:B1530)</f>
        <v>243848</v>
      </c>
      <c r="C1531" s="3">
        <f>SUM(C1529:C1530)</f>
        <v>243848</v>
      </c>
      <c r="E1531" s="3">
        <f>C1531-B1531</f>
        <v>0</v>
      </c>
      <c r="F1531" s="72">
        <v>43454</v>
      </c>
      <c r="G1531" s="72">
        <v>43455</v>
      </c>
      <c r="L1531" s="3"/>
      <c r="M1531" s="72"/>
      <c r="N1531" s="72"/>
    </row>
    <row r="1532" spans="1:14" x14ac:dyDescent="0.25">
      <c r="L1532" s="3"/>
      <c r="M1532" s="72"/>
      <c r="N1532" s="72"/>
    </row>
    <row r="1533" spans="1:14" x14ac:dyDescent="0.25">
      <c r="A1533" t="s">
        <v>1599</v>
      </c>
      <c r="B1533" s="3">
        <v>461890</v>
      </c>
      <c r="C1533" s="99">
        <v>165280</v>
      </c>
      <c r="D1533" s="72">
        <v>43430</v>
      </c>
      <c r="E1533" s="3" t="s">
        <v>842</v>
      </c>
      <c r="L1533" s="3"/>
      <c r="M1533" s="72"/>
      <c r="N1533" s="72"/>
    </row>
    <row r="1534" spans="1:14" x14ac:dyDescent="0.25">
      <c r="C1534" s="114">
        <v>138946</v>
      </c>
      <c r="D1534" s="72">
        <v>43426</v>
      </c>
      <c r="E1534" s="3" t="s">
        <v>842</v>
      </c>
    </row>
    <row r="1535" spans="1:14" x14ac:dyDescent="0.25">
      <c r="C1535" s="83">
        <v>142588.20000000001</v>
      </c>
      <c r="D1535" s="72">
        <v>43416</v>
      </c>
      <c r="E1535" s="3" t="s">
        <v>842</v>
      </c>
    </row>
    <row r="1536" spans="1:14" x14ac:dyDescent="0.25">
      <c r="C1536" s="3">
        <v>3696.15</v>
      </c>
      <c r="D1536" s="72">
        <v>43454</v>
      </c>
      <c r="E1536" s="3" t="s">
        <v>1600</v>
      </c>
    </row>
    <row r="1537" spans="1:7" x14ac:dyDescent="0.25">
      <c r="C1537" s="3">
        <v>11380</v>
      </c>
      <c r="D1537" s="72">
        <v>43455</v>
      </c>
      <c r="E1537" s="3" t="s">
        <v>849</v>
      </c>
    </row>
    <row r="1538" spans="1:7" x14ac:dyDescent="0.25">
      <c r="B1538" s="3">
        <f>SUM(B1533:B1537)</f>
        <v>461890</v>
      </c>
      <c r="C1538" s="3">
        <f>SUM(C1533:C1537)</f>
        <v>461890.35000000003</v>
      </c>
      <c r="E1538" s="3">
        <f>C1538-B1538</f>
        <v>0.3500000000349246</v>
      </c>
      <c r="F1538" s="72">
        <v>43455</v>
      </c>
      <c r="G1538" s="72">
        <v>43456</v>
      </c>
    </row>
    <row r="1540" spans="1:7" x14ac:dyDescent="0.25">
      <c r="A1540" t="s">
        <v>1601</v>
      </c>
      <c r="B1540" s="3">
        <v>881144</v>
      </c>
      <c r="C1540" s="3">
        <v>389305.36</v>
      </c>
      <c r="D1540" s="72">
        <v>43458</v>
      </c>
      <c r="E1540" s="3" t="s">
        <v>846</v>
      </c>
    </row>
    <row r="1541" spans="1:7" x14ac:dyDescent="0.25">
      <c r="A1541" t="s">
        <v>1602</v>
      </c>
      <c r="B1541" s="3">
        <v>415320.5</v>
      </c>
      <c r="C1541" s="3">
        <v>436612.46</v>
      </c>
      <c r="D1541" s="72">
        <v>43458</v>
      </c>
      <c r="E1541" s="3" t="s">
        <v>846</v>
      </c>
    </row>
    <row r="1542" spans="1:7" x14ac:dyDescent="0.25">
      <c r="A1542" t="s">
        <v>1603</v>
      </c>
      <c r="B1542" s="3">
        <v>864241</v>
      </c>
      <c r="C1542" s="3">
        <v>382877.18</v>
      </c>
      <c r="D1542" s="72">
        <v>43458</v>
      </c>
      <c r="E1542" s="3" t="s">
        <v>846</v>
      </c>
    </row>
    <row r="1543" spans="1:7" x14ac:dyDescent="0.25">
      <c r="A1543" t="s">
        <v>1604</v>
      </c>
      <c r="B1543" s="3">
        <v>36932.800000000003</v>
      </c>
      <c r="C1543" s="3">
        <v>441558.09</v>
      </c>
      <c r="D1543" s="72">
        <v>43458</v>
      </c>
      <c r="E1543" s="3" t="s">
        <v>846</v>
      </c>
    </row>
    <row r="1544" spans="1:7" x14ac:dyDescent="0.25">
      <c r="A1544" t="s">
        <v>1605</v>
      </c>
      <c r="B1544" s="3">
        <v>75444.100000000006</v>
      </c>
      <c r="C1544" s="3">
        <v>458246.91</v>
      </c>
      <c r="D1544" s="72">
        <v>43458</v>
      </c>
      <c r="E1544" s="3" t="s">
        <v>846</v>
      </c>
    </row>
    <row r="1545" spans="1:7" x14ac:dyDescent="0.25">
      <c r="C1545" s="3">
        <v>394400</v>
      </c>
      <c r="D1545" s="72">
        <v>43458</v>
      </c>
      <c r="E1545" s="3" t="s">
        <v>846</v>
      </c>
    </row>
    <row r="1546" spans="1:7" x14ac:dyDescent="0.25">
      <c r="B1546" s="3">
        <f>SUM(B1540:B1545)</f>
        <v>2273082.4</v>
      </c>
      <c r="C1546" s="3">
        <f>SUM(C1540:C1545)</f>
        <v>2503000</v>
      </c>
      <c r="E1546" s="83">
        <f>C1546-B1546</f>
        <v>229917.60000000009</v>
      </c>
      <c r="F1546" s="72">
        <v>43458</v>
      </c>
      <c r="G1546" s="72">
        <v>43460</v>
      </c>
    </row>
    <row r="1548" spans="1:7" x14ac:dyDescent="0.25">
      <c r="A1548" t="s">
        <v>1606</v>
      </c>
      <c r="B1548" s="3">
        <v>438702</v>
      </c>
      <c r="C1548" s="83">
        <v>229917.6</v>
      </c>
      <c r="D1548" s="72">
        <v>43458</v>
      </c>
      <c r="E1548" s="3" t="s">
        <v>842</v>
      </c>
    </row>
    <row r="1549" spans="1:7" x14ac:dyDescent="0.25">
      <c r="C1549" s="3">
        <v>30274</v>
      </c>
      <c r="D1549" s="72">
        <v>43460</v>
      </c>
      <c r="E1549" s="3" t="s">
        <v>1607</v>
      </c>
    </row>
    <row r="1550" spans="1:7" x14ac:dyDescent="0.25">
      <c r="C1550" s="3">
        <v>146079</v>
      </c>
      <c r="D1550" s="72">
        <v>43455</v>
      </c>
      <c r="E1550" s="3" t="s">
        <v>1608</v>
      </c>
    </row>
    <row r="1551" spans="1:7" x14ac:dyDescent="0.25">
      <c r="C1551" s="3">
        <v>12006</v>
      </c>
      <c r="D1551" s="72">
        <v>43457</v>
      </c>
      <c r="E1551" s="3" t="s">
        <v>1609</v>
      </c>
    </row>
    <row r="1552" spans="1:7" x14ac:dyDescent="0.25">
      <c r="C1552" s="3">
        <v>22297</v>
      </c>
      <c r="D1552" s="72">
        <v>43457</v>
      </c>
      <c r="E1552" s="3" t="s">
        <v>1610</v>
      </c>
    </row>
    <row r="1553" spans="1:7" x14ac:dyDescent="0.25">
      <c r="B1553" s="3">
        <f>SUM(B1548:B1552)</f>
        <v>438702</v>
      </c>
      <c r="C1553" s="3">
        <f>SUM(C1548:C1552)</f>
        <v>440573.6</v>
      </c>
      <c r="E1553" s="117">
        <f>C1553-B1553</f>
        <v>1871.5999999999767</v>
      </c>
      <c r="F1553" s="72">
        <v>43461</v>
      </c>
      <c r="G1553" s="72">
        <v>43461</v>
      </c>
    </row>
    <row r="1555" spans="1:7" x14ac:dyDescent="0.25">
      <c r="A1555" t="s">
        <v>1611</v>
      </c>
      <c r="B1555" s="3">
        <v>853860</v>
      </c>
      <c r="C1555" s="3">
        <v>728000</v>
      </c>
      <c r="D1555" s="72">
        <v>43463</v>
      </c>
      <c r="E1555" s="3" t="s">
        <v>846</v>
      </c>
    </row>
    <row r="1556" spans="1:7" x14ac:dyDescent="0.25">
      <c r="A1556" t="s">
        <v>1612</v>
      </c>
      <c r="B1556" s="3">
        <v>434250</v>
      </c>
      <c r="C1556" s="3">
        <v>590000</v>
      </c>
      <c r="D1556" s="72">
        <v>43463</v>
      </c>
      <c r="E1556" s="3" t="s">
        <v>846</v>
      </c>
    </row>
    <row r="1557" spans="1:7" x14ac:dyDescent="0.25">
      <c r="B1557" s="3">
        <f>SUM(B1555:B1556)</f>
        <v>1288110</v>
      </c>
      <c r="C1557" s="3">
        <f>SUM(C1555:C1556)</f>
        <v>1318000</v>
      </c>
      <c r="E1557" s="118">
        <f>C1557-B1557</f>
        <v>29890</v>
      </c>
      <c r="F1557" s="72">
        <v>43463</v>
      </c>
      <c r="G1557" s="72">
        <v>43463</v>
      </c>
    </row>
    <row r="1559" spans="1:7" x14ac:dyDescent="0.25">
      <c r="A1559" t="s">
        <v>1626</v>
      </c>
      <c r="B1559" s="3">
        <v>844500</v>
      </c>
      <c r="C1559" s="117">
        <v>1871.6</v>
      </c>
      <c r="D1559" s="72">
        <v>43461</v>
      </c>
      <c r="E1559" s="3" t="s">
        <v>842</v>
      </c>
    </row>
    <row r="1560" spans="1:7" x14ac:dyDescent="0.25">
      <c r="C1560" s="118">
        <v>29890</v>
      </c>
      <c r="D1560" s="72">
        <v>43463</v>
      </c>
      <c r="E1560" s="3" t="s">
        <v>842</v>
      </c>
    </row>
    <row r="1561" spans="1:7" x14ac:dyDescent="0.25">
      <c r="C1561" s="3">
        <v>41702</v>
      </c>
      <c r="D1561" s="72">
        <v>43464</v>
      </c>
      <c r="E1561" s="3" t="s">
        <v>1627</v>
      </c>
    </row>
    <row r="1562" spans="1:7" x14ac:dyDescent="0.25">
      <c r="C1562" s="3">
        <v>187563</v>
      </c>
      <c r="D1562" s="72">
        <v>43464</v>
      </c>
      <c r="E1562" s="3" t="s">
        <v>1628</v>
      </c>
    </row>
    <row r="1563" spans="1:7" x14ac:dyDescent="0.25">
      <c r="C1563" s="3">
        <v>10591</v>
      </c>
      <c r="D1563" s="72">
        <v>43461</v>
      </c>
      <c r="E1563" s="3" t="s">
        <v>1629</v>
      </c>
    </row>
    <row r="1564" spans="1:7" x14ac:dyDescent="0.25">
      <c r="C1564" s="3">
        <v>10747</v>
      </c>
      <c r="D1564" s="72">
        <v>43465</v>
      </c>
      <c r="E1564" s="3" t="s">
        <v>1630</v>
      </c>
    </row>
    <row r="1565" spans="1:7" x14ac:dyDescent="0.25">
      <c r="C1565" s="3">
        <v>21246</v>
      </c>
      <c r="D1565" s="72">
        <v>43465</v>
      </c>
      <c r="E1565" s="3" t="s">
        <v>1631</v>
      </c>
    </row>
    <row r="1566" spans="1:7" x14ac:dyDescent="0.25">
      <c r="C1566" s="3">
        <v>300000</v>
      </c>
      <c r="D1566" s="72">
        <v>43468</v>
      </c>
      <c r="E1566" s="3" t="s">
        <v>846</v>
      </c>
    </row>
    <row r="1567" spans="1:7" x14ac:dyDescent="0.25">
      <c r="C1567" s="3">
        <v>391000</v>
      </c>
      <c r="D1567" s="72">
        <v>43468</v>
      </c>
      <c r="E1567" s="3" t="s">
        <v>846</v>
      </c>
    </row>
    <row r="1568" spans="1:7" x14ac:dyDescent="0.25">
      <c r="B1568" s="3">
        <f>SUM(B1559:B1567)</f>
        <v>844500</v>
      </c>
      <c r="C1568" s="3">
        <f>SUM(C1559:C1567)</f>
        <v>994610.6</v>
      </c>
      <c r="E1568" s="54">
        <f>C1568-B1568</f>
        <v>150110.59999999998</v>
      </c>
      <c r="F1568" s="72">
        <v>43468</v>
      </c>
      <c r="G1568" s="72">
        <v>43469</v>
      </c>
    </row>
    <row r="1570" spans="1:7" x14ac:dyDescent="0.25">
      <c r="A1570" t="s">
        <v>1676</v>
      </c>
      <c r="B1570" s="3">
        <v>447527.5</v>
      </c>
      <c r="C1570" s="3">
        <v>333443</v>
      </c>
      <c r="D1570" s="72">
        <v>43472</v>
      </c>
      <c r="E1570" s="3" t="s">
        <v>846</v>
      </c>
    </row>
    <row r="1571" spans="1:7" x14ac:dyDescent="0.25">
      <c r="A1571" t="s">
        <v>1677</v>
      </c>
      <c r="B1571" s="3">
        <v>432000</v>
      </c>
      <c r="C1571" s="3">
        <v>306557</v>
      </c>
      <c r="D1571" s="72">
        <v>43472</v>
      </c>
      <c r="E1571" s="3" t="s">
        <v>846</v>
      </c>
    </row>
    <row r="1572" spans="1:7" x14ac:dyDescent="0.25">
      <c r="A1572" t="s">
        <v>1678</v>
      </c>
      <c r="B1572" s="3">
        <v>743138</v>
      </c>
      <c r="C1572" s="3">
        <v>360000</v>
      </c>
      <c r="D1572" s="72">
        <v>43472</v>
      </c>
      <c r="E1572" s="3" t="s">
        <v>846</v>
      </c>
    </row>
    <row r="1573" spans="1:7" x14ac:dyDescent="0.25">
      <c r="C1573" s="3">
        <v>396000</v>
      </c>
      <c r="D1573" s="72">
        <v>43472</v>
      </c>
      <c r="E1573" s="3" t="s">
        <v>846</v>
      </c>
    </row>
    <row r="1574" spans="1:7" x14ac:dyDescent="0.25">
      <c r="C1574" s="3">
        <v>25000</v>
      </c>
      <c r="D1574" s="72">
        <v>43472</v>
      </c>
      <c r="E1574" s="3" t="s">
        <v>846</v>
      </c>
    </row>
    <row r="1575" spans="1:7" x14ac:dyDescent="0.25">
      <c r="C1575" s="54">
        <v>150111.6</v>
      </c>
      <c r="D1575" s="72">
        <v>43468</v>
      </c>
      <c r="E1575" s="3" t="s">
        <v>842</v>
      </c>
    </row>
    <row r="1576" spans="1:7" x14ac:dyDescent="0.25">
      <c r="C1576" s="3">
        <v>24744</v>
      </c>
      <c r="D1576" s="72">
        <v>43470</v>
      </c>
      <c r="E1576" s="3" t="s">
        <v>1679</v>
      </c>
    </row>
    <row r="1577" spans="1:7" x14ac:dyDescent="0.25">
      <c r="C1577" s="3">
        <v>36643</v>
      </c>
      <c r="D1577" s="72">
        <v>43472</v>
      </c>
      <c r="E1577" s="3" t="s">
        <v>1680</v>
      </c>
    </row>
    <row r="1578" spans="1:7" x14ac:dyDescent="0.25">
      <c r="B1578" s="3">
        <f>SUM(B1570:B1574)</f>
        <v>1622665.5</v>
      </c>
      <c r="C1578" s="3">
        <f>SUM(C1570:C1577)</f>
        <v>1632498.6</v>
      </c>
      <c r="E1578" s="113">
        <f>C1578-B1578</f>
        <v>9833.1000000000931</v>
      </c>
      <c r="F1578" s="72">
        <v>43472</v>
      </c>
      <c r="G1578" s="72">
        <v>43108</v>
      </c>
    </row>
    <row r="1580" spans="1:7" x14ac:dyDescent="0.25">
      <c r="A1580" t="s">
        <v>1713</v>
      </c>
      <c r="B1580" s="3">
        <v>237116</v>
      </c>
      <c r="C1580" s="86">
        <v>1179957.5</v>
      </c>
      <c r="D1580" s="72">
        <v>43452</v>
      </c>
      <c r="E1580" s="3" t="s">
        <v>842</v>
      </c>
    </row>
    <row r="1581" spans="1:7" x14ac:dyDescent="0.25">
      <c r="A1581" t="s">
        <v>1714</v>
      </c>
      <c r="B1581" s="3">
        <v>418875</v>
      </c>
    </row>
    <row r="1582" spans="1:7" x14ac:dyDescent="0.25">
      <c r="A1582" t="s">
        <v>1715</v>
      </c>
      <c r="B1582" s="3">
        <v>227018</v>
      </c>
    </row>
    <row r="1583" spans="1:7" x14ac:dyDescent="0.25">
      <c r="A1583" t="s">
        <v>1716</v>
      </c>
      <c r="B1583" s="3">
        <v>215050</v>
      </c>
    </row>
    <row r="1584" spans="1:7" x14ac:dyDescent="0.25">
      <c r="B1584" s="3">
        <f>SUM(B1580:B1583)</f>
        <v>1098059</v>
      </c>
      <c r="C1584" s="3">
        <f>SUM(C1580:C1583)</f>
        <v>1179957.5</v>
      </c>
      <c r="E1584" s="132">
        <f>C1584-B1584</f>
        <v>81898.5</v>
      </c>
      <c r="F1584" s="72">
        <v>43475</v>
      </c>
      <c r="G1584" s="72">
        <v>43476</v>
      </c>
    </row>
    <row r="1586" spans="1:14" x14ac:dyDescent="0.25">
      <c r="A1586" t="s">
        <v>1832</v>
      </c>
      <c r="B1586" s="3">
        <v>369759</v>
      </c>
      <c r="C1586" s="3">
        <v>430220</v>
      </c>
      <c r="D1586" s="72">
        <v>43479</v>
      </c>
      <c r="E1586" s="3" t="s">
        <v>846</v>
      </c>
    </row>
    <row r="1587" spans="1:14" x14ac:dyDescent="0.25">
      <c r="A1587" t="s">
        <v>1833</v>
      </c>
      <c r="B1587" s="3">
        <v>413660</v>
      </c>
      <c r="C1587" s="3">
        <v>324326</v>
      </c>
      <c r="D1587" s="72">
        <v>43479</v>
      </c>
      <c r="E1587" s="3" t="s">
        <v>846</v>
      </c>
    </row>
    <row r="1588" spans="1:14" x14ac:dyDescent="0.25">
      <c r="C1588" s="3">
        <v>443346</v>
      </c>
      <c r="D1588" s="72">
        <v>43479</v>
      </c>
      <c r="E1588" s="3" t="s">
        <v>846</v>
      </c>
    </row>
    <row r="1589" spans="1:14" x14ac:dyDescent="0.25">
      <c r="C1589" s="3">
        <v>124108</v>
      </c>
      <c r="D1589" s="72">
        <v>43479</v>
      </c>
      <c r="E1589" s="3" t="s">
        <v>846</v>
      </c>
    </row>
    <row r="1590" spans="1:14" x14ac:dyDescent="0.25">
      <c r="C1590" s="132">
        <v>81898.5</v>
      </c>
      <c r="D1590" s="72">
        <v>43475</v>
      </c>
      <c r="E1590" s="3" t="s">
        <v>842</v>
      </c>
    </row>
    <row r="1591" spans="1:14" x14ac:dyDescent="0.25">
      <c r="C1591" s="113">
        <v>9833.1</v>
      </c>
      <c r="D1591" s="72">
        <v>43472</v>
      </c>
      <c r="E1591" s="3" t="s">
        <v>842</v>
      </c>
    </row>
    <row r="1592" spans="1:14" x14ac:dyDescent="0.25">
      <c r="C1592" s="3">
        <v>32342</v>
      </c>
      <c r="D1592" s="72">
        <v>43475</v>
      </c>
      <c r="E1592" s="3" t="s">
        <v>1834</v>
      </c>
    </row>
    <row r="1593" spans="1:14" x14ac:dyDescent="0.25">
      <c r="C1593" s="3">
        <v>8360</v>
      </c>
      <c r="D1593" s="72">
        <v>43473</v>
      </c>
      <c r="E1593" s="3" t="s">
        <v>1835</v>
      </c>
    </row>
    <row r="1594" spans="1:14" x14ac:dyDescent="0.25">
      <c r="B1594" s="3">
        <f>SUM(B1586:B1593)</f>
        <v>783419</v>
      </c>
      <c r="C1594" s="3">
        <f>SUM(C1586:C1593)</f>
        <v>1454433.6</v>
      </c>
      <c r="E1594" s="3">
        <f>C1594-B1594</f>
        <v>671014.60000000009</v>
      </c>
      <c r="F1594" s="72">
        <v>43479</v>
      </c>
      <c r="G1594" s="72">
        <v>43480</v>
      </c>
      <c r="H1594" s="48"/>
    </row>
    <row r="1596" spans="1:14" x14ac:dyDescent="0.25">
      <c r="A1596" t="s">
        <v>1847</v>
      </c>
      <c r="B1596" s="3">
        <v>41830.800000000003</v>
      </c>
      <c r="C1596" s="3">
        <v>354000</v>
      </c>
      <c r="D1596" s="72">
        <v>43480</v>
      </c>
      <c r="E1596" s="3" t="s">
        <v>846</v>
      </c>
    </row>
    <row r="1597" spans="1:14" x14ac:dyDescent="0.25">
      <c r="A1597" t="s">
        <v>1848</v>
      </c>
      <c r="B1597" s="3">
        <v>218670</v>
      </c>
    </row>
    <row r="1598" spans="1:14" x14ac:dyDescent="0.25">
      <c r="B1598" s="3">
        <f>SUM(B1596:B1597)</f>
        <v>260500.8</v>
      </c>
      <c r="C1598" s="3">
        <f>SUM(C1596:C1597)</f>
        <v>354000</v>
      </c>
      <c r="E1598" s="50">
        <f>C1598-B1598</f>
        <v>93499.200000000012</v>
      </c>
      <c r="F1598" s="72">
        <v>43480</v>
      </c>
      <c r="G1598" s="72">
        <v>43481</v>
      </c>
      <c r="L1598" s="3"/>
      <c r="M1598" s="72"/>
      <c r="N1598" s="72"/>
    </row>
    <row r="1600" spans="1:14" x14ac:dyDescent="0.25">
      <c r="A1600" t="s">
        <v>1855</v>
      </c>
      <c r="B1600" s="3">
        <v>217777</v>
      </c>
      <c r="C1600" s="3">
        <v>101000</v>
      </c>
      <c r="D1600" s="72">
        <v>43481</v>
      </c>
      <c r="E1600" s="3" t="s">
        <v>846</v>
      </c>
    </row>
    <row r="1601" spans="1:7" x14ac:dyDescent="0.25">
      <c r="C1601" s="3">
        <v>23956</v>
      </c>
      <c r="D1601" s="72">
        <v>43481</v>
      </c>
      <c r="E1601" s="3" t="s">
        <v>1856</v>
      </c>
    </row>
    <row r="1602" spans="1:7" x14ac:dyDescent="0.25">
      <c r="C1602" s="50">
        <v>93499.199999999997</v>
      </c>
      <c r="D1602" s="72">
        <v>43480</v>
      </c>
      <c r="E1602" s="3" t="s">
        <v>842</v>
      </c>
    </row>
    <row r="1603" spans="1:7" x14ac:dyDescent="0.25">
      <c r="B1603" s="3">
        <f>SUM(B1600:B1602)</f>
        <v>217777</v>
      </c>
      <c r="C1603" s="3">
        <f>SUM(C1600:C1602)</f>
        <v>218455.2</v>
      </c>
      <c r="E1603" s="83">
        <f>C1603-B1603</f>
        <v>678.20000000001164</v>
      </c>
      <c r="F1603" s="72">
        <v>43481</v>
      </c>
      <c r="G1603" s="72">
        <v>43482</v>
      </c>
    </row>
    <row r="1605" spans="1:7" x14ac:dyDescent="0.25">
      <c r="A1605" t="s">
        <v>1866</v>
      </c>
      <c r="B1605" s="3">
        <v>429885</v>
      </c>
      <c r="C1605" s="3">
        <v>373000</v>
      </c>
      <c r="D1605" s="72">
        <v>43482</v>
      </c>
      <c r="E1605" s="3" t="s">
        <v>846</v>
      </c>
    </row>
    <row r="1606" spans="1:7" x14ac:dyDescent="0.25">
      <c r="C1606" s="3">
        <v>9641</v>
      </c>
      <c r="D1606" s="72">
        <v>43480</v>
      </c>
      <c r="E1606" s="3" t="s">
        <v>1867</v>
      </c>
    </row>
    <row r="1607" spans="1:7" x14ac:dyDescent="0.25">
      <c r="C1607" s="3">
        <v>42673</v>
      </c>
      <c r="D1607" s="72">
        <v>43479</v>
      </c>
      <c r="E1607" s="3" t="s">
        <v>1868</v>
      </c>
    </row>
    <row r="1608" spans="1:7" x14ac:dyDescent="0.25">
      <c r="C1608" s="83">
        <v>678.2</v>
      </c>
      <c r="D1608" s="72">
        <v>43481</v>
      </c>
      <c r="E1608" s="3" t="s">
        <v>842</v>
      </c>
    </row>
    <row r="1609" spans="1:7" x14ac:dyDescent="0.25">
      <c r="C1609" s="3">
        <v>3893</v>
      </c>
      <c r="D1609" s="72">
        <v>43482</v>
      </c>
    </row>
    <row r="1610" spans="1:7" x14ac:dyDescent="0.25">
      <c r="B1610" s="3">
        <f>SUM(B1605:B1609)</f>
        <v>429885</v>
      </c>
      <c r="C1610" s="3">
        <f>SUM(C1605:C1609)</f>
        <v>429885.2</v>
      </c>
      <c r="E1610" s="3">
        <f>C1610-B1610</f>
        <v>0.20000000001164153</v>
      </c>
      <c r="F1610" s="72">
        <v>43482</v>
      </c>
      <c r="G1610" s="72">
        <v>43483</v>
      </c>
    </row>
    <row r="1612" spans="1:7" x14ac:dyDescent="0.25">
      <c r="A1612" t="s">
        <v>1970</v>
      </c>
      <c r="B1612" s="3">
        <v>440076</v>
      </c>
      <c r="C1612" s="3">
        <v>500000</v>
      </c>
      <c r="D1612" s="72">
        <v>43491</v>
      </c>
      <c r="E1612" s="3" t="s">
        <v>846</v>
      </c>
    </row>
    <row r="1613" spans="1:7" x14ac:dyDescent="0.25">
      <c r="A1613" t="s">
        <v>1971</v>
      </c>
      <c r="B1613" s="3">
        <v>423696</v>
      </c>
      <c r="C1613" s="3">
        <v>500000</v>
      </c>
      <c r="D1613" s="72">
        <v>43491</v>
      </c>
      <c r="E1613" s="3" t="s">
        <v>846</v>
      </c>
    </row>
    <row r="1614" spans="1:7" x14ac:dyDescent="0.25">
      <c r="A1614" t="s">
        <v>1972</v>
      </c>
      <c r="B1614" s="3">
        <v>404430</v>
      </c>
      <c r="C1614" s="3">
        <v>500000</v>
      </c>
      <c r="D1614" s="72">
        <v>43491</v>
      </c>
      <c r="E1614" s="3" t="s">
        <v>846</v>
      </c>
    </row>
    <row r="1615" spans="1:7" x14ac:dyDescent="0.25">
      <c r="A1615" t="s">
        <v>1973</v>
      </c>
      <c r="B1615" s="3">
        <v>364536</v>
      </c>
      <c r="C1615" s="3">
        <v>500000</v>
      </c>
      <c r="D1615" s="72">
        <v>43491</v>
      </c>
      <c r="E1615" s="3" t="s">
        <v>846</v>
      </c>
    </row>
    <row r="1616" spans="1:7" x14ac:dyDescent="0.25">
      <c r="A1616" t="s">
        <v>1974</v>
      </c>
      <c r="B1616" s="3">
        <v>243820</v>
      </c>
      <c r="C1616" s="3">
        <v>347000</v>
      </c>
      <c r="D1616" s="72">
        <v>43491</v>
      </c>
      <c r="E1616" s="3" t="s">
        <v>846</v>
      </c>
    </row>
    <row r="1617" spans="1:7" x14ac:dyDescent="0.25">
      <c r="A1617" t="s">
        <v>1975</v>
      </c>
      <c r="B1617" s="3">
        <v>402600</v>
      </c>
      <c r="C1617" s="3">
        <v>350000</v>
      </c>
      <c r="D1617" s="72">
        <v>43491</v>
      </c>
      <c r="E1617" s="3" t="s">
        <v>846</v>
      </c>
    </row>
    <row r="1618" spans="1:7" x14ac:dyDescent="0.25">
      <c r="A1618" t="s">
        <v>1976</v>
      </c>
      <c r="B1618" s="3">
        <v>60979</v>
      </c>
      <c r="C1618" s="3">
        <v>48000</v>
      </c>
      <c r="D1618" s="72">
        <v>43491</v>
      </c>
      <c r="E1618" s="3" t="s">
        <v>846</v>
      </c>
    </row>
    <row r="1619" spans="1:7" x14ac:dyDescent="0.25">
      <c r="A1619" t="s">
        <v>1977</v>
      </c>
      <c r="B1619" s="3">
        <v>220890</v>
      </c>
    </row>
    <row r="1620" spans="1:7" x14ac:dyDescent="0.25">
      <c r="B1620" s="3">
        <f>SUM(B1612:B1619)</f>
        <v>2561027</v>
      </c>
      <c r="C1620" s="3">
        <f>SUM(C1612:C1619)</f>
        <v>2745000</v>
      </c>
      <c r="E1620" s="51">
        <f>C1620-B1620</f>
        <v>183973</v>
      </c>
      <c r="F1620" s="72">
        <v>43491</v>
      </c>
      <c r="G1620" s="72">
        <v>43493</v>
      </c>
    </row>
    <row r="1622" spans="1:7" x14ac:dyDescent="0.25">
      <c r="A1622" t="s">
        <v>2049</v>
      </c>
      <c r="B1622" s="3">
        <v>427780</v>
      </c>
      <c r="C1622" s="3">
        <v>200000</v>
      </c>
      <c r="D1622" s="72">
        <v>43495</v>
      </c>
      <c r="E1622" s="3" t="s">
        <v>846</v>
      </c>
    </row>
    <row r="1623" spans="1:7" x14ac:dyDescent="0.25">
      <c r="A1623" t="s">
        <v>2050</v>
      </c>
      <c r="B1623" s="3">
        <v>213246</v>
      </c>
      <c r="C1623" s="3">
        <v>539000</v>
      </c>
      <c r="D1623" s="72">
        <v>43495</v>
      </c>
      <c r="E1623" s="3" t="s">
        <v>846</v>
      </c>
    </row>
    <row r="1624" spans="1:7" x14ac:dyDescent="0.25">
      <c r="B1624" s="3">
        <f>SUM(B1622:B1623)</f>
        <v>641026</v>
      </c>
      <c r="C1624" s="3">
        <f>SUM(C1622:C1623)</f>
        <v>739000</v>
      </c>
      <c r="E1624" s="83">
        <f>C1624-B1624</f>
        <v>97974</v>
      </c>
      <c r="F1624" s="72">
        <v>43496</v>
      </c>
      <c r="G1624" s="72">
        <v>43496</v>
      </c>
    </row>
    <row r="1626" spans="1:7" x14ac:dyDescent="0.25">
      <c r="A1626" t="s">
        <v>2102</v>
      </c>
      <c r="B1626" s="3">
        <v>31985.5</v>
      </c>
      <c r="C1626" s="83">
        <v>97974</v>
      </c>
      <c r="D1626" s="72">
        <v>43496</v>
      </c>
      <c r="E1626" s="3" t="s">
        <v>842</v>
      </c>
    </row>
    <row r="1627" spans="1:7" x14ac:dyDescent="0.25">
      <c r="A1627" t="s">
        <v>2103</v>
      </c>
      <c r="B1627" s="3">
        <v>459360</v>
      </c>
      <c r="C1627" s="51">
        <v>183973</v>
      </c>
      <c r="D1627" s="72">
        <v>43491</v>
      </c>
      <c r="E1627" s="3" t="s">
        <v>842</v>
      </c>
    </row>
    <row r="1628" spans="1:7" x14ac:dyDescent="0.25">
      <c r="C1628" s="3">
        <v>35277</v>
      </c>
      <c r="D1628" s="72">
        <v>43494</v>
      </c>
      <c r="E1628" s="3" t="s">
        <v>2104</v>
      </c>
    </row>
    <row r="1629" spans="1:7" x14ac:dyDescent="0.25">
      <c r="C1629" s="3">
        <v>265000</v>
      </c>
      <c r="D1629" s="72">
        <v>43496</v>
      </c>
      <c r="E1629" s="3" t="s">
        <v>2105</v>
      </c>
    </row>
    <row r="1630" spans="1:7" x14ac:dyDescent="0.25">
      <c r="B1630" s="3">
        <f>SUM(B1626:B1629)</f>
        <v>491345.5</v>
      </c>
      <c r="C1630" s="3">
        <f>SUM(C1626:C1629)</f>
        <v>582224</v>
      </c>
      <c r="E1630" s="99">
        <f>C1630-B1630</f>
        <v>90878.5</v>
      </c>
      <c r="F1630" s="72">
        <v>43497</v>
      </c>
      <c r="G1630" s="72">
        <v>43497</v>
      </c>
    </row>
    <row r="1632" spans="1:7" x14ac:dyDescent="0.25">
      <c r="A1632" t="s">
        <v>2199</v>
      </c>
      <c r="B1632" s="3">
        <v>522.6</v>
      </c>
      <c r="C1632" s="3">
        <v>550000</v>
      </c>
      <c r="D1632" s="72">
        <v>43501</v>
      </c>
      <c r="E1632" s="3" t="s">
        <v>846</v>
      </c>
    </row>
    <row r="1633" spans="1:7" x14ac:dyDescent="0.25">
      <c r="A1633" t="s">
        <v>2200</v>
      </c>
      <c r="B1633" s="3">
        <v>355632</v>
      </c>
      <c r="C1633" s="3">
        <v>500000</v>
      </c>
      <c r="D1633" s="72">
        <v>43501</v>
      </c>
      <c r="E1633" s="3" t="s">
        <v>846</v>
      </c>
    </row>
    <row r="1634" spans="1:7" x14ac:dyDescent="0.25">
      <c r="A1634" t="s">
        <v>2201</v>
      </c>
      <c r="B1634" s="3">
        <v>220067</v>
      </c>
      <c r="C1634" s="3">
        <v>500000</v>
      </c>
      <c r="D1634" s="72">
        <v>43501</v>
      </c>
      <c r="E1634" s="3" t="s">
        <v>846</v>
      </c>
    </row>
    <row r="1635" spans="1:7" x14ac:dyDescent="0.25">
      <c r="A1635" t="s">
        <v>2202</v>
      </c>
      <c r="B1635" s="3">
        <v>19241.2</v>
      </c>
      <c r="C1635" s="99">
        <v>90878.5</v>
      </c>
      <c r="D1635" s="72">
        <v>43497</v>
      </c>
      <c r="E1635" s="3" t="s">
        <v>842</v>
      </c>
    </row>
    <row r="1636" spans="1:7" x14ac:dyDescent="0.25">
      <c r="A1636" t="s">
        <v>2203</v>
      </c>
      <c r="B1636" s="3">
        <v>386631</v>
      </c>
    </row>
    <row r="1637" spans="1:7" x14ac:dyDescent="0.25">
      <c r="A1637" t="s">
        <v>2204</v>
      </c>
      <c r="B1637" s="3">
        <v>428287</v>
      </c>
    </row>
    <row r="1638" spans="1:7" x14ac:dyDescent="0.25">
      <c r="B1638" s="3">
        <f>SUM(B1632:B1637)</f>
        <v>1410380.7999999998</v>
      </c>
      <c r="C1638" s="3">
        <f>SUM(C1632:C1636)</f>
        <v>1640878.5</v>
      </c>
      <c r="E1638" s="86">
        <f>C1638-B1638</f>
        <v>230497.70000000019</v>
      </c>
      <c r="F1638" s="72">
        <v>43501</v>
      </c>
      <c r="G1638" s="72">
        <v>43501</v>
      </c>
    </row>
    <row r="1640" spans="1:7" x14ac:dyDescent="0.25">
      <c r="A1640" t="s">
        <v>2208</v>
      </c>
      <c r="B1640" s="3">
        <v>199963</v>
      </c>
      <c r="C1640" s="86">
        <v>230497.7</v>
      </c>
      <c r="D1640" s="72">
        <v>43501</v>
      </c>
      <c r="E1640" s="3" t="s">
        <v>842</v>
      </c>
    </row>
    <row r="1641" spans="1:7" x14ac:dyDescent="0.25">
      <c r="B1641" s="3">
        <f>SUM(B1640)</f>
        <v>199963</v>
      </c>
      <c r="C1641" s="3">
        <f>SUM(C1640)</f>
        <v>230497.7</v>
      </c>
      <c r="E1641" s="63">
        <f>C1641-B1641</f>
        <v>30534.700000000012</v>
      </c>
      <c r="F1641" s="72">
        <v>43501</v>
      </c>
      <c r="G1641" s="72">
        <v>43502</v>
      </c>
    </row>
    <row r="1643" spans="1:7" x14ac:dyDescent="0.25">
      <c r="A1643" t="s">
        <v>2214</v>
      </c>
      <c r="B1643" s="3">
        <v>413209</v>
      </c>
      <c r="C1643" s="3">
        <v>420000</v>
      </c>
      <c r="D1643" s="72">
        <v>43440</v>
      </c>
      <c r="E1643" s="3" t="s">
        <v>846</v>
      </c>
    </row>
    <row r="1644" spans="1:7" x14ac:dyDescent="0.25">
      <c r="B1644" s="3">
        <f>SUM(B1643)</f>
        <v>413209</v>
      </c>
      <c r="C1644" s="3">
        <f>SUM(C1643)</f>
        <v>420000</v>
      </c>
      <c r="E1644" s="96">
        <f>C1644-B1644</f>
        <v>6791</v>
      </c>
      <c r="F1644" s="72">
        <v>43502</v>
      </c>
      <c r="G1644" s="72">
        <v>43503</v>
      </c>
    </row>
    <row r="1646" spans="1:7" x14ac:dyDescent="0.25">
      <c r="A1646" t="s">
        <v>2283</v>
      </c>
      <c r="B1646" s="3">
        <v>230478</v>
      </c>
      <c r="C1646" s="3">
        <v>339000</v>
      </c>
      <c r="D1646" s="72">
        <v>43507</v>
      </c>
      <c r="E1646" s="3" t="s">
        <v>846</v>
      </c>
    </row>
    <row r="1647" spans="1:7" x14ac:dyDescent="0.25">
      <c r="A1647" t="s">
        <v>2284</v>
      </c>
      <c r="B1647" s="3">
        <v>408901</v>
      </c>
      <c r="C1647" s="3">
        <v>421000</v>
      </c>
      <c r="D1647" s="72">
        <v>43507</v>
      </c>
      <c r="E1647" s="3" t="s">
        <v>846</v>
      </c>
    </row>
    <row r="1648" spans="1:7" x14ac:dyDescent="0.25">
      <c r="A1648" t="s">
        <v>2285</v>
      </c>
      <c r="B1648" s="3">
        <v>234100.5</v>
      </c>
      <c r="C1648" s="3">
        <v>409000</v>
      </c>
      <c r="D1648" s="72">
        <v>43507</v>
      </c>
      <c r="E1648" s="3" t="s">
        <v>846</v>
      </c>
    </row>
    <row r="1649" spans="1:7" x14ac:dyDescent="0.25">
      <c r="A1649" t="s">
        <v>2286</v>
      </c>
      <c r="B1649" s="3">
        <v>22212</v>
      </c>
    </row>
    <row r="1650" spans="1:7" x14ac:dyDescent="0.25">
      <c r="B1650" s="3">
        <f>SUM(B1646:B1649)</f>
        <v>895691.5</v>
      </c>
      <c r="C1650" s="3">
        <f>SUM(C1646:C1649)</f>
        <v>1169000</v>
      </c>
      <c r="E1650" s="50">
        <f>C1650-B1650</f>
        <v>273308.5</v>
      </c>
      <c r="F1650" s="72">
        <v>43507</v>
      </c>
      <c r="G1650" s="72">
        <v>43508</v>
      </c>
    </row>
    <row r="1652" spans="1:7" x14ac:dyDescent="0.25">
      <c r="A1652" t="s">
        <v>2300</v>
      </c>
      <c r="B1652" s="3">
        <v>401793</v>
      </c>
      <c r="C1652" s="3">
        <v>290000</v>
      </c>
      <c r="D1652" s="72">
        <v>43508</v>
      </c>
      <c r="E1652" s="3" t="s">
        <v>846</v>
      </c>
    </row>
    <row r="1653" spans="1:7" x14ac:dyDescent="0.25">
      <c r="A1653" t="s">
        <v>2301</v>
      </c>
      <c r="B1653" s="3">
        <v>219349</v>
      </c>
      <c r="C1653" s="96">
        <v>6791</v>
      </c>
      <c r="D1653" s="72">
        <v>43502</v>
      </c>
      <c r="E1653" s="3" t="s">
        <v>842</v>
      </c>
    </row>
    <row r="1654" spans="1:7" x14ac:dyDescent="0.25">
      <c r="C1654" s="63">
        <v>30534.7</v>
      </c>
      <c r="D1654" s="72">
        <v>43501</v>
      </c>
      <c r="E1654" s="3" t="s">
        <v>842</v>
      </c>
    </row>
    <row r="1655" spans="1:7" x14ac:dyDescent="0.25">
      <c r="C1655" s="50">
        <v>273308.5</v>
      </c>
      <c r="D1655" s="72">
        <v>43507</v>
      </c>
      <c r="E1655" s="3" t="s">
        <v>842</v>
      </c>
    </row>
    <row r="1656" spans="1:7" x14ac:dyDescent="0.25">
      <c r="C1656" s="3">
        <v>5967</v>
      </c>
      <c r="D1656" s="72">
        <v>43504</v>
      </c>
      <c r="E1656" s="3" t="s">
        <v>2302</v>
      </c>
    </row>
    <row r="1657" spans="1:7" x14ac:dyDescent="0.25">
      <c r="C1657" s="3">
        <v>12477</v>
      </c>
      <c r="D1657" s="72">
        <v>43507</v>
      </c>
      <c r="E1657" s="3" t="s">
        <v>2303</v>
      </c>
    </row>
    <row r="1658" spans="1:7" x14ac:dyDescent="0.25">
      <c r="C1658" s="3">
        <v>2064</v>
      </c>
      <c r="D1658" s="72">
        <v>43508</v>
      </c>
      <c r="E1658" s="3" t="s">
        <v>849</v>
      </c>
    </row>
    <row r="1659" spans="1:7" x14ac:dyDescent="0.25">
      <c r="B1659" s="3">
        <f>SUM(B1652:B1658)</f>
        <v>621142</v>
      </c>
      <c r="C1659" s="3">
        <f>SUM(C1652:C1658)</f>
        <v>621142.19999999995</v>
      </c>
      <c r="E1659" s="3">
        <f>C1659-B1659</f>
        <v>0.19999999995343387</v>
      </c>
      <c r="F1659" s="72">
        <v>43508</v>
      </c>
      <c r="G1659" s="72">
        <v>43508</v>
      </c>
    </row>
    <row r="1661" spans="1:7" x14ac:dyDescent="0.25">
      <c r="A1661" t="s">
        <v>2316</v>
      </c>
      <c r="B1661" s="3">
        <v>455930</v>
      </c>
      <c r="C1661" s="3">
        <v>307000</v>
      </c>
      <c r="D1661" s="72">
        <v>43510</v>
      </c>
      <c r="E1661" s="3" t="s">
        <v>846</v>
      </c>
    </row>
    <row r="1662" spans="1:7" x14ac:dyDescent="0.25">
      <c r="C1662" s="3">
        <v>330000</v>
      </c>
      <c r="D1662" s="72">
        <v>43510</v>
      </c>
      <c r="E1662" s="3" t="s">
        <v>846</v>
      </c>
    </row>
    <row r="1663" spans="1:7" x14ac:dyDescent="0.25">
      <c r="B1663" s="3">
        <f>SUM(B1661)</f>
        <v>455930</v>
      </c>
      <c r="C1663" s="3">
        <f>SUM(C1661:C1662)</f>
        <v>637000</v>
      </c>
      <c r="D1663" s="72"/>
      <c r="E1663" s="92">
        <f>C1663-B1663</f>
        <v>181070</v>
      </c>
      <c r="F1663" s="72">
        <v>43510</v>
      </c>
      <c r="G1663" s="72">
        <v>43511</v>
      </c>
    </row>
    <row r="1665" spans="1:7" x14ac:dyDescent="0.25">
      <c r="A1665" t="s">
        <v>2370</v>
      </c>
      <c r="B1665" s="3">
        <v>24242.400000000001</v>
      </c>
      <c r="C1665" s="3">
        <v>524000</v>
      </c>
      <c r="D1665" s="72">
        <v>43512</v>
      </c>
      <c r="E1665" s="3" t="s">
        <v>846</v>
      </c>
    </row>
    <row r="1666" spans="1:7" x14ac:dyDescent="0.25">
      <c r="A1666" t="s">
        <v>2373</v>
      </c>
      <c r="B1666" s="3">
        <v>27367.200000000001</v>
      </c>
      <c r="C1666" s="92">
        <v>181070</v>
      </c>
      <c r="D1666" s="72">
        <v>43510</v>
      </c>
      <c r="E1666" s="3" t="s">
        <v>842</v>
      </c>
    </row>
    <row r="1667" spans="1:7" x14ac:dyDescent="0.25">
      <c r="A1667" t="s">
        <v>2371</v>
      </c>
      <c r="B1667" s="3">
        <v>243761</v>
      </c>
    </row>
    <row r="1668" spans="1:7" x14ac:dyDescent="0.25">
      <c r="A1668" t="s">
        <v>2372</v>
      </c>
      <c r="B1668" s="3">
        <v>396501</v>
      </c>
    </row>
    <row r="1669" spans="1:7" x14ac:dyDescent="0.25">
      <c r="B1669" s="3">
        <f>SUM(B1665:B1668)</f>
        <v>691871.6</v>
      </c>
      <c r="C1669" s="3">
        <f>SUM(C1665:C1668)</f>
        <v>705070</v>
      </c>
      <c r="E1669" s="110">
        <f>C1669-B1669</f>
        <v>13198.400000000023</v>
      </c>
      <c r="F1669" s="72">
        <v>43512</v>
      </c>
      <c r="G1669" s="72">
        <v>43514</v>
      </c>
    </row>
    <row r="1671" spans="1:7" x14ac:dyDescent="0.25">
      <c r="A1671" t="s">
        <v>2384</v>
      </c>
      <c r="B1671" s="3">
        <v>460238</v>
      </c>
      <c r="C1671" s="3">
        <v>512000</v>
      </c>
      <c r="D1671" s="72">
        <v>43514</v>
      </c>
      <c r="E1671" s="3" t="s">
        <v>846</v>
      </c>
    </row>
    <row r="1672" spans="1:7" x14ac:dyDescent="0.25">
      <c r="B1672" s="3">
        <f>SUM(B1671)</f>
        <v>460238</v>
      </c>
      <c r="C1672" s="3">
        <f>SUM(C1671)</f>
        <v>512000</v>
      </c>
      <c r="E1672" s="96">
        <f>C1672-B1672</f>
        <v>51762</v>
      </c>
      <c r="F1672" s="72">
        <v>43515</v>
      </c>
      <c r="G1672" s="72">
        <v>43515</v>
      </c>
    </row>
    <row r="1674" spans="1:7" x14ac:dyDescent="0.25">
      <c r="A1674" t="s">
        <v>2393</v>
      </c>
      <c r="B1674" s="3">
        <v>218520</v>
      </c>
      <c r="C1674" s="3">
        <v>359000</v>
      </c>
      <c r="D1674" s="72">
        <v>43515</v>
      </c>
      <c r="E1674" s="3" t="s">
        <v>846</v>
      </c>
    </row>
    <row r="1675" spans="1:7" x14ac:dyDescent="0.25">
      <c r="B1675" s="3">
        <f>SUM(B1674)</f>
        <v>218520</v>
      </c>
      <c r="C1675" s="3">
        <f>SUM(C1674)</f>
        <v>359000</v>
      </c>
      <c r="E1675" s="155">
        <f>C1675-B1675</f>
        <v>140480</v>
      </c>
      <c r="F1675" s="72">
        <v>43515</v>
      </c>
      <c r="G1675" s="72">
        <v>43516</v>
      </c>
    </row>
    <row r="1677" spans="1:7" x14ac:dyDescent="0.25">
      <c r="A1677" t="s">
        <v>2406</v>
      </c>
      <c r="B1677" s="3">
        <v>437152</v>
      </c>
      <c r="C1677" s="3">
        <v>848000</v>
      </c>
      <c r="D1677" s="72">
        <v>43518</v>
      </c>
    </row>
    <row r="1678" spans="1:7" x14ac:dyDescent="0.25">
      <c r="A1678" t="s">
        <v>2407</v>
      </c>
      <c r="B1678" s="3">
        <v>391294</v>
      </c>
    </row>
    <row r="1679" spans="1:7" x14ac:dyDescent="0.25">
      <c r="A1679" t="s">
        <v>2408</v>
      </c>
      <c r="B1679" s="3">
        <v>7742.4</v>
      </c>
    </row>
    <row r="1680" spans="1:7" x14ac:dyDescent="0.25">
      <c r="B1680" s="3">
        <f>SUM(B1677:B1679)</f>
        <v>836188.4</v>
      </c>
      <c r="C1680" s="3">
        <f>SUM(C1677:C1679)</f>
        <v>848000</v>
      </c>
      <c r="E1680" s="101">
        <f>C1680-B1680</f>
        <v>11811.599999999977</v>
      </c>
      <c r="F1680" s="72">
        <v>43518</v>
      </c>
      <c r="G1680" s="72">
        <v>43519</v>
      </c>
    </row>
    <row r="1682" spans="1:7" x14ac:dyDescent="0.25">
      <c r="A1682" t="s">
        <v>2425</v>
      </c>
      <c r="B1682" s="3">
        <v>483527.5</v>
      </c>
      <c r="C1682" s="3">
        <v>245000</v>
      </c>
      <c r="D1682" s="72">
        <v>43519</v>
      </c>
      <c r="E1682" s="3" t="s">
        <v>846</v>
      </c>
    </row>
    <row r="1683" spans="1:7" x14ac:dyDescent="0.25">
      <c r="C1683" s="110">
        <v>13198.4</v>
      </c>
      <c r="D1683" s="72">
        <v>43512</v>
      </c>
      <c r="E1683" s="3" t="s">
        <v>842</v>
      </c>
    </row>
    <row r="1684" spans="1:7" x14ac:dyDescent="0.25">
      <c r="C1684" s="101">
        <v>11811.6</v>
      </c>
      <c r="D1684" s="72">
        <v>43518</v>
      </c>
      <c r="E1684" s="3" t="s">
        <v>842</v>
      </c>
    </row>
    <row r="1685" spans="1:7" x14ac:dyDescent="0.25">
      <c r="C1685" s="155">
        <v>140480</v>
      </c>
      <c r="D1685" s="72">
        <v>43515</v>
      </c>
      <c r="E1685" s="3" t="s">
        <v>842</v>
      </c>
    </row>
    <row r="1686" spans="1:7" x14ac:dyDescent="0.25">
      <c r="C1686" s="96">
        <v>51762</v>
      </c>
      <c r="D1686" s="72">
        <v>43515</v>
      </c>
      <c r="E1686" s="3" t="s">
        <v>842</v>
      </c>
    </row>
    <row r="1687" spans="1:7" x14ac:dyDescent="0.25">
      <c r="C1687" s="3">
        <v>6486</v>
      </c>
      <c r="D1687" s="72">
        <v>43508</v>
      </c>
      <c r="E1687" s="3" t="s">
        <v>959</v>
      </c>
    </row>
    <row r="1688" spans="1:7" x14ac:dyDescent="0.25">
      <c r="C1688" s="3">
        <v>13464</v>
      </c>
      <c r="D1688" s="72">
        <v>43511</v>
      </c>
      <c r="E1688" s="3" t="s">
        <v>2426</v>
      </c>
    </row>
    <row r="1689" spans="1:7" x14ac:dyDescent="0.25">
      <c r="C1689" s="3">
        <v>1325</v>
      </c>
      <c r="D1689" s="72">
        <v>43519</v>
      </c>
      <c r="E1689" s="3" t="s">
        <v>849</v>
      </c>
    </row>
    <row r="1690" spans="1:7" x14ac:dyDescent="0.25">
      <c r="B1690" s="3">
        <f>SUM(B1682:B1689)</f>
        <v>483527.5</v>
      </c>
      <c r="C1690" s="3">
        <f>SUM(C1682:C1689)</f>
        <v>483527</v>
      </c>
      <c r="E1690" s="3">
        <f>C1690-B1690</f>
        <v>-0.5</v>
      </c>
      <c r="F1690" s="72">
        <v>43519</v>
      </c>
      <c r="G1690" s="72">
        <v>43521</v>
      </c>
    </row>
    <row r="1692" spans="1:7" x14ac:dyDescent="0.25">
      <c r="A1692" t="s">
        <v>2460</v>
      </c>
      <c r="B1692" s="3">
        <v>441056</v>
      </c>
      <c r="C1692" s="3">
        <v>560000</v>
      </c>
      <c r="D1692" s="72">
        <v>43521</v>
      </c>
      <c r="E1692" s="3" t="s">
        <v>846</v>
      </c>
    </row>
    <row r="1693" spans="1:7" x14ac:dyDescent="0.25">
      <c r="B1693" s="3">
        <f>SUM(B1692)</f>
        <v>441056</v>
      </c>
      <c r="C1693" s="3">
        <f>SUM(C1692)</f>
        <v>560000</v>
      </c>
      <c r="E1693" s="92">
        <f>C1693-B1693</f>
        <v>118944</v>
      </c>
      <c r="F1693" s="72">
        <v>43521</v>
      </c>
      <c r="G1693" s="72">
        <v>39869</v>
      </c>
    </row>
    <row r="1695" spans="1:7" x14ac:dyDescent="0.25">
      <c r="A1695" t="s">
        <v>2490</v>
      </c>
      <c r="B1695" s="3">
        <v>215759</v>
      </c>
      <c r="C1695" s="3">
        <v>122000</v>
      </c>
      <c r="D1695" s="72">
        <v>43524</v>
      </c>
      <c r="E1695" s="3" t="s">
        <v>846</v>
      </c>
    </row>
    <row r="1696" spans="1:7" x14ac:dyDescent="0.25">
      <c r="A1696" t="s">
        <v>2491</v>
      </c>
      <c r="B1696" s="3">
        <v>233416</v>
      </c>
      <c r="C1696" s="3">
        <v>600000</v>
      </c>
      <c r="D1696" s="72">
        <v>43524</v>
      </c>
      <c r="E1696" s="3" t="s">
        <v>846</v>
      </c>
    </row>
    <row r="1697" spans="1:7" x14ac:dyDescent="0.25">
      <c r="A1697" t="s">
        <v>2492</v>
      </c>
      <c r="B1697" s="3">
        <v>243043</v>
      </c>
    </row>
    <row r="1698" spans="1:7" x14ac:dyDescent="0.25">
      <c r="B1698" s="3">
        <f>SUM(B1695:B1697)</f>
        <v>692218</v>
      </c>
      <c r="C1698" s="3">
        <f>SUM(C1695:C1697)</f>
        <v>722000</v>
      </c>
      <c r="E1698" s="75">
        <f>C1698-B1698</f>
        <v>29782</v>
      </c>
      <c r="F1698" s="72">
        <v>43525</v>
      </c>
      <c r="G1698" s="72">
        <v>43525</v>
      </c>
    </row>
    <row r="1700" spans="1:7" x14ac:dyDescent="0.25">
      <c r="A1700" t="s">
        <v>2528</v>
      </c>
      <c r="B1700" s="3">
        <v>424697</v>
      </c>
      <c r="C1700" s="3">
        <v>380981</v>
      </c>
      <c r="D1700" s="72">
        <v>43526</v>
      </c>
      <c r="E1700" s="3" t="s">
        <v>846</v>
      </c>
    </row>
    <row r="1701" spans="1:7" x14ac:dyDescent="0.25">
      <c r="A1701" t="s">
        <v>2529</v>
      </c>
      <c r="B1701" s="3">
        <v>427086</v>
      </c>
      <c r="C1701" s="3">
        <v>320019</v>
      </c>
      <c r="D1701" s="72">
        <v>43526</v>
      </c>
      <c r="E1701" s="3" t="s">
        <v>846</v>
      </c>
    </row>
    <row r="1702" spans="1:7" x14ac:dyDescent="0.25">
      <c r="C1702" s="3">
        <v>3013</v>
      </c>
      <c r="D1702" s="72">
        <v>39870</v>
      </c>
      <c r="E1702" s="3" t="s">
        <v>2530</v>
      </c>
    </row>
    <row r="1703" spans="1:7" x14ac:dyDescent="0.25">
      <c r="C1703" s="92">
        <v>118944</v>
      </c>
      <c r="D1703" s="72">
        <v>43521</v>
      </c>
      <c r="E1703" s="3" t="s">
        <v>842</v>
      </c>
    </row>
    <row r="1704" spans="1:7" x14ac:dyDescent="0.25">
      <c r="C1704" s="3">
        <v>68723</v>
      </c>
      <c r="D1704" s="72">
        <v>43521</v>
      </c>
      <c r="E1704" s="3" t="s">
        <v>2531</v>
      </c>
    </row>
    <row r="1705" spans="1:7" x14ac:dyDescent="0.25">
      <c r="C1705" s="3">
        <v>9663</v>
      </c>
      <c r="D1705" s="72">
        <v>43520</v>
      </c>
      <c r="E1705" s="3" t="s">
        <v>2532</v>
      </c>
    </row>
    <row r="1706" spans="1:7" x14ac:dyDescent="0.25">
      <c r="C1706" s="3">
        <v>2385</v>
      </c>
      <c r="D1706" s="72">
        <v>43521</v>
      </c>
      <c r="E1706" s="3" t="s">
        <v>2533</v>
      </c>
    </row>
    <row r="1707" spans="1:7" x14ac:dyDescent="0.25">
      <c r="C1707" s="75">
        <v>29782</v>
      </c>
      <c r="D1707" s="72">
        <v>43525</v>
      </c>
      <c r="E1707" s="3" t="s">
        <v>842</v>
      </c>
    </row>
    <row r="1708" spans="1:7" x14ac:dyDescent="0.25">
      <c r="B1708" s="3">
        <f>SUM(B1700:B1707)</f>
        <v>851783</v>
      </c>
      <c r="C1708" s="3">
        <f>SUM(C1700:C1707)</f>
        <v>933510</v>
      </c>
      <c r="E1708" s="51">
        <f>C1708-B1708</f>
        <v>81727</v>
      </c>
      <c r="F1708" s="72">
        <v>43526</v>
      </c>
      <c r="G1708" s="72">
        <v>43526</v>
      </c>
    </row>
    <row r="1710" spans="1:7" x14ac:dyDescent="0.25">
      <c r="A1710" t="s">
        <v>2554</v>
      </c>
      <c r="B1710" s="3">
        <v>420926</v>
      </c>
      <c r="C1710" s="3">
        <v>551000</v>
      </c>
      <c r="D1710" s="72">
        <v>43528</v>
      </c>
      <c r="E1710" s="3" t="s">
        <v>846</v>
      </c>
    </row>
    <row r="1711" spans="1:7" x14ac:dyDescent="0.25">
      <c r="A1711" t="s">
        <v>2555</v>
      </c>
      <c r="B1711" s="3">
        <v>210439.5</v>
      </c>
      <c r="C1711" s="51">
        <v>81727</v>
      </c>
      <c r="D1711" s="72">
        <v>43526</v>
      </c>
      <c r="E1711" s="3" t="s">
        <v>842</v>
      </c>
    </row>
    <row r="1712" spans="1:7" x14ac:dyDescent="0.25">
      <c r="B1712" s="3">
        <f>SUM(B1710:B1711)</f>
        <v>631365.5</v>
      </c>
      <c r="C1712" s="3">
        <f>SUM(C1710:C1711)</f>
        <v>632727</v>
      </c>
      <c r="E1712" s="83">
        <f>C1712-B1712</f>
        <v>1361.5</v>
      </c>
      <c r="F1712" s="72">
        <v>43528</v>
      </c>
      <c r="G1712" s="72">
        <v>43529</v>
      </c>
    </row>
    <row r="1714" spans="1:7" x14ac:dyDescent="0.25">
      <c r="A1714" t="s">
        <v>2599</v>
      </c>
      <c r="B1714" s="3">
        <v>247736</v>
      </c>
      <c r="C1714" s="3">
        <v>234000</v>
      </c>
      <c r="D1714" s="72">
        <v>43530</v>
      </c>
      <c r="E1714" s="3" t="s">
        <v>846</v>
      </c>
    </row>
    <row r="1715" spans="1:7" x14ac:dyDescent="0.25">
      <c r="A1715" t="s">
        <v>2600</v>
      </c>
      <c r="B1715" s="3">
        <v>13730.2</v>
      </c>
      <c r="C1715" s="3">
        <v>2094</v>
      </c>
      <c r="D1715" s="72">
        <v>43529</v>
      </c>
      <c r="E1715" s="3" t="s">
        <v>2601</v>
      </c>
    </row>
    <row r="1716" spans="1:7" x14ac:dyDescent="0.25">
      <c r="C1716" s="3">
        <v>9596</v>
      </c>
      <c r="D1716" s="72">
        <v>43529</v>
      </c>
      <c r="E1716" s="3" t="s">
        <v>2602</v>
      </c>
    </row>
    <row r="1717" spans="1:7" x14ac:dyDescent="0.25">
      <c r="C1717" s="83">
        <v>1361.5</v>
      </c>
      <c r="D1717" s="72">
        <v>43528</v>
      </c>
      <c r="E1717" s="3" t="s">
        <v>842</v>
      </c>
    </row>
    <row r="1718" spans="1:7" x14ac:dyDescent="0.25">
      <c r="C1718" s="3">
        <v>14415</v>
      </c>
    </row>
    <row r="1719" spans="1:7" x14ac:dyDescent="0.25">
      <c r="B1719" s="3">
        <f>SUM(B1714:B1718)</f>
        <v>261466.2</v>
      </c>
      <c r="C1719" s="3">
        <f>SUM(C1714:C1718)</f>
        <v>261466.5</v>
      </c>
      <c r="E1719" s="3">
        <f>C1719-B1719</f>
        <v>0.29999999998835847</v>
      </c>
      <c r="F1719" s="72">
        <v>43530</v>
      </c>
      <c r="G1719" s="72">
        <v>43531</v>
      </c>
    </row>
    <row r="1721" spans="1:7" x14ac:dyDescent="0.25">
      <c r="A1721" t="s">
        <v>2629</v>
      </c>
      <c r="B1721" s="3">
        <v>214560</v>
      </c>
      <c r="C1721" s="3">
        <v>521000</v>
      </c>
      <c r="D1721" s="72">
        <v>43532</v>
      </c>
      <c r="E1721" s="3" t="s">
        <v>846</v>
      </c>
    </row>
    <row r="1722" spans="1:7" x14ac:dyDescent="0.25">
      <c r="A1722" t="s">
        <v>2630</v>
      </c>
      <c r="B1722" s="3">
        <v>231762</v>
      </c>
    </row>
    <row r="1723" spans="1:7" x14ac:dyDescent="0.25">
      <c r="B1723" s="3">
        <f>SUM(B1721:B1722)</f>
        <v>446322</v>
      </c>
      <c r="C1723" s="3">
        <f>SUM(C1721:C1722)</f>
        <v>521000</v>
      </c>
      <c r="E1723" s="86">
        <f>C1723-B1723</f>
        <v>74678</v>
      </c>
      <c r="F1723" s="72">
        <v>43532</v>
      </c>
      <c r="G1723" s="72">
        <v>43535</v>
      </c>
    </row>
    <row r="1725" spans="1:7" x14ac:dyDescent="0.25">
      <c r="A1725" t="s">
        <v>2677</v>
      </c>
      <c r="B1725" s="3">
        <v>455322</v>
      </c>
      <c r="C1725" s="3">
        <v>400000</v>
      </c>
      <c r="D1725" s="72">
        <v>43535</v>
      </c>
      <c r="E1725" s="3" t="s">
        <v>846</v>
      </c>
    </row>
    <row r="1726" spans="1:7" x14ac:dyDescent="0.25">
      <c r="A1726" t="s">
        <v>2678</v>
      </c>
      <c r="B1726" s="3">
        <v>235800</v>
      </c>
      <c r="C1726" s="3">
        <v>369000</v>
      </c>
      <c r="D1726" s="72">
        <v>43535</v>
      </c>
      <c r="E1726" s="3" t="s">
        <v>846</v>
      </c>
    </row>
    <row r="1727" spans="1:7" x14ac:dyDescent="0.25">
      <c r="A1727" t="s">
        <v>2679</v>
      </c>
      <c r="B1727" s="3">
        <v>17899.2</v>
      </c>
    </row>
    <row r="1728" spans="1:7" x14ac:dyDescent="0.25">
      <c r="B1728" s="3">
        <f>SUM(B1725:B1727)</f>
        <v>709021.2</v>
      </c>
      <c r="C1728" s="3">
        <f>SUM(C1725:C1727)</f>
        <v>769000</v>
      </c>
      <c r="E1728" s="63">
        <f>C1728-B1728</f>
        <v>59978.800000000047</v>
      </c>
      <c r="F1728" s="72">
        <v>43535</v>
      </c>
      <c r="G1728" s="72">
        <v>43535</v>
      </c>
    </row>
    <row r="1730" spans="1:7" x14ac:dyDescent="0.25">
      <c r="A1730" t="s">
        <v>2694</v>
      </c>
      <c r="B1730" s="3">
        <v>253467.5</v>
      </c>
      <c r="C1730" s="63">
        <v>59978.8</v>
      </c>
      <c r="D1730" s="72">
        <v>43535</v>
      </c>
      <c r="E1730" s="3" t="s">
        <v>842</v>
      </c>
    </row>
    <row r="1731" spans="1:7" x14ac:dyDescent="0.25">
      <c r="C1731" s="86">
        <v>74678</v>
      </c>
      <c r="D1731" s="72">
        <v>43532</v>
      </c>
      <c r="E1731" s="3" t="s">
        <v>842</v>
      </c>
    </row>
    <row r="1732" spans="1:7" x14ac:dyDescent="0.25">
      <c r="C1732" s="3">
        <v>7704</v>
      </c>
      <c r="D1732" s="72">
        <v>43530</v>
      </c>
      <c r="E1732" s="3" t="s">
        <v>2695</v>
      </c>
    </row>
    <row r="1733" spans="1:7" x14ac:dyDescent="0.25">
      <c r="C1733" s="3">
        <v>30219</v>
      </c>
      <c r="D1733" s="72">
        <v>43535</v>
      </c>
      <c r="E1733" s="3" t="s">
        <v>2696</v>
      </c>
    </row>
    <row r="1734" spans="1:7" x14ac:dyDescent="0.25">
      <c r="C1734" s="3">
        <v>65029</v>
      </c>
      <c r="D1734" s="72">
        <v>43535</v>
      </c>
      <c r="E1734" s="3" t="s">
        <v>2697</v>
      </c>
    </row>
    <row r="1735" spans="1:7" x14ac:dyDescent="0.25">
      <c r="C1735" s="3">
        <v>56778</v>
      </c>
      <c r="D1735" s="72">
        <v>43536</v>
      </c>
      <c r="E1735" s="3" t="s">
        <v>2698</v>
      </c>
    </row>
    <row r="1736" spans="1:7" x14ac:dyDescent="0.25">
      <c r="B1736" s="3">
        <f>SUM(B1730:B1735)</f>
        <v>253467.5</v>
      </c>
      <c r="C1736" s="3">
        <f>SUM(C1730:C1735)</f>
        <v>294386.8</v>
      </c>
      <c r="E1736" s="94">
        <f>C1736-B1736</f>
        <v>40919.299999999988</v>
      </c>
      <c r="F1736" s="72">
        <v>43536</v>
      </c>
      <c r="G1736" s="72">
        <v>43536</v>
      </c>
    </row>
    <row r="1737" spans="1:7" x14ac:dyDescent="0.25">
      <c r="D1737" s="62"/>
    </row>
    <row r="1738" spans="1:7" x14ac:dyDescent="0.25">
      <c r="A1738" t="s">
        <v>2704</v>
      </c>
      <c r="B1738" s="3">
        <v>221250</v>
      </c>
      <c r="C1738" s="3">
        <v>321000</v>
      </c>
      <c r="D1738" s="72">
        <v>43536</v>
      </c>
      <c r="E1738" s="3" t="s">
        <v>846</v>
      </c>
    </row>
    <row r="1739" spans="1:7" x14ac:dyDescent="0.25">
      <c r="A1739" t="s">
        <v>2705</v>
      </c>
      <c r="B1739" s="3">
        <v>403237</v>
      </c>
      <c r="C1739" s="3">
        <v>285000</v>
      </c>
      <c r="D1739" s="72">
        <v>43537</v>
      </c>
      <c r="E1739" s="3" t="s">
        <v>846</v>
      </c>
    </row>
    <row r="1740" spans="1:7" x14ac:dyDescent="0.25">
      <c r="C1740" s="94">
        <v>40919.300000000003</v>
      </c>
      <c r="D1740" s="72">
        <v>43536</v>
      </c>
      <c r="E1740" s="3" t="s">
        <v>842</v>
      </c>
    </row>
    <row r="1741" spans="1:7" x14ac:dyDescent="0.25">
      <c r="B1741" s="3">
        <f>SUM(B1738:B1740)</f>
        <v>624487</v>
      </c>
      <c r="C1741" s="3">
        <f>SUM(C1738:C1740)</f>
        <v>646919.30000000005</v>
      </c>
      <c r="E1741" s="50">
        <f>C1741-B1741</f>
        <v>22432.300000000047</v>
      </c>
      <c r="F1741" s="72">
        <v>43537</v>
      </c>
      <c r="G1741" s="72">
        <v>43538</v>
      </c>
    </row>
    <row r="1743" spans="1:7" x14ac:dyDescent="0.25">
      <c r="A1743" t="s">
        <v>2717</v>
      </c>
      <c r="B1743" s="3">
        <v>254172</v>
      </c>
      <c r="C1743" s="3">
        <v>290000</v>
      </c>
      <c r="D1743" s="72">
        <v>43538</v>
      </c>
      <c r="E1743" s="3" t="s">
        <v>963</v>
      </c>
    </row>
    <row r="1744" spans="1:7" x14ac:dyDescent="0.25">
      <c r="A1744" t="s">
        <v>2718</v>
      </c>
      <c r="B1744" s="3">
        <v>68114.16</v>
      </c>
      <c r="C1744" s="3">
        <v>3000</v>
      </c>
      <c r="D1744" s="72">
        <v>43537</v>
      </c>
      <c r="E1744" s="3" t="s">
        <v>2719</v>
      </c>
    </row>
    <row r="1745" spans="1:7" x14ac:dyDescent="0.25">
      <c r="C1745" s="50">
        <v>22432.3</v>
      </c>
      <c r="D1745" s="72">
        <v>43537</v>
      </c>
      <c r="E1745" s="3" t="s">
        <v>842</v>
      </c>
    </row>
    <row r="1746" spans="1:7" x14ac:dyDescent="0.25">
      <c r="C1746" s="3">
        <v>6854</v>
      </c>
      <c r="D1746" s="72">
        <v>43539</v>
      </c>
    </row>
    <row r="1747" spans="1:7" x14ac:dyDescent="0.25">
      <c r="B1747" s="3">
        <f>SUM(B1743:B1745)</f>
        <v>322286.16000000003</v>
      </c>
      <c r="C1747" s="3">
        <f>SUM(C1743:C1746)</f>
        <v>322286.3</v>
      </c>
      <c r="E1747" s="3">
        <f>C1747-B1747</f>
        <v>0.13999999995576218</v>
      </c>
      <c r="F1747" s="72">
        <v>43539</v>
      </c>
      <c r="G1747" s="72">
        <v>43540</v>
      </c>
    </row>
    <row r="1749" spans="1:7" x14ac:dyDescent="0.25">
      <c r="A1749" t="s">
        <v>2748</v>
      </c>
      <c r="B1749" s="3">
        <v>417480</v>
      </c>
      <c r="C1749" s="3">
        <v>581000</v>
      </c>
      <c r="D1749" s="72">
        <v>43540</v>
      </c>
      <c r="E1749" s="3" t="s">
        <v>846</v>
      </c>
    </row>
    <row r="1750" spans="1:7" x14ac:dyDescent="0.25">
      <c r="B1750" s="3">
        <f>SUM(B1749)</f>
        <v>417480</v>
      </c>
      <c r="C1750" s="3">
        <f>SUM(C1749)</f>
        <v>581000</v>
      </c>
      <c r="E1750" s="167">
        <f>C1750-B1750</f>
        <v>163520</v>
      </c>
      <c r="F1750" s="72">
        <v>43543</v>
      </c>
      <c r="G1750" s="72">
        <v>43543</v>
      </c>
    </row>
    <row r="1752" spans="1:7" x14ac:dyDescent="0.25">
      <c r="A1752" t="s">
        <v>2809</v>
      </c>
      <c r="B1752" s="3">
        <v>60450.9</v>
      </c>
      <c r="C1752" s="3">
        <v>362000</v>
      </c>
      <c r="D1752" s="72">
        <v>43545</v>
      </c>
      <c r="E1752" s="3" t="s">
        <v>846</v>
      </c>
    </row>
    <row r="1753" spans="1:7" x14ac:dyDescent="0.25">
      <c r="A1753" t="s">
        <v>2810</v>
      </c>
      <c r="B1753" s="3">
        <v>252048</v>
      </c>
      <c r="C1753" s="3">
        <v>300781</v>
      </c>
      <c r="D1753" s="72">
        <v>43545</v>
      </c>
      <c r="E1753" s="3" t="s">
        <v>846</v>
      </c>
    </row>
    <row r="1754" spans="1:7" x14ac:dyDescent="0.25">
      <c r="A1754" t="s">
        <v>2811</v>
      </c>
      <c r="B1754" s="3">
        <v>405055</v>
      </c>
      <c r="C1754" s="3">
        <v>326084</v>
      </c>
      <c r="D1754" s="72">
        <v>43545</v>
      </c>
      <c r="E1754" s="3" t="s">
        <v>846</v>
      </c>
    </row>
    <row r="1755" spans="1:7" x14ac:dyDescent="0.25">
      <c r="A1755" t="s">
        <v>2812</v>
      </c>
      <c r="B1755" s="3">
        <v>446748</v>
      </c>
      <c r="C1755" s="3">
        <v>333135</v>
      </c>
      <c r="D1755" s="72">
        <v>43545</v>
      </c>
      <c r="E1755" s="3" t="s">
        <v>846</v>
      </c>
    </row>
    <row r="1756" spans="1:7" x14ac:dyDescent="0.25">
      <c r="B1756" s="3">
        <f>SUM(B1752:B1755)</f>
        <v>1164301.8999999999</v>
      </c>
      <c r="C1756" s="3">
        <f>SUM(C1752:C1755)</f>
        <v>1322000</v>
      </c>
      <c r="E1756" s="96">
        <f>C1756-B1756</f>
        <v>157698.10000000009</v>
      </c>
      <c r="F1756" s="72">
        <v>43545</v>
      </c>
      <c r="G1756" s="72">
        <v>43546</v>
      </c>
    </row>
    <row r="1758" spans="1:7" x14ac:dyDescent="0.25">
      <c r="A1758" t="s">
        <v>2826</v>
      </c>
      <c r="B1758" s="3">
        <v>372208.5</v>
      </c>
      <c r="C1758" s="3">
        <v>235000</v>
      </c>
      <c r="D1758" s="72">
        <v>43546</v>
      </c>
      <c r="E1758" s="3" t="s">
        <v>846</v>
      </c>
    </row>
    <row r="1759" spans="1:7" x14ac:dyDescent="0.25">
      <c r="C1759" s="167">
        <v>163520</v>
      </c>
      <c r="D1759" s="72">
        <v>43543</v>
      </c>
      <c r="E1759" s="3" t="s">
        <v>842</v>
      </c>
    </row>
    <row r="1760" spans="1:7" x14ac:dyDescent="0.25">
      <c r="A1760" t="s">
        <v>2821</v>
      </c>
      <c r="B1760" s="3">
        <v>226560</v>
      </c>
      <c r="C1760" s="96">
        <v>157698</v>
      </c>
      <c r="D1760" s="72">
        <v>43545</v>
      </c>
      <c r="E1760" s="3" t="s">
        <v>842</v>
      </c>
    </row>
    <row r="1761" spans="1:7" x14ac:dyDescent="0.25">
      <c r="C1761" s="3">
        <v>834</v>
      </c>
      <c r="D1761" s="72">
        <v>43546</v>
      </c>
      <c r="E1761" s="3" t="s">
        <v>2822</v>
      </c>
    </row>
    <row r="1762" spans="1:7" x14ac:dyDescent="0.25">
      <c r="C1762" s="3">
        <v>8280</v>
      </c>
      <c r="D1762" s="72">
        <v>43546</v>
      </c>
      <c r="E1762" s="3" t="s">
        <v>2823</v>
      </c>
    </row>
    <row r="1763" spans="1:7" x14ac:dyDescent="0.25">
      <c r="C1763" s="3">
        <v>17512</v>
      </c>
      <c r="D1763" s="72">
        <v>43539</v>
      </c>
      <c r="E1763" s="3" t="s">
        <v>2824</v>
      </c>
    </row>
    <row r="1764" spans="1:7" x14ac:dyDescent="0.25">
      <c r="C1764" s="3">
        <v>23961</v>
      </c>
      <c r="D1764" s="72">
        <v>43543</v>
      </c>
      <c r="E1764" s="3" t="s">
        <v>2825</v>
      </c>
    </row>
    <row r="1765" spans="1:7" x14ac:dyDescent="0.25">
      <c r="B1765" s="3">
        <f>SUM(B1758:B1764)</f>
        <v>598768.5</v>
      </c>
      <c r="C1765" s="3">
        <f>SUM(C1758:C1764)</f>
        <v>606805</v>
      </c>
      <c r="D1765" s="72"/>
      <c r="E1765" s="75">
        <f>C1765-B1765</f>
        <v>8036.5</v>
      </c>
      <c r="F1765" s="72">
        <v>43546</v>
      </c>
      <c r="G1765" s="72">
        <v>43547</v>
      </c>
    </row>
    <row r="1766" spans="1:7" x14ac:dyDescent="0.25">
      <c r="D1766" s="72"/>
    </row>
    <row r="1767" spans="1:7" x14ac:dyDescent="0.25">
      <c r="A1767" t="s">
        <v>2847</v>
      </c>
      <c r="B1767" s="3">
        <v>223020</v>
      </c>
      <c r="C1767" s="3">
        <v>467000</v>
      </c>
      <c r="D1767" s="72">
        <v>43547</v>
      </c>
      <c r="E1767" s="3" t="s">
        <v>846</v>
      </c>
    </row>
    <row r="1768" spans="1:7" x14ac:dyDescent="0.25">
      <c r="A1768" t="s">
        <v>2848</v>
      </c>
      <c r="B1768" s="3">
        <v>230454</v>
      </c>
      <c r="D1768" s="72"/>
    </row>
    <row r="1769" spans="1:7" x14ac:dyDescent="0.25">
      <c r="B1769" s="3">
        <f>SUM(B1767:B1768)</f>
        <v>453474</v>
      </c>
      <c r="C1769" s="3">
        <f>SUM(C1767:C1768)</f>
        <v>467000</v>
      </c>
      <c r="D1769" s="72"/>
      <c r="E1769" s="111">
        <f>C1769-B1769</f>
        <v>13526</v>
      </c>
      <c r="F1769" s="72">
        <v>43547</v>
      </c>
      <c r="G1769" s="72">
        <v>43549</v>
      </c>
    </row>
    <row r="1770" spans="1:7" x14ac:dyDescent="0.25">
      <c r="F1770" s="72"/>
    </row>
    <row r="1771" spans="1:7" x14ac:dyDescent="0.25">
      <c r="A1771" t="s">
        <v>2853</v>
      </c>
      <c r="B1771" s="3">
        <v>479500</v>
      </c>
      <c r="C1771" s="3">
        <v>469000</v>
      </c>
      <c r="D1771" s="72">
        <v>43549</v>
      </c>
      <c r="E1771" s="3" t="s">
        <v>846</v>
      </c>
    </row>
    <row r="1772" spans="1:7" x14ac:dyDescent="0.25">
      <c r="C1772" s="111">
        <v>13526</v>
      </c>
      <c r="D1772" s="72">
        <v>43547</v>
      </c>
      <c r="E1772" s="3" t="s">
        <v>842</v>
      </c>
    </row>
    <row r="1773" spans="1:7" x14ac:dyDescent="0.25">
      <c r="B1773" s="3">
        <f>SUM(B1771)</f>
        <v>479500</v>
      </c>
      <c r="C1773" s="3">
        <f>SUM(C1771:C1772)</f>
        <v>482526</v>
      </c>
      <c r="E1773" s="189">
        <f>C1773-B1773</f>
        <v>3026</v>
      </c>
      <c r="F1773" s="72">
        <v>43529</v>
      </c>
      <c r="G1773" s="72">
        <v>43549</v>
      </c>
    </row>
    <row r="1775" spans="1:7" x14ac:dyDescent="0.25">
      <c r="A1775" t="s">
        <v>2946</v>
      </c>
      <c r="B1775" s="3">
        <v>232783</v>
      </c>
      <c r="C1775" s="3">
        <v>375000</v>
      </c>
      <c r="D1775" s="72">
        <v>43550</v>
      </c>
      <c r="E1775" s="3" t="s">
        <v>846</v>
      </c>
    </row>
    <row r="1776" spans="1:7" x14ac:dyDescent="0.25">
      <c r="B1776" s="3">
        <f>SUM(B1775)</f>
        <v>232783</v>
      </c>
      <c r="C1776" s="3">
        <f>SUM(C1775)</f>
        <v>375000</v>
      </c>
      <c r="E1776" s="95">
        <f>C1776-B1776</f>
        <v>142217</v>
      </c>
      <c r="F1776" s="72">
        <v>43551</v>
      </c>
      <c r="G1776" s="72">
        <v>43552</v>
      </c>
    </row>
    <row r="1778" spans="1:7" x14ac:dyDescent="0.25">
      <c r="A1778" t="s">
        <v>2948</v>
      </c>
      <c r="B1778" s="3">
        <v>213500</v>
      </c>
      <c r="C1778" s="3">
        <v>268000</v>
      </c>
      <c r="D1778" s="72">
        <v>43551</v>
      </c>
      <c r="E1778" s="3" t="s">
        <v>846</v>
      </c>
    </row>
    <row r="1779" spans="1:7" x14ac:dyDescent="0.25">
      <c r="B1779" s="3">
        <f>SUM(B1778)</f>
        <v>213500</v>
      </c>
      <c r="C1779" s="3">
        <f>SUM(C1778)</f>
        <v>268000</v>
      </c>
      <c r="E1779" s="83">
        <f>C1779-B1779</f>
        <v>54500</v>
      </c>
      <c r="F1779" s="72">
        <v>43551</v>
      </c>
      <c r="G1779" s="72">
        <v>43552</v>
      </c>
    </row>
    <row r="1781" spans="1:7" x14ac:dyDescent="0.25">
      <c r="A1781" t="s">
        <v>2952</v>
      </c>
      <c r="B1781" s="3">
        <v>414400</v>
      </c>
      <c r="C1781" s="3">
        <v>344000</v>
      </c>
      <c r="D1781" s="72">
        <v>43552</v>
      </c>
      <c r="E1781" s="3" t="s">
        <v>846</v>
      </c>
    </row>
    <row r="1782" spans="1:7" x14ac:dyDescent="0.25">
      <c r="C1782" s="83">
        <v>54500</v>
      </c>
      <c r="D1782" s="72">
        <v>43551</v>
      </c>
      <c r="E1782" s="3" t="s">
        <v>842</v>
      </c>
    </row>
    <row r="1783" spans="1:7" x14ac:dyDescent="0.25">
      <c r="C1783" s="189">
        <v>3026</v>
      </c>
      <c r="D1783" s="72">
        <v>43549</v>
      </c>
      <c r="E1783" s="3" t="s">
        <v>842</v>
      </c>
    </row>
    <row r="1784" spans="1:7" x14ac:dyDescent="0.25">
      <c r="C1784" s="75">
        <v>8036.5</v>
      </c>
      <c r="D1784" s="72">
        <v>43546</v>
      </c>
      <c r="E1784" s="3" t="s">
        <v>842</v>
      </c>
    </row>
    <row r="1785" spans="1:7" x14ac:dyDescent="0.25">
      <c r="C1785" s="3">
        <v>2400</v>
      </c>
      <c r="D1785" s="72">
        <v>43548</v>
      </c>
      <c r="E1785" s="3" t="s">
        <v>2953</v>
      </c>
    </row>
    <row r="1786" spans="1:7" x14ac:dyDescent="0.25">
      <c r="C1786" s="3">
        <v>2400</v>
      </c>
      <c r="D1786" s="72">
        <v>43552</v>
      </c>
      <c r="E1786" s="3" t="s">
        <v>2954</v>
      </c>
    </row>
    <row r="1787" spans="1:7" x14ac:dyDescent="0.25">
      <c r="A1787" t="s">
        <v>2955</v>
      </c>
      <c r="B1787" s="3">
        <v>212800</v>
      </c>
      <c r="C1787" s="95">
        <v>142217</v>
      </c>
      <c r="D1787" s="72">
        <v>43551</v>
      </c>
      <c r="E1787" s="3" t="s">
        <v>842</v>
      </c>
    </row>
    <row r="1788" spans="1:7" x14ac:dyDescent="0.25">
      <c r="C1788" s="3">
        <v>21441</v>
      </c>
      <c r="D1788" s="72">
        <v>43551</v>
      </c>
      <c r="E1788" s="3" t="s">
        <v>2956</v>
      </c>
    </row>
    <row r="1789" spans="1:7" x14ac:dyDescent="0.25">
      <c r="C1789" s="3">
        <v>25347</v>
      </c>
      <c r="D1789" s="72">
        <v>43549</v>
      </c>
      <c r="E1789" s="3" t="s">
        <v>2957</v>
      </c>
    </row>
    <row r="1790" spans="1:7" x14ac:dyDescent="0.25">
      <c r="C1790" s="3">
        <v>17962</v>
      </c>
      <c r="D1790" s="72">
        <v>43551</v>
      </c>
      <c r="E1790" s="3" t="s">
        <v>2958</v>
      </c>
    </row>
    <row r="1791" spans="1:7" x14ac:dyDescent="0.25">
      <c r="C1791" s="3">
        <v>5870</v>
      </c>
      <c r="D1791" s="72">
        <v>43552</v>
      </c>
      <c r="E1791" s="3" t="s">
        <v>849</v>
      </c>
    </row>
    <row r="1792" spans="1:7" x14ac:dyDescent="0.25">
      <c r="B1792" s="3">
        <f>SUM(B1781:B1789)</f>
        <v>627200</v>
      </c>
      <c r="C1792" s="3">
        <f>SUM(C1781:C1791)</f>
        <v>627199.5</v>
      </c>
      <c r="E1792" s="3">
        <f>C1792-B1792</f>
        <v>-0.5</v>
      </c>
      <c r="F1792" s="72">
        <v>43552</v>
      </c>
      <c r="G1792" s="72">
        <v>43554</v>
      </c>
    </row>
    <row r="1793" spans="1:12" x14ac:dyDescent="0.25">
      <c r="L1793" s="62"/>
    </row>
    <row r="1794" spans="1:12" x14ac:dyDescent="0.25">
      <c r="A1794" t="s">
        <v>3001</v>
      </c>
      <c r="B1794" s="3">
        <v>369250</v>
      </c>
      <c r="C1794" s="3">
        <v>80000</v>
      </c>
      <c r="D1794" s="72">
        <v>43553</v>
      </c>
      <c r="E1794" s="3" t="s">
        <v>846</v>
      </c>
    </row>
    <row r="1795" spans="1:12" x14ac:dyDescent="0.25">
      <c r="C1795" s="3">
        <v>265000</v>
      </c>
      <c r="D1795" s="72">
        <v>43556</v>
      </c>
      <c r="E1795" s="3" t="s">
        <v>846</v>
      </c>
      <c r="H1795" s="191"/>
    </row>
    <row r="1796" spans="1:12" x14ac:dyDescent="0.25">
      <c r="C1796" s="3">
        <v>25695</v>
      </c>
      <c r="D1796" s="72">
        <v>43554</v>
      </c>
      <c r="E1796" s="3" t="s">
        <v>3002</v>
      </c>
      <c r="H1796" s="191"/>
    </row>
    <row r="1797" spans="1:12" x14ac:dyDescent="0.25">
      <c r="B1797" s="3">
        <f>SUM(B1794:B1796)</f>
        <v>369250</v>
      </c>
      <c r="C1797" s="3">
        <f>SUM(C1794:C1796)</f>
        <v>370695</v>
      </c>
      <c r="E1797" s="50">
        <f>C1797-B1797</f>
        <v>1445</v>
      </c>
      <c r="F1797" s="72">
        <v>43556</v>
      </c>
      <c r="G1797" s="72">
        <v>43556</v>
      </c>
      <c r="H1797" s="191"/>
    </row>
    <row r="1798" spans="1:12" x14ac:dyDescent="0.25">
      <c r="H1798" s="191"/>
    </row>
    <row r="1799" spans="1:12" x14ac:dyDescent="0.25">
      <c r="A1799" t="s">
        <v>3014</v>
      </c>
      <c r="B1799" s="3">
        <v>463123</v>
      </c>
      <c r="C1799" s="3">
        <v>503000</v>
      </c>
      <c r="D1799" s="72">
        <v>43556</v>
      </c>
      <c r="E1799" s="3" t="s">
        <v>846</v>
      </c>
      <c r="H1799" s="191"/>
    </row>
    <row r="1800" spans="1:12" x14ac:dyDescent="0.25">
      <c r="A1800" t="s">
        <v>3015</v>
      </c>
      <c r="B1800" s="3">
        <v>11510.4</v>
      </c>
      <c r="H1800" s="191"/>
    </row>
    <row r="1801" spans="1:12" x14ac:dyDescent="0.25">
      <c r="B1801" s="3">
        <f>SUM(B1799:B1800)</f>
        <v>474633.4</v>
      </c>
      <c r="C1801" s="3">
        <f>SUM(C1799:C1800)</f>
        <v>503000</v>
      </c>
      <c r="E1801" s="132">
        <f>C1801-B1801</f>
        <v>28366.599999999977</v>
      </c>
      <c r="F1801" s="72">
        <v>43556</v>
      </c>
      <c r="G1801" s="72">
        <v>43557</v>
      </c>
      <c r="H1801" s="191"/>
    </row>
    <row r="1802" spans="1:12" x14ac:dyDescent="0.25">
      <c r="H1802" s="191"/>
    </row>
    <row r="1803" spans="1:12" x14ac:dyDescent="0.25">
      <c r="A1803" t="s">
        <v>3051</v>
      </c>
      <c r="B1803" s="3">
        <v>232783</v>
      </c>
      <c r="C1803" s="3">
        <v>407000</v>
      </c>
      <c r="D1803" s="72">
        <v>43559</v>
      </c>
      <c r="E1803" s="3" t="s">
        <v>846</v>
      </c>
      <c r="H1803" s="191"/>
    </row>
    <row r="1804" spans="1:12" x14ac:dyDescent="0.25">
      <c r="A1804" t="s">
        <v>3052</v>
      </c>
      <c r="B1804" s="3">
        <v>414750</v>
      </c>
      <c r="C1804" s="3">
        <v>470000</v>
      </c>
      <c r="D1804" s="72">
        <v>43559</v>
      </c>
      <c r="E1804" s="3" t="s">
        <v>846</v>
      </c>
      <c r="H1804" s="191"/>
    </row>
    <row r="1805" spans="1:12" x14ac:dyDescent="0.25">
      <c r="A1805" t="s">
        <v>3053</v>
      </c>
      <c r="B1805" s="3">
        <v>225750</v>
      </c>
      <c r="H1805" s="191"/>
    </row>
    <row r="1806" spans="1:12" x14ac:dyDescent="0.25">
      <c r="B1806" s="3">
        <f>SUM(B1803:B1805)</f>
        <v>873283</v>
      </c>
      <c r="C1806" s="3">
        <f>SUM(C1803:C1805)</f>
        <v>877000</v>
      </c>
      <c r="E1806" s="96">
        <f>C1806-B1806</f>
        <v>3717</v>
      </c>
      <c r="F1806" s="72">
        <v>43559</v>
      </c>
      <c r="G1806" s="72">
        <v>43560</v>
      </c>
      <c r="H1806" s="191"/>
    </row>
    <row r="1807" spans="1:12" x14ac:dyDescent="0.25">
      <c r="H1807" s="191"/>
    </row>
    <row r="1808" spans="1:12" x14ac:dyDescent="0.25">
      <c r="A1808" t="s">
        <v>3065</v>
      </c>
      <c r="B1808" s="3">
        <v>389961</v>
      </c>
      <c r="C1808" s="3">
        <v>447000</v>
      </c>
      <c r="D1808" s="72">
        <v>43561</v>
      </c>
      <c r="H1808" s="191"/>
    </row>
    <row r="1809" spans="1:8" x14ac:dyDescent="0.25">
      <c r="B1809" s="3">
        <f>SUM(B1808)</f>
        <v>389961</v>
      </c>
      <c r="C1809" s="3">
        <f>SUM(C1808)</f>
        <v>447000</v>
      </c>
      <c r="E1809" s="83">
        <f>C1809-B1809</f>
        <v>57039</v>
      </c>
      <c r="F1809" s="72">
        <v>43561</v>
      </c>
      <c r="G1809" s="72">
        <v>43563</v>
      </c>
      <c r="H1809" s="191"/>
    </row>
    <row r="1810" spans="1:8" x14ac:dyDescent="0.25">
      <c r="H1810" s="191"/>
    </row>
    <row r="1811" spans="1:8" x14ac:dyDescent="0.25">
      <c r="A1811" t="s">
        <v>3098</v>
      </c>
      <c r="B1811" s="3">
        <v>429800</v>
      </c>
      <c r="C1811" s="3">
        <v>450000</v>
      </c>
      <c r="D1811" s="72">
        <v>43565</v>
      </c>
      <c r="E1811" s="3" t="s">
        <v>846</v>
      </c>
      <c r="H1811" s="191"/>
    </row>
    <row r="1812" spans="1:8" x14ac:dyDescent="0.25">
      <c r="A1812" t="s">
        <v>3099</v>
      </c>
      <c r="B1812" s="3">
        <v>426465</v>
      </c>
      <c r="C1812" s="3">
        <v>429000</v>
      </c>
      <c r="D1812" s="72">
        <v>43565</v>
      </c>
      <c r="E1812" s="3" t="s">
        <v>846</v>
      </c>
      <c r="H1812" s="191"/>
    </row>
    <row r="1813" spans="1:8" x14ac:dyDescent="0.25">
      <c r="B1813" s="3">
        <f>SUM(B1811:B1812)</f>
        <v>856265</v>
      </c>
      <c r="C1813" s="3">
        <f>SUM(C1811:C1812)</f>
        <v>879000</v>
      </c>
      <c r="E1813" s="94">
        <f>C1813-B1813</f>
        <v>22735</v>
      </c>
      <c r="F1813" s="72">
        <v>43565</v>
      </c>
      <c r="G1813" s="72">
        <v>43565</v>
      </c>
      <c r="H1813" s="191"/>
    </row>
    <row r="1814" spans="1:8" x14ac:dyDescent="0.25">
      <c r="H1814" s="191"/>
    </row>
    <row r="1815" spans="1:8" x14ac:dyDescent="0.25">
      <c r="A1815" t="s">
        <v>3100</v>
      </c>
      <c r="B1815" s="3">
        <v>239065</v>
      </c>
      <c r="C1815" s="83">
        <v>57039</v>
      </c>
      <c r="D1815" s="72">
        <v>43561</v>
      </c>
      <c r="E1815" s="3" t="s">
        <v>842</v>
      </c>
      <c r="H1815" s="191"/>
    </row>
    <row r="1816" spans="1:8" x14ac:dyDescent="0.25">
      <c r="C1816" s="132">
        <v>28366.6</v>
      </c>
      <c r="D1816" s="72">
        <v>43556</v>
      </c>
      <c r="E1816" s="3" t="s">
        <v>842</v>
      </c>
      <c r="H1816" s="191"/>
    </row>
    <row r="1817" spans="1:8" x14ac:dyDescent="0.25">
      <c r="C1817" s="50">
        <v>1445</v>
      </c>
      <c r="D1817" s="72">
        <v>43556</v>
      </c>
      <c r="E1817" s="3" t="s">
        <v>842</v>
      </c>
      <c r="H1817" s="191"/>
    </row>
    <row r="1818" spans="1:8" x14ac:dyDescent="0.25">
      <c r="C1818" s="96">
        <v>3717</v>
      </c>
      <c r="D1818" s="72">
        <v>43559</v>
      </c>
      <c r="E1818" s="3" t="s">
        <v>842</v>
      </c>
      <c r="H1818" s="191"/>
    </row>
    <row r="1819" spans="1:8" x14ac:dyDescent="0.25">
      <c r="C1819" s="3">
        <v>24000</v>
      </c>
      <c r="D1819" s="72">
        <v>43559</v>
      </c>
      <c r="E1819" s="3" t="s">
        <v>3101</v>
      </c>
      <c r="H1819" s="191"/>
    </row>
    <row r="1820" spans="1:8" x14ac:dyDescent="0.25">
      <c r="C1820" s="3">
        <v>8160</v>
      </c>
      <c r="D1820" s="72">
        <v>43560</v>
      </c>
      <c r="E1820" s="3" t="s">
        <v>3102</v>
      </c>
      <c r="H1820" s="191"/>
    </row>
    <row r="1821" spans="1:8" x14ac:dyDescent="0.25">
      <c r="C1821" s="3">
        <v>14558</v>
      </c>
      <c r="D1821" s="72">
        <v>43560</v>
      </c>
      <c r="E1821" s="3" t="s">
        <v>3103</v>
      </c>
      <c r="H1821" s="191"/>
    </row>
    <row r="1822" spans="1:8" x14ac:dyDescent="0.25">
      <c r="C1822" s="3">
        <v>20428</v>
      </c>
      <c r="D1822" s="72">
        <v>43557</v>
      </c>
      <c r="E1822" s="3" t="s">
        <v>3104</v>
      </c>
      <c r="H1822" s="191"/>
    </row>
    <row r="1823" spans="1:8" x14ac:dyDescent="0.25">
      <c r="C1823" s="3">
        <v>1600</v>
      </c>
      <c r="D1823" s="72">
        <v>43557</v>
      </c>
      <c r="E1823" s="3" t="s">
        <v>3105</v>
      </c>
      <c r="H1823" s="191"/>
    </row>
    <row r="1824" spans="1:8" x14ac:dyDescent="0.25">
      <c r="C1824" s="3">
        <v>8094</v>
      </c>
      <c r="D1824" s="72">
        <v>43556</v>
      </c>
      <c r="E1824" s="3" t="s">
        <v>3106</v>
      </c>
      <c r="H1824" s="191"/>
    </row>
    <row r="1825" spans="1:8" x14ac:dyDescent="0.25">
      <c r="C1825" s="51">
        <v>13361.1</v>
      </c>
      <c r="D1825" s="72">
        <v>43276</v>
      </c>
      <c r="E1825" s="3" t="s">
        <v>842</v>
      </c>
      <c r="H1825" s="191"/>
    </row>
    <row r="1826" spans="1:8" x14ac:dyDescent="0.25">
      <c r="C1826" s="51">
        <v>21404.400000000001</v>
      </c>
      <c r="D1826" s="72">
        <v>43278</v>
      </c>
      <c r="E1826" s="3" t="s">
        <v>842</v>
      </c>
      <c r="H1826" s="191"/>
    </row>
    <row r="1827" spans="1:8" x14ac:dyDescent="0.25">
      <c r="C1827" s="3">
        <v>36892</v>
      </c>
      <c r="D1827" s="72">
        <v>43565</v>
      </c>
      <c r="E1827" s="3" t="s">
        <v>849</v>
      </c>
      <c r="H1827" s="191"/>
    </row>
    <row r="1828" spans="1:8" x14ac:dyDescent="0.25">
      <c r="B1828" s="3">
        <f>SUM(B1815:B1827)</f>
        <v>239065</v>
      </c>
      <c r="C1828" s="3">
        <f>SUM(C1815:C1827)</f>
        <v>239065.1</v>
      </c>
      <c r="E1828" s="3">
        <f>C1828-B1828</f>
        <v>0.10000000000582077</v>
      </c>
      <c r="F1828" s="72">
        <v>43565</v>
      </c>
      <c r="G1828" s="72">
        <v>43565</v>
      </c>
      <c r="H1828" s="191"/>
    </row>
    <row r="1829" spans="1:8" x14ac:dyDescent="0.25">
      <c r="H1829" s="191"/>
    </row>
    <row r="1830" spans="1:8" x14ac:dyDescent="0.25">
      <c r="A1830" t="s">
        <v>3125</v>
      </c>
      <c r="B1830" s="3">
        <v>216650</v>
      </c>
      <c r="C1830" s="3">
        <v>600000</v>
      </c>
      <c r="D1830" s="72">
        <v>43567</v>
      </c>
      <c r="E1830" s="3" t="s">
        <v>846</v>
      </c>
      <c r="H1830" s="191"/>
    </row>
    <row r="1831" spans="1:8" x14ac:dyDescent="0.25">
      <c r="A1831" t="s">
        <v>3126</v>
      </c>
      <c r="B1831" s="3">
        <v>229950</v>
      </c>
      <c r="C1831" s="3">
        <v>62000</v>
      </c>
      <c r="D1831" s="72">
        <v>43567</v>
      </c>
      <c r="E1831" s="3" t="s">
        <v>846</v>
      </c>
      <c r="H1831" s="191"/>
    </row>
    <row r="1832" spans="1:8" x14ac:dyDescent="0.25">
      <c r="A1832" t="s">
        <v>3127</v>
      </c>
      <c r="B1832" s="3">
        <v>206850</v>
      </c>
      <c r="H1832" s="191"/>
    </row>
    <row r="1833" spans="1:8" x14ac:dyDescent="0.25">
      <c r="B1833" s="3">
        <f>SUM(B1830:B1832)</f>
        <v>653450</v>
      </c>
      <c r="C1833" s="3">
        <f>SUM(C1830:C1831)</f>
        <v>662000</v>
      </c>
      <c r="E1833" s="189">
        <f>C1833-B1833</f>
        <v>8550</v>
      </c>
      <c r="F1833" s="72">
        <v>43567</v>
      </c>
      <c r="G1833" s="72">
        <v>43570</v>
      </c>
      <c r="H1833" s="191"/>
    </row>
    <row r="1834" spans="1:8" x14ac:dyDescent="0.25">
      <c r="H1834" s="191"/>
    </row>
    <row r="1835" spans="1:8" x14ac:dyDescent="0.25">
      <c r="A1835" t="s">
        <v>3166</v>
      </c>
      <c r="B1835" s="3">
        <v>422800</v>
      </c>
      <c r="C1835" s="3">
        <v>309000</v>
      </c>
      <c r="D1835" s="72">
        <v>43571</v>
      </c>
      <c r="H1835" s="191"/>
    </row>
    <row r="1836" spans="1:8" x14ac:dyDescent="0.25">
      <c r="A1836" t="s">
        <v>3167</v>
      </c>
      <c r="B1836" s="3">
        <v>452790</v>
      </c>
      <c r="C1836" s="3">
        <v>307000</v>
      </c>
      <c r="D1836" s="72">
        <v>43571</v>
      </c>
      <c r="H1836" s="191"/>
    </row>
    <row r="1837" spans="1:8" x14ac:dyDescent="0.25">
      <c r="A1837" t="s">
        <v>3168</v>
      </c>
      <c r="B1837" s="3">
        <v>224289</v>
      </c>
      <c r="C1837" s="3">
        <v>363000</v>
      </c>
      <c r="D1837" s="72">
        <v>43571</v>
      </c>
      <c r="H1837" s="191"/>
    </row>
    <row r="1838" spans="1:8" x14ac:dyDescent="0.25">
      <c r="C1838" s="3">
        <v>136000</v>
      </c>
      <c r="D1838" s="72">
        <v>43571</v>
      </c>
      <c r="H1838" s="191"/>
    </row>
    <row r="1839" spans="1:8" x14ac:dyDescent="0.25">
      <c r="B1839" s="3">
        <f>SUM(B1835:B1838)</f>
        <v>1099879</v>
      </c>
      <c r="C1839" s="3">
        <f>SUM(C1835:C1838)</f>
        <v>1115000</v>
      </c>
      <c r="E1839" s="95">
        <f>C1839-B1839</f>
        <v>15121</v>
      </c>
      <c r="F1839" s="72">
        <v>43572</v>
      </c>
      <c r="G1839" s="72">
        <v>43573</v>
      </c>
      <c r="H1839" s="191"/>
    </row>
    <row r="1840" spans="1:8" x14ac:dyDescent="0.25">
      <c r="H1840" s="191"/>
    </row>
    <row r="1841" spans="1:8" x14ac:dyDescent="0.25">
      <c r="A1841" t="s">
        <v>3217</v>
      </c>
      <c r="B1841" s="3">
        <v>796928</v>
      </c>
      <c r="C1841" s="3">
        <v>304000</v>
      </c>
      <c r="D1841" s="72">
        <v>43577</v>
      </c>
      <c r="H1841" s="191"/>
    </row>
    <row r="1842" spans="1:8" x14ac:dyDescent="0.25">
      <c r="A1842" t="s">
        <v>3218</v>
      </c>
      <c r="B1842" s="3">
        <v>385792</v>
      </c>
      <c r="C1842" s="3">
        <v>367320</v>
      </c>
      <c r="D1842" s="72">
        <v>43577</v>
      </c>
      <c r="H1842" s="191"/>
    </row>
    <row r="1843" spans="1:8" x14ac:dyDescent="0.25">
      <c r="C1843" s="3">
        <v>315149</v>
      </c>
      <c r="D1843" s="72">
        <v>43577</v>
      </c>
      <c r="H1843" s="191"/>
    </row>
    <row r="1844" spans="1:8" x14ac:dyDescent="0.25">
      <c r="C1844" s="3">
        <v>321531</v>
      </c>
      <c r="D1844" s="72">
        <v>43577</v>
      </c>
      <c r="H1844" s="191"/>
    </row>
    <row r="1845" spans="1:8" x14ac:dyDescent="0.25">
      <c r="B1845" s="3">
        <f>SUM(B1841:B1844)</f>
        <v>1182720</v>
      </c>
      <c r="C1845" s="3">
        <f>SUM(C1841:C1844)</f>
        <v>1308000</v>
      </c>
      <c r="E1845" s="110">
        <f>C1845-B1845</f>
        <v>125280</v>
      </c>
      <c r="F1845" s="72">
        <v>43577</v>
      </c>
      <c r="G1845" s="72">
        <v>43578</v>
      </c>
      <c r="H1845" s="191"/>
    </row>
    <row r="1847" spans="1:8" x14ac:dyDescent="0.25">
      <c r="A1847" t="s">
        <v>3220</v>
      </c>
      <c r="B1847" s="3">
        <v>224928</v>
      </c>
      <c r="C1847" s="110">
        <v>125280</v>
      </c>
      <c r="D1847" s="72">
        <v>43577</v>
      </c>
      <c r="E1847" s="3" t="s">
        <v>842</v>
      </c>
    </row>
    <row r="1848" spans="1:8" x14ac:dyDescent="0.25">
      <c r="C1848" s="95">
        <v>15121</v>
      </c>
      <c r="D1848" s="72">
        <v>43572</v>
      </c>
      <c r="E1848" s="3" t="s">
        <v>842</v>
      </c>
    </row>
    <row r="1849" spans="1:8" x14ac:dyDescent="0.25">
      <c r="C1849" s="94">
        <v>22735</v>
      </c>
      <c r="D1849" s="72">
        <v>43565</v>
      </c>
      <c r="E1849" s="3" t="s">
        <v>842</v>
      </c>
    </row>
    <row r="1850" spans="1:8" x14ac:dyDescent="0.25">
      <c r="C1850" s="189">
        <v>8550</v>
      </c>
      <c r="D1850" s="72">
        <v>43567</v>
      </c>
      <c r="E1850" s="3" t="s">
        <v>842</v>
      </c>
    </row>
    <row r="1851" spans="1:8" x14ac:dyDescent="0.25">
      <c r="C1851" s="3">
        <v>34829</v>
      </c>
      <c r="D1851" s="72">
        <v>43572</v>
      </c>
      <c r="E1851" s="3" t="s">
        <v>3221</v>
      </c>
    </row>
    <row r="1852" spans="1:8" x14ac:dyDescent="0.25">
      <c r="C1852" s="3">
        <v>17187</v>
      </c>
      <c r="D1852" s="72">
        <v>43565</v>
      </c>
      <c r="E1852" s="3" t="s">
        <v>3222</v>
      </c>
    </row>
    <row r="1853" spans="1:8" x14ac:dyDescent="0.25">
      <c r="C1853" s="3">
        <v>1226</v>
      </c>
      <c r="D1853" s="72">
        <v>43578</v>
      </c>
      <c r="E1853" s="3" t="s">
        <v>849</v>
      </c>
    </row>
    <row r="1854" spans="1:8" x14ac:dyDescent="0.25">
      <c r="B1854" s="3">
        <f>SUM(B1847:B1853)</f>
        <v>224928</v>
      </c>
      <c r="C1854" s="3">
        <f>SUM(C1847:C1853)</f>
        <v>224928</v>
      </c>
      <c r="E1854" s="3">
        <f>C1854-B1854</f>
        <v>0</v>
      </c>
      <c r="F1854" s="72">
        <v>43578</v>
      </c>
      <c r="G1854" s="72">
        <v>43578</v>
      </c>
    </row>
    <row r="1856" spans="1:8" x14ac:dyDescent="0.25">
      <c r="A1856" t="s">
        <v>3228</v>
      </c>
      <c r="B1856" s="3">
        <v>224608.5</v>
      </c>
      <c r="C1856" s="3">
        <v>378000</v>
      </c>
      <c r="D1856" s="72">
        <v>43578</v>
      </c>
      <c r="E1856" s="3" t="s">
        <v>846</v>
      </c>
    </row>
    <row r="1857" spans="1:8" x14ac:dyDescent="0.25">
      <c r="A1857" t="s">
        <v>3229</v>
      </c>
      <c r="B1857" s="3">
        <v>204633</v>
      </c>
      <c r="C1857" s="3">
        <v>47000</v>
      </c>
      <c r="D1857" s="72">
        <v>43578</v>
      </c>
      <c r="E1857" s="3" t="s">
        <v>849</v>
      </c>
    </row>
    <row r="1858" spans="1:8" x14ac:dyDescent="0.25">
      <c r="A1858" t="s">
        <v>3233</v>
      </c>
      <c r="B1858" s="3">
        <v>208960</v>
      </c>
      <c r="C1858" s="3">
        <v>260000</v>
      </c>
      <c r="D1858" s="72">
        <v>43579</v>
      </c>
      <c r="E1858" s="3" t="s">
        <v>846</v>
      </c>
    </row>
    <row r="1859" spans="1:8" x14ac:dyDescent="0.25">
      <c r="B1859" s="3">
        <f>SUM(B1856:B1858)</f>
        <v>638201.5</v>
      </c>
      <c r="C1859" s="3">
        <f>SUM(C1856:C1858)</f>
        <v>685000</v>
      </c>
      <c r="E1859" s="223">
        <f>C1859-B1859</f>
        <v>46798.5</v>
      </c>
      <c r="F1859" s="72" t="s">
        <v>3234</v>
      </c>
      <c r="G1859" s="72">
        <v>43581</v>
      </c>
      <c r="H1859" s="191"/>
    </row>
    <row r="1860" spans="1:8" x14ac:dyDescent="0.25">
      <c r="E1860" s="3" t="s">
        <v>3230</v>
      </c>
    </row>
    <row r="1862" spans="1:8" x14ac:dyDescent="0.25">
      <c r="A1862" t="s">
        <v>3258</v>
      </c>
      <c r="B1862" s="3">
        <v>463743</v>
      </c>
      <c r="C1862" s="3">
        <v>565000</v>
      </c>
      <c r="D1862" s="72">
        <v>43581</v>
      </c>
      <c r="E1862" s="3" t="s">
        <v>846</v>
      </c>
    </row>
    <row r="1863" spans="1:8" x14ac:dyDescent="0.25">
      <c r="C1863" s="3">
        <v>2640</v>
      </c>
      <c r="D1863" s="72">
        <v>43581</v>
      </c>
      <c r="E1863" s="3" t="s">
        <v>3259</v>
      </c>
    </row>
    <row r="1864" spans="1:8" x14ac:dyDescent="0.25">
      <c r="B1864" s="3">
        <f>SUM(B1862:B1863)</f>
        <v>463743</v>
      </c>
      <c r="C1864" s="3">
        <f>SUM(C1862:C1863)</f>
        <v>567640</v>
      </c>
      <c r="E1864" s="99">
        <f>C1864-B1864</f>
        <v>103897</v>
      </c>
      <c r="F1864" s="72">
        <v>43582</v>
      </c>
      <c r="G1864" s="72">
        <v>43582</v>
      </c>
      <c r="H1864" s="191"/>
    </row>
    <row r="1866" spans="1:8" x14ac:dyDescent="0.25">
      <c r="A1866" t="s">
        <v>3304</v>
      </c>
      <c r="B1866" s="3">
        <v>483155</v>
      </c>
      <c r="C1866" s="3">
        <v>548000</v>
      </c>
      <c r="D1866" s="72">
        <v>43584</v>
      </c>
      <c r="E1866" s="3" t="s">
        <v>846</v>
      </c>
    </row>
    <row r="1867" spans="1:8" x14ac:dyDescent="0.25">
      <c r="B1867" s="3">
        <f>SUM(B1866)</f>
        <v>483155</v>
      </c>
      <c r="C1867" s="3">
        <f>SUM(C1866)</f>
        <v>548000</v>
      </c>
      <c r="E1867" s="75">
        <f>C1867-B1867</f>
        <v>64845</v>
      </c>
      <c r="F1867" s="72">
        <v>43585</v>
      </c>
      <c r="G1867" s="72">
        <v>43588</v>
      </c>
      <c r="H1867" s="191"/>
    </row>
    <row r="1869" spans="1:8" x14ac:dyDescent="0.25">
      <c r="A1869" t="s">
        <v>3316</v>
      </c>
      <c r="B1869" s="3">
        <v>412943.5</v>
      </c>
      <c r="C1869" s="3">
        <v>389000</v>
      </c>
      <c r="D1869" s="72">
        <v>43585</v>
      </c>
      <c r="E1869" s="3" t="s">
        <v>846</v>
      </c>
    </row>
    <row r="1870" spans="1:8" x14ac:dyDescent="0.25">
      <c r="C1870" s="3">
        <v>2200</v>
      </c>
      <c r="D1870" s="72">
        <v>43584</v>
      </c>
      <c r="E1870" s="3" t="s">
        <v>3317</v>
      </c>
    </row>
    <row r="1871" spans="1:8" x14ac:dyDescent="0.25">
      <c r="C1871" s="3">
        <v>21743.5</v>
      </c>
      <c r="D1871" s="72">
        <v>43587</v>
      </c>
      <c r="E1871" s="3" t="s">
        <v>849</v>
      </c>
    </row>
    <row r="1872" spans="1:8" x14ac:dyDescent="0.25">
      <c r="B1872" s="3">
        <f>SUM(B1869:B1871)</f>
        <v>412943.5</v>
      </c>
      <c r="C1872" s="3">
        <f>SUM(C1869:C1871)</f>
        <v>412943.5</v>
      </c>
      <c r="E1872" s="3">
        <f>C1872-B1872</f>
        <v>0</v>
      </c>
      <c r="F1872" s="72">
        <v>43587</v>
      </c>
      <c r="G1872" s="72">
        <v>43588</v>
      </c>
    </row>
    <row r="1874" spans="1:8" x14ac:dyDescent="0.25">
      <c r="A1874" t="s">
        <v>3321</v>
      </c>
      <c r="B1874" s="3">
        <v>424800</v>
      </c>
      <c r="C1874" s="3">
        <v>462000</v>
      </c>
      <c r="D1874" s="72">
        <v>43587</v>
      </c>
      <c r="E1874" s="3" t="s">
        <v>846</v>
      </c>
    </row>
    <row r="1875" spans="1:8" x14ac:dyDescent="0.25">
      <c r="C1875" s="3">
        <v>3087</v>
      </c>
      <c r="D1875" s="72">
        <v>43586</v>
      </c>
      <c r="E1875" s="3" t="s">
        <v>3322</v>
      </c>
    </row>
    <row r="1876" spans="1:8" x14ac:dyDescent="0.25">
      <c r="C1876" s="3">
        <v>7500</v>
      </c>
      <c r="D1876" s="72">
        <v>43586</v>
      </c>
      <c r="E1876" s="3" t="s">
        <v>3323</v>
      </c>
    </row>
    <row r="1877" spans="1:8" x14ac:dyDescent="0.25">
      <c r="B1877" s="3">
        <f>SUM(B1874:B1876)</f>
        <v>424800</v>
      </c>
      <c r="C1877" s="3">
        <f>SUM(C1874:C1876)</f>
        <v>472587</v>
      </c>
      <c r="E1877" s="86">
        <f>C1877-B1877</f>
        <v>47787</v>
      </c>
      <c r="F1877" s="72">
        <v>43588</v>
      </c>
      <c r="G1877" s="72">
        <v>43588</v>
      </c>
      <c r="H1877" s="191"/>
    </row>
    <row r="1879" spans="1:8" x14ac:dyDescent="0.25">
      <c r="A1879" t="s">
        <v>3352</v>
      </c>
      <c r="B1879" s="3">
        <v>234248</v>
      </c>
      <c r="C1879" s="3">
        <v>393000</v>
      </c>
      <c r="D1879" s="72">
        <v>43589</v>
      </c>
      <c r="E1879" s="3" t="s">
        <v>846</v>
      </c>
    </row>
    <row r="1880" spans="1:8" x14ac:dyDescent="0.25">
      <c r="A1880" t="s">
        <v>3353</v>
      </c>
      <c r="B1880" s="3">
        <v>466875</v>
      </c>
      <c r="C1880" s="3">
        <v>400000</v>
      </c>
      <c r="D1880" s="72">
        <v>43589</v>
      </c>
      <c r="E1880" s="3" t="s">
        <v>846</v>
      </c>
    </row>
    <row r="1881" spans="1:8" x14ac:dyDescent="0.25">
      <c r="B1881" s="3">
        <f>SUM(B1879:B1880)</f>
        <v>701123</v>
      </c>
      <c r="C1881" s="3">
        <f>SUM(C1879:C1880)</f>
        <v>793000</v>
      </c>
      <c r="E1881" s="83">
        <f>C1881-B1881</f>
        <v>91877</v>
      </c>
      <c r="F1881" s="72">
        <v>43589</v>
      </c>
      <c r="G1881" s="72">
        <v>43591</v>
      </c>
      <c r="H1881" s="191"/>
    </row>
    <row r="1883" spans="1:8" x14ac:dyDescent="0.25">
      <c r="A1883" t="s">
        <v>3430</v>
      </c>
      <c r="B1883" s="3">
        <v>477896</v>
      </c>
      <c r="C1883" s="3">
        <v>430000</v>
      </c>
      <c r="D1883" s="72">
        <v>43594</v>
      </c>
      <c r="E1883" s="3" t="s">
        <v>846</v>
      </c>
    </row>
    <row r="1884" spans="1:8" x14ac:dyDescent="0.25">
      <c r="A1884" t="s">
        <v>3431</v>
      </c>
      <c r="B1884" s="3">
        <v>439500</v>
      </c>
      <c r="C1884" s="3">
        <v>406000</v>
      </c>
      <c r="D1884" s="72">
        <v>43594</v>
      </c>
      <c r="E1884" s="3" t="s">
        <v>846</v>
      </c>
    </row>
    <row r="1885" spans="1:8" x14ac:dyDescent="0.25">
      <c r="C1885" s="83">
        <v>91877</v>
      </c>
      <c r="D1885" s="72">
        <v>43589</v>
      </c>
      <c r="E1885" s="3" t="s">
        <v>842</v>
      </c>
    </row>
    <row r="1886" spans="1:8" x14ac:dyDescent="0.25">
      <c r="B1886" s="3">
        <f>SUM(B1883:B1885)</f>
        <v>917396</v>
      </c>
      <c r="C1886" s="3">
        <f>SUM(C1883:C1885)</f>
        <v>927877</v>
      </c>
      <c r="E1886" s="51">
        <f>C1886-B1886</f>
        <v>10481</v>
      </c>
      <c r="F1886" s="72">
        <v>43594</v>
      </c>
      <c r="G1886" s="72">
        <v>43594</v>
      </c>
      <c r="H1886" s="191"/>
    </row>
    <row r="1888" spans="1:8" x14ac:dyDescent="0.25">
      <c r="A1888" t="s">
        <v>3433</v>
      </c>
      <c r="B1888" s="3">
        <v>479814</v>
      </c>
      <c r="C1888" s="3">
        <v>399000</v>
      </c>
      <c r="D1888" s="72">
        <v>43594</v>
      </c>
      <c r="E1888" s="3" t="s">
        <v>846</v>
      </c>
    </row>
    <row r="1889" spans="1:9" x14ac:dyDescent="0.25">
      <c r="C1889" s="51">
        <v>10481</v>
      </c>
      <c r="D1889" s="72">
        <v>43594</v>
      </c>
      <c r="E1889" s="3" t="s">
        <v>842</v>
      </c>
    </row>
    <row r="1890" spans="1:9" x14ac:dyDescent="0.25">
      <c r="C1890" s="75">
        <v>64845</v>
      </c>
      <c r="D1890" s="72">
        <v>43585</v>
      </c>
      <c r="E1890" s="3" t="s">
        <v>842</v>
      </c>
    </row>
    <row r="1891" spans="1:9" x14ac:dyDescent="0.25">
      <c r="C1891" s="3">
        <v>2202</v>
      </c>
      <c r="D1891" s="72">
        <v>43593</v>
      </c>
      <c r="E1891" s="3" t="s">
        <v>3434</v>
      </c>
    </row>
    <row r="1892" spans="1:9" x14ac:dyDescent="0.25">
      <c r="C1892" s="3">
        <v>3286</v>
      </c>
      <c r="D1892" s="72">
        <v>43594</v>
      </c>
      <c r="E1892" s="3" t="s">
        <v>3437</v>
      </c>
    </row>
    <row r="1893" spans="1:9" x14ac:dyDescent="0.25">
      <c r="B1893" s="3">
        <f>SUM(B1888:B1891)</f>
        <v>479814</v>
      </c>
      <c r="C1893" s="3">
        <f>SUM(C1888:C1892)</f>
        <v>479814</v>
      </c>
      <c r="E1893" s="3">
        <f>C1893-B1893</f>
        <v>0</v>
      </c>
      <c r="F1893" s="72">
        <v>43594</v>
      </c>
    </row>
    <row r="1895" spans="1:9" x14ac:dyDescent="0.25">
      <c r="A1895" t="s">
        <v>3438</v>
      </c>
      <c r="B1895" s="3">
        <v>238391</v>
      </c>
      <c r="C1895" s="3">
        <v>420000</v>
      </c>
      <c r="D1895" s="72">
        <v>43595</v>
      </c>
      <c r="E1895" s="3" t="s">
        <v>846</v>
      </c>
    </row>
    <row r="1896" spans="1:9" x14ac:dyDescent="0.25">
      <c r="A1896" t="s">
        <v>3439</v>
      </c>
      <c r="B1896" s="3">
        <v>261120</v>
      </c>
      <c r="C1896" s="223">
        <v>46798.5</v>
      </c>
      <c r="D1896" s="72">
        <v>43579</v>
      </c>
      <c r="E1896" s="3" t="s">
        <v>842</v>
      </c>
    </row>
    <row r="1897" spans="1:9" x14ac:dyDescent="0.25">
      <c r="C1897" s="86">
        <v>47787</v>
      </c>
      <c r="D1897" s="72">
        <v>43588</v>
      </c>
      <c r="E1897" s="3" t="s">
        <v>842</v>
      </c>
      <c r="H1897" s="191"/>
      <c r="I1897" s="191"/>
    </row>
    <row r="1898" spans="1:9" x14ac:dyDescent="0.25">
      <c r="B1898" s="3">
        <f>SUM(B1895:B1897)</f>
        <v>499511</v>
      </c>
      <c r="C1898" s="3">
        <f>SUM(C1895:C1897)</f>
        <v>514585.5</v>
      </c>
      <c r="E1898" s="96">
        <f>C1898-B1898</f>
        <v>15074.5</v>
      </c>
      <c r="F1898" s="72">
        <v>43595</v>
      </c>
      <c r="G1898" s="72">
        <v>43598</v>
      </c>
      <c r="H1898" s="191"/>
      <c r="I1898" s="191"/>
    </row>
    <row r="1899" spans="1:9" x14ac:dyDescent="0.25">
      <c r="H1899" s="191"/>
      <c r="I1899" s="191"/>
    </row>
    <row r="1900" spans="1:9" x14ac:dyDescent="0.25">
      <c r="A1900" t="s">
        <v>3501</v>
      </c>
      <c r="B1900" s="3">
        <v>427120</v>
      </c>
      <c r="C1900" s="3">
        <v>428054</v>
      </c>
      <c r="D1900" s="72">
        <v>43598</v>
      </c>
      <c r="E1900" s="3" t="s">
        <v>846</v>
      </c>
      <c r="H1900" s="191"/>
      <c r="I1900" s="191"/>
    </row>
    <row r="1901" spans="1:9" x14ac:dyDescent="0.25">
      <c r="A1901" t="s">
        <v>3502</v>
      </c>
      <c r="B1901" s="3">
        <v>471936</v>
      </c>
      <c r="C1901" s="3">
        <v>396946</v>
      </c>
      <c r="D1901" s="72">
        <v>43598</v>
      </c>
      <c r="E1901" s="3" t="s">
        <v>846</v>
      </c>
      <c r="H1901" s="191"/>
      <c r="I1901" s="191"/>
    </row>
    <row r="1902" spans="1:9" x14ac:dyDescent="0.25">
      <c r="C1902" s="3">
        <v>70000</v>
      </c>
      <c r="D1902" s="72">
        <v>43599</v>
      </c>
      <c r="E1902" s="3" t="s">
        <v>846</v>
      </c>
      <c r="H1902" s="191"/>
      <c r="I1902" s="191"/>
    </row>
    <row r="1903" spans="1:9" x14ac:dyDescent="0.25">
      <c r="C1903" s="3">
        <v>9691</v>
      </c>
      <c r="D1903" s="72">
        <v>43597</v>
      </c>
      <c r="E1903" s="3" t="s">
        <v>3503</v>
      </c>
      <c r="H1903" s="191"/>
      <c r="I1903" s="191"/>
    </row>
    <row r="1904" spans="1:9" x14ac:dyDescent="0.25">
      <c r="B1904" s="3">
        <f>SUM(B1900:B1903)</f>
        <v>899056</v>
      </c>
      <c r="C1904" s="3">
        <f>SUM(C1900:C1903)</f>
        <v>904691</v>
      </c>
      <c r="E1904" s="101">
        <f>C1904-B1904</f>
        <v>5635</v>
      </c>
      <c r="F1904" s="72">
        <v>43599</v>
      </c>
      <c r="G1904" s="72">
        <v>43601</v>
      </c>
      <c r="H1904" s="191"/>
      <c r="I1904" s="191"/>
    </row>
    <row r="1905" spans="1:14" x14ac:dyDescent="0.25">
      <c r="H1905" s="191"/>
      <c r="I1905" s="191"/>
    </row>
    <row r="1906" spans="1:14" x14ac:dyDescent="0.25">
      <c r="A1906" t="s">
        <v>3514</v>
      </c>
      <c r="B1906" s="3">
        <v>264810</v>
      </c>
      <c r="C1906" s="3">
        <v>637000</v>
      </c>
      <c r="D1906" s="72">
        <v>43600</v>
      </c>
      <c r="E1906" s="3" t="s">
        <v>846</v>
      </c>
    </row>
    <row r="1907" spans="1:14" x14ac:dyDescent="0.25">
      <c r="A1907" t="s">
        <v>3515</v>
      </c>
      <c r="B1907" s="3">
        <v>494592</v>
      </c>
      <c r="C1907" s="101">
        <v>5635</v>
      </c>
      <c r="D1907" s="72">
        <v>43599</v>
      </c>
      <c r="E1907" s="3" t="s">
        <v>842</v>
      </c>
    </row>
    <row r="1908" spans="1:14" x14ac:dyDescent="0.25">
      <c r="C1908" s="96">
        <v>15074.5</v>
      </c>
      <c r="D1908" s="72">
        <v>43595</v>
      </c>
      <c r="E1908" s="3" t="s">
        <v>842</v>
      </c>
    </row>
    <row r="1909" spans="1:14" x14ac:dyDescent="0.25">
      <c r="C1909" s="3">
        <v>43154</v>
      </c>
      <c r="D1909" s="72">
        <v>43600</v>
      </c>
      <c r="E1909" s="3" t="s">
        <v>3516</v>
      </c>
    </row>
    <row r="1910" spans="1:14" x14ac:dyDescent="0.25">
      <c r="C1910" s="3">
        <v>11508</v>
      </c>
      <c r="D1910" s="72">
        <v>43596</v>
      </c>
      <c r="E1910" s="3" t="s">
        <v>3517</v>
      </c>
    </row>
    <row r="1911" spans="1:14" x14ac:dyDescent="0.25">
      <c r="C1911" s="3">
        <v>50000</v>
      </c>
      <c r="D1911" s="72">
        <v>43600</v>
      </c>
      <c r="E1911" s="3" t="s">
        <v>3518</v>
      </c>
    </row>
    <row r="1912" spans="1:14" x14ac:dyDescent="0.25">
      <c r="B1912" s="3">
        <f>SUM(B1906:B1910)</f>
        <v>759402</v>
      </c>
      <c r="C1912" s="3">
        <f>SUM(C1906:C1911)</f>
        <v>762371.5</v>
      </c>
      <c r="E1912" s="3">
        <f>C1912-B1912</f>
        <v>2969.5</v>
      </c>
      <c r="F1912" s="72">
        <v>43600</v>
      </c>
      <c r="G1912" s="72">
        <v>43601</v>
      </c>
      <c r="H1912" s="48"/>
    </row>
    <row r="1914" spans="1:14" x14ac:dyDescent="0.25">
      <c r="A1914" t="s">
        <v>3524</v>
      </c>
      <c r="B1914" s="3">
        <v>488195</v>
      </c>
      <c r="C1914" s="3">
        <v>490000</v>
      </c>
      <c r="D1914" s="72">
        <v>43601</v>
      </c>
      <c r="E1914" s="3" t="s">
        <v>846</v>
      </c>
      <c r="H1914" s="191"/>
    </row>
    <row r="1915" spans="1:14" x14ac:dyDescent="0.25">
      <c r="B1915" s="3">
        <f>SUM(B1914)</f>
        <v>488195</v>
      </c>
      <c r="C1915" s="3">
        <f>SUM(C1914)</f>
        <v>490000</v>
      </c>
      <c r="E1915" s="51">
        <f>C1915-B1915</f>
        <v>1805</v>
      </c>
      <c r="F1915" s="72">
        <v>43601</v>
      </c>
      <c r="G1915" s="72">
        <v>43602</v>
      </c>
      <c r="H1915" s="191"/>
      <c r="L1915" s="3"/>
      <c r="M1915" s="72"/>
      <c r="N1915" s="72"/>
    </row>
    <row r="1916" spans="1:14" x14ac:dyDescent="0.25">
      <c r="H1916" s="191"/>
    </row>
    <row r="1917" spans="1:14" x14ac:dyDescent="0.25">
      <c r="A1917" t="s">
        <v>3527</v>
      </c>
      <c r="B1917" s="3">
        <v>241472</v>
      </c>
      <c r="C1917" s="3">
        <v>348000</v>
      </c>
      <c r="D1917" s="72">
        <v>43602</v>
      </c>
      <c r="E1917" s="3" t="s">
        <v>846</v>
      </c>
      <c r="H1917" s="191"/>
    </row>
    <row r="1918" spans="1:14" x14ac:dyDescent="0.25">
      <c r="B1918" s="3">
        <f>SUM(B1917)</f>
        <v>241472</v>
      </c>
      <c r="C1918" s="3">
        <f>SUM(C1917)</f>
        <v>348000</v>
      </c>
      <c r="E1918" s="54">
        <f>C1918-B1918</f>
        <v>106528</v>
      </c>
      <c r="F1918" s="72">
        <v>43602</v>
      </c>
      <c r="G1918" s="72">
        <v>43603</v>
      </c>
      <c r="H1918" s="191"/>
    </row>
    <row r="1919" spans="1:14" x14ac:dyDescent="0.25">
      <c r="H1919" s="191"/>
    </row>
    <row r="1920" spans="1:14" x14ac:dyDescent="0.25">
      <c r="A1920" t="s">
        <v>3689</v>
      </c>
      <c r="B1920" s="3">
        <v>490314</v>
      </c>
      <c r="C1920" s="3">
        <v>530000</v>
      </c>
      <c r="D1920" s="72">
        <v>43608</v>
      </c>
      <c r="E1920" s="3" t="s">
        <v>846</v>
      </c>
    </row>
    <row r="1921" spans="1:7" x14ac:dyDescent="0.25">
      <c r="A1921" t="s">
        <v>3688</v>
      </c>
      <c r="B1921" s="3">
        <v>475020</v>
      </c>
      <c r="C1921" s="3">
        <v>430000</v>
      </c>
      <c r="D1921" s="72">
        <v>43608</v>
      </c>
      <c r="E1921" s="3" t="s">
        <v>846</v>
      </c>
    </row>
    <row r="1922" spans="1:7" x14ac:dyDescent="0.25">
      <c r="C1922" s="3">
        <v>470000</v>
      </c>
      <c r="D1922" s="72">
        <v>43608</v>
      </c>
      <c r="E1922" s="3" t="s">
        <v>846</v>
      </c>
    </row>
    <row r="1923" spans="1:7" x14ac:dyDescent="0.25">
      <c r="C1923" s="3">
        <v>450000</v>
      </c>
      <c r="D1923" s="72">
        <v>43608</v>
      </c>
      <c r="E1923" s="3" t="s">
        <v>846</v>
      </c>
    </row>
    <row r="1924" spans="1:7" x14ac:dyDescent="0.25">
      <c r="A1924" s="191" t="s">
        <v>3691</v>
      </c>
      <c r="B1924" s="3">
        <v>498108</v>
      </c>
      <c r="C1924" s="51">
        <v>1805</v>
      </c>
      <c r="D1924" s="72">
        <v>43601</v>
      </c>
      <c r="E1924" s="3" t="s">
        <v>842</v>
      </c>
    </row>
    <row r="1925" spans="1:7" x14ac:dyDescent="0.25">
      <c r="A1925" s="191" t="s">
        <v>3692</v>
      </c>
      <c r="B1925" s="3">
        <v>490451</v>
      </c>
      <c r="C1925" s="54">
        <v>106528</v>
      </c>
      <c r="D1925" s="72">
        <v>43602</v>
      </c>
      <c r="E1925" s="3" t="s">
        <v>842</v>
      </c>
    </row>
    <row r="1926" spans="1:7" x14ac:dyDescent="0.25">
      <c r="A1926" s="191" t="s">
        <v>3693</v>
      </c>
      <c r="B1926" s="3">
        <v>482144</v>
      </c>
      <c r="C1926" s="99">
        <v>103897</v>
      </c>
      <c r="D1926" s="72">
        <v>43582</v>
      </c>
      <c r="E1926" s="3" t="s">
        <v>842</v>
      </c>
    </row>
    <row r="1927" spans="1:7" x14ac:dyDescent="0.25">
      <c r="A1927" s="191" t="s">
        <v>3694</v>
      </c>
      <c r="B1927" s="3">
        <v>461142</v>
      </c>
      <c r="C1927" s="3">
        <v>36509</v>
      </c>
      <c r="D1927" s="72">
        <v>43610</v>
      </c>
      <c r="E1927" s="3" t="s">
        <v>3697</v>
      </c>
    </row>
    <row r="1928" spans="1:7" x14ac:dyDescent="0.25">
      <c r="A1928" s="191" t="s">
        <v>3695</v>
      </c>
      <c r="B1928" s="3">
        <v>264860</v>
      </c>
      <c r="C1928" s="3">
        <v>486000</v>
      </c>
      <c r="D1928" s="72">
        <v>43613</v>
      </c>
      <c r="E1928" s="3" t="s">
        <v>846</v>
      </c>
    </row>
    <row r="1929" spans="1:7" x14ac:dyDescent="0.25">
      <c r="A1929" s="191" t="s">
        <v>3696</v>
      </c>
      <c r="B1929" s="3">
        <v>501843</v>
      </c>
      <c r="C1929" s="3">
        <v>514000</v>
      </c>
      <c r="D1929" s="72">
        <v>43613</v>
      </c>
      <c r="E1929" s="3" t="s">
        <v>846</v>
      </c>
    </row>
    <row r="1930" spans="1:7" x14ac:dyDescent="0.25">
      <c r="A1930" s="191"/>
      <c r="C1930" s="3">
        <v>526000</v>
      </c>
      <c r="D1930" s="72">
        <v>43613</v>
      </c>
      <c r="E1930" s="3" t="s">
        <v>846</v>
      </c>
    </row>
    <row r="1931" spans="1:7" x14ac:dyDescent="0.25">
      <c r="A1931" s="191"/>
      <c r="C1931" s="3">
        <v>9143</v>
      </c>
      <c r="D1931" s="72">
        <v>43613</v>
      </c>
      <c r="E1931" s="3" t="s">
        <v>849</v>
      </c>
    </row>
    <row r="1932" spans="1:7" x14ac:dyDescent="0.25">
      <c r="B1932" s="3">
        <f>SUM(B1920:B1929)</f>
        <v>3663882</v>
      </c>
      <c r="C1932" s="3">
        <f>SUM(C1920:C1931)</f>
        <v>3663882</v>
      </c>
      <c r="E1932" s="3">
        <f>C1932-B1932</f>
        <v>0</v>
      </c>
      <c r="F1932" s="72">
        <v>43613</v>
      </c>
      <c r="G1932" s="72">
        <v>43615</v>
      </c>
    </row>
    <row r="1934" spans="1:7" x14ac:dyDescent="0.25">
      <c r="A1934" t="s">
        <v>3720</v>
      </c>
      <c r="B1934" s="3">
        <v>273212</v>
      </c>
      <c r="C1934" s="3">
        <v>500000</v>
      </c>
      <c r="D1934" s="72">
        <v>43615</v>
      </c>
      <c r="E1934" s="3" t="s">
        <v>846</v>
      </c>
    </row>
    <row r="1935" spans="1:7" x14ac:dyDescent="0.25">
      <c r="A1935" t="s">
        <v>3721</v>
      </c>
      <c r="B1935" s="3">
        <v>522750</v>
      </c>
      <c r="C1935" s="3">
        <v>455000</v>
      </c>
      <c r="D1935" s="72">
        <v>43615</v>
      </c>
      <c r="E1935" s="3" t="s">
        <v>846</v>
      </c>
    </row>
    <row r="1936" spans="1:7" x14ac:dyDescent="0.25">
      <c r="C1936" s="3">
        <v>24466</v>
      </c>
      <c r="D1936" s="72">
        <v>43614</v>
      </c>
      <c r="E1936" s="3" t="s">
        <v>3722</v>
      </c>
    </row>
    <row r="1937" spans="1:8" x14ac:dyDescent="0.25">
      <c r="C1937" s="3">
        <v>2706</v>
      </c>
      <c r="D1937" s="72">
        <v>43614</v>
      </c>
      <c r="E1937" s="3" t="s">
        <v>3723</v>
      </c>
    </row>
    <row r="1938" spans="1:8" x14ac:dyDescent="0.25">
      <c r="C1938" s="3">
        <v>12338</v>
      </c>
      <c r="D1938" s="72">
        <v>43615</v>
      </c>
      <c r="E1938" s="3" t="s">
        <v>3724</v>
      </c>
    </row>
    <row r="1939" spans="1:8" x14ac:dyDescent="0.25">
      <c r="B1939" s="3">
        <f>SUM(B1934:B1938)</f>
        <v>795962</v>
      </c>
      <c r="C1939" s="3">
        <f>SUM(C1934:C1938)</f>
        <v>994510</v>
      </c>
      <c r="E1939" s="75">
        <f>C1939-B1939</f>
        <v>198548</v>
      </c>
      <c r="F1939" s="72">
        <v>43615</v>
      </c>
      <c r="G1939" s="72">
        <v>43617</v>
      </c>
      <c r="H1939" s="191"/>
    </row>
    <row r="1941" spans="1:8" x14ac:dyDescent="0.25">
      <c r="A1941" t="s">
        <v>3735</v>
      </c>
      <c r="B1941" s="3">
        <v>252531</v>
      </c>
      <c r="C1941" s="3">
        <v>151000</v>
      </c>
      <c r="D1941" s="72">
        <v>43616</v>
      </c>
      <c r="E1941" s="3" t="s">
        <v>846</v>
      </c>
    </row>
    <row r="1942" spans="1:8" x14ac:dyDescent="0.25">
      <c r="A1942" t="s">
        <v>3736</v>
      </c>
      <c r="B1942" s="3">
        <v>257488</v>
      </c>
      <c r="C1942" s="3">
        <v>394000</v>
      </c>
      <c r="D1942" s="72">
        <v>43617</v>
      </c>
      <c r="E1942" s="3" t="s">
        <v>846</v>
      </c>
    </row>
    <row r="1943" spans="1:8" x14ac:dyDescent="0.25">
      <c r="A1943" t="s">
        <v>3737</v>
      </c>
      <c r="B1943" s="3">
        <v>259791</v>
      </c>
      <c r="C1943" s="75">
        <v>198548</v>
      </c>
      <c r="D1943" s="72">
        <v>43615</v>
      </c>
      <c r="E1943" s="3" t="s">
        <v>842</v>
      </c>
    </row>
    <row r="1944" spans="1:8" x14ac:dyDescent="0.25">
      <c r="C1944" s="3">
        <f>10000+16250+12</f>
        <v>26262</v>
      </c>
      <c r="D1944" s="72">
        <v>43617</v>
      </c>
      <c r="E1944" s="3" t="s">
        <v>849</v>
      </c>
    </row>
    <row r="1945" spans="1:8" x14ac:dyDescent="0.25">
      <c r="B1945" s="3">
        <f>SUM(B1941:B1943)</f>
        <v>769810</v>
      </c>
      <c r="C1945" s="3">
        <f>SUM(C1941:C1944)</f>
        <v>769810</v>
      </c>
      <c r="E1945" s="3">
        <f>C1945-B1945</f>
        <v>0</v>
      </c>
      <c r="F1945" s="72">
        <v>43617</v>
      </c>
      <c r="G1945" s="72">
        <v>43619</v>
      </c>
    </row>
    <row r="1947" spans="1:8" x14ac:dyDescent="0.25">
      <c r="A1947" t="s">
        <v>3776</v>
      </c>
      <c r="B1947" s="3">
        <v>496272</v>
      </c>
      <c r="C1947" s="3">
        <v>445910</v>
      </c>
      <c r="D1947" s="72">
        <v>43620</v>
      </c>
      <c r="E1947" s="3" t="s">
        <v>846</v>
      </c>
    </row>
    <row r="1948" spans="1:8" x14ac:dyDescent="0.25">
      <c r="C1948" s="3">
        <v>335090</v>
      </c>
      <c r="D1948" s="72">
        <v>43620</v>
      </c>
      <c r="E1948" s="3" t="s">
        <v>846</v>
      </c>
    </row>
    <row r="1949" spans="1:8" x14ac:dyDescent="0.25">
      <c r="B1949" s="3">
        <f>SUM(B1947:B1948)</f>
        <v>496272</v>
      </c>
      <c r="C1949" s="3">
        <f>SUM(C1947:C1948)</f>
        <v>781000</v>
      </c>
      <c r="E1949" s="232">
        <f>C1949-B1949</f>
        <v>284728</v>
      </c>
      <c r="F1949" s="72">
        <v>43620</v>
      </c>
      <c r="G1949" s="72">
        <v>43622</v>
      </c>
      <c r="H1949" s="191"/>
    </row>
    <row r="1951" spans="1:8" x14ac:dyDescent="0.25">
      <c r="A1951" t="s">
        <v>3828</v>
      </c>
      <c r="B1951" s="3">
        <v>4076.8</v>
      </c>
      <c r="C1951" s="3">
        <v>528000</v>
      </c>
      <c r="D1951" s="72">
        <v>43622</v>
      </c>
      <c r="E1951" s="3" t="s">
        <v>846</v>
      </c>
    </row>
    <row r="1952" spans="1:8" x14ac:dyDescent="0.25">
      <c r="A1952" t="s">
        <v>3829</v>
      </c>
      <c r="B1952" s="3">
        <v>578136</v>
      </c>
      <c r="C1952" s="232">
        <v>284728</v>
      </c>
      <c r="D1952" s="72">
        <v>43620</v>
      </c>
      <c r="E1952" s="3" t="s">
        <v>842</v>
      </c>
    </row>
    <row r="1953" spans="1:8" x14ac:dyDescent="0.25">
      <c r="A1953" t="s">
        <v>3831</v>
      </c>
      <c r="B1953" s="3">
        <v>269010</v>
      </c>
      <c r="C1953" s="3">
        <v>29500</v>
      </c>
      <c r="D1953" s="72">
        <v>43621</v>
      </c>
      <c r="E1953" s="3" t="s">
        <v>3830</v>
      </c>
    </row>
    <row r="1954" spans="1:8" x14ac:dyDescent="0.25">
      <c r="C1954" s="3">
        <v>8995</v>
      </c>
      <c r="D1954" s="72">
        <v>43622</v>
      </c>
    </row>
    <row r="1955" spans="1:8" x14ac:dyDescent="0.25">
      <c r="B1955" s="3">
        <f>SUM(B1951:B1954)</f>
        <v>851222.8</v>
      </c>
      <c r="C1955" s="3">
        <f>SUM(C1951:C1954)</f>
        <v>851223</v>
      </c>
      <c r="E1955" s="3">
        <f>C1955-B1955</f>
        <v>0.19999999995343387</v>
      </c>
      <c r="F1955" s="72">
        <v>43622</v>
      </c>
      <c r="G1955" s="72">
        <v>43623</v>
      </c>
    </row>
    <row r="1957" spans="1:8" x14ac:dyDescent="0.25">
      <c r="A1957" t="s">
        <v>3838</v>
      </c>
      <c r="B1957" s="3">
        <v>264172.5</v>
      </c>
      <c r="C1957" s="3">
        <v>331000</v>
      </c>
      <c r="D1957" s="72">
        <v>43623</v>
      </c>
      <c r="E1957" s="3" t="s">
        <v>846</v>
      </c>
    </row>
    <row r="1958" spans="1:8" x14ac:dyDescent="0.25">
      <c r="B1958" s="3">
        <f>SUM(B1957)</f>
        <v>264172.5</v>
      </c>
      <c r="C1958" s="3">
        <f>SUM(C1957)</f>
        <v>331000</v>
      </c>
      <c r="E1958" s="94">
        <f>C1958-B1958</f>
        <v>66827.5</v>
      </c>
      <c r="F1958" s="72">
        <v>43623</v>
      </c>
      <c r="G1958" s="72">
        <v>43624</v>
      </c>
      <c r="H1958" s="191"/>
    </row>
    <row r="1959" spans="1:8" x14ac:dyDescent="0.25">
      <c r="H1959" s="191"/>
    </row>
    <row r="1960" spans="1:8" x14ac:dyDescent="0.25">
      <c r="A1960" t="s">
        <v>3871</v>
      </c>
      <c r="B1960" s="3">
        <v>523770</v>
      </c>
      <c r="C1960" s="3">
        <v>434000</v>
      </c>
      <c r="D1960" s="72">
        <v>43626</v>
      </c>
      <c r="E1960" s="3" t="s">
        <v>846</v>
      </c>
      <c r="H1960" s="191"/>
    </row>
    <row r="1961" spans="1:8" x14ac:dyDescent="0.25">
      <c r="A1961" t="s">
        <v>3872</v>
      </c>
      <c r="B1961" s="3">
        <v>487900</v>
      </c>
      <c r="C1961" s="3">
        <v>500000</v>
      </c>
      <c r="D1961" s="72">
        <v>43626</v>
      </c>
      <c r="E1961" s="3" t="s">
        <v>846</v>
      </c>
      <c r="H1961" s="191"/>
    </row>
    <row r="1962" spans="1:8" x14ac:dyDescent="0.25">
      <c r="C1962" s="3">
        <v>50000</v>
      </c>
      <c r="D1962" s="72">
        <v>43626</v>
      </c>
      <c r="E1962" s="3" t="s">
        <v>846</v>
      </c>
      <c r="H1962" s="191"/>
    </row>
    <row r="1963" spans="1:8" x14ac:dyDescent="0.25">
      <c r="C1963" s="3">
        <v>29170</v>
      </c>
      <c r="D1963" s="72">
        <v>43624</v>
      </c>
      <c r="E1963" s="3" t="s">
        <v>3873</v>
      </c>
      <c r="H1963" s="191"/>
    </row>
    <row r="1964" spans="1:8" x14ac:dyDescent="0.25">
      <c r="B1964" s="3">
        <f>SUM(B1960:B1963)</f>
        <v>1011670</v>
      </c>
      <c r="C1964" s="3">
        <f>SUM(C1960:C1963)</f>
        <v>1013170</v>
      </c>
      <c r="E1964" s="54">
        <f>C1964-B1964</f>
        <v>1500</v>
      </c>
      <c r="F1964" s="72">
        <v>43626</v>
      </c>
      <c r="G1964" s="72">
        <v>43627</v>
      </c>
      <c r="H1964" s="191"/>
    </row>
    <row r="1966" spans="1:8" x14ac:dyDescent="0.25">
      <c r="A1966" t="s">
        <v>3896</v>
      </c>
      <c r="B1966" s="3">
        <v>294336</v>
      </c>
      <c r="C1966" s="3">
        <v>332000</v>
      </c>
      <c r="D1966" s="72">
        <v>43627</v>
      </c>
      <c r="E1966" s="3" t="s">
        <v>846</v>
      </c>
    </row>
    <row r="1967" spans="1:8" x14ac:dyDescent="0.25">
      <c r="B1967" s="3">
        <f>SUM(B1966)</f>
        <v>294336</v>
      </c>
      <c r="C1967" s="3">
        <f>SUM(C1966)</f>
        <v>332000</v>
      </c>
      <c r="E1967" s="236">
        <f>C1967-B1967</f>
        <v>37664</v>
      </c>
      <c r="F1967" s="72">
        <v>43627</v>
      </c>
      <c r="G1967" s="72">
        <v>43628</v>
      </c>
      <c r="H1967" s="191"/>
    </row>
    <row r="1969" spans="1:8" x14ac:dyDescent="0.25">
      <c r="A1969" t="s">
        <v>3907</v>
      </c>
      <c r="B1969" s="3">
        <v>525096</v>
      </c>
      <c r="C1969" s="3">
        <v>436000</v>
      </c>
      <c r="D1969" s="72">
        <v>43628</v>
      </c>
      <c r="E1969" s="3" t="s">
        <v>846</v>
      </c>
    </row>
    <row r="1970" spans="1:8" x14ac:dyDescent="0.25">
      <c r="C1970" s="3">
        <v>28548</v>
      </c>
      <c r="D1970" s="72">
        <v>43627</v>
      </c>
      <c r="E1970" s="3" t="s">
        <v>3908</v>
      </c>
    </row>
    <row r="1971" spans="1:8" x14ac:dyDescent="0.25">
      <c r="C1971" s="54">
        <v>1500</v>
      </c>
      <c r="D1971" s="72">
        <v>43626</v>
      </c>
      <c r="E1971" s="3" t="s">
        <v>3909</v>
      </c>
    </row>
    <row r="1972" spans="1:8" x14ac:dyDescent="0.25">
      <c r="C1972" s="94">
        <v>66827.5</v>
      </c>
      <c r="D1972" s="72">
        <v>43623</v>
      </c>
      <c r="E1972" s="3" t="s">
        <v>3909</v>
      </c>
    </row>
    <row r="1973" spans="1:8" x14ac:dyDescent="0.25">
      <c r="B1973" s="3">
        <f>SUM(B1969:B1972)</f>
        <v>525096</v>
      </c>
      <c r="C1973" s="3">
        <f>SUM(C1969:C1972)</f>
        <v>532875.5</v>
      </c>
      <c r="E1973" s="50">
        <f>C1973-B1973</f>
        <v>7779.5</v>
      </c>
      <c r="F1973" s="72">
        <v>43628</v>
      </c>
      <c r="G1973" s="72">
        <v>43630</v>
      </c>
      <c r="H1973" s="191"/>
    </row>
    <row r="1975" spans="1:8" x14ac:dyDescent="0.25">
      <c r="A1975" t="s">
        <v>3917</v>
      </c>
      <c r="B1975" s="3">
        <v>294126</v>
      </c>
      <c r="C1975" s="3">
        <v>234000</v>
      </c>
      <c r="D1975" s="72">
        <v>43629</v>
      </c>
      <c r="E1975" s="3" t="s">
        <v>846</v>
      </c>
    </row>
    <row r="1976" spans="1:8" x14ac:dyDescent="0.25">
      <c r="C1976" s="3">
        <v>52300</v>
      </c>
      <c r="D1976" s="72">
        <v>43629</v>
      </c>
    </row>
    <row r="1977" spans="1:8" x14ac:dyDescent="0.25">
      <c r="C1977" s="50">
        <v>7779.5</v>
      </c>
      <c r="D1977" s="72">
        <v>43628</v>
      </c>
      <c r="E1977" s="3" t="s">
        <v>842</v>
      </c>
    </row>
    <row r="1978" spans="1:8" x14ac:dyDescent="0.25">
      <c r="C1978" s="3">
        <v>46.5</v>
      </c>
      <c r="D1978" s="72">
        <v>43629</v>
      </c>
      <c r="E1978" s="3" t="s">
        <v>849</v>
      </c>
    </row>
    <row r="1979" spans="1:8" x14ac:dyDescent="0.25">
      <c r="B1979" s="3">
        <f>SUM(B1975:B1977)</f>
        <v>294126</v>
      </c>
      <c r="C1979" s="3">
        <f>SUM(C1975:C1978)</f>
        <v>294126</v>
      </c>
      <c r="E1979" s="3">
        <f>C1979-B1979</f>
        <v>0</v>
      </c>
      <c r="F1979" s="72">
        <v>43629</v>
      </c>
      <c r="G1979" s="72">
        <v>43630</v>
      </c>
    </row>
    <row r="1981" spans="1:8" x14ac:dyDescent="0.25">
      <c r="A1981" t="s">
        <v>3951</v>
      </c>
      <c r="B1981" s="3">
        <v>266112</v>
      </c>
      <c r="C1981" s="3">
        <v>510000</v>
      </c>
      <c r="D1981" s="72">
        <v>43633</v>
      </c>
      <c r="E1981" s="3" t="s">
        <v>846</v>
      </c>
    </row>
    <row r="1982" spans="1:8" x14ac:dyDescent="0.25">
      <c r="C1982" s="3">
        <v>469000</v>
      </c>
      <c r="D1982" s="72">
        <v>43633</v>
      </c>
      <c r="E1982" s="3" t="s">
        <v>846</v>
      </c>
    </row>
    <row r="1983" spans="1:8" x14ac:dyDescent="0.25">
      <c r="A1983" t="s">
        <v>3952</v>
      </c>
      <c r="B1983" s="3">
        <v>501515</v>
      </c>
      <c r="C1983" s="3">
        <v>490000</v>
      </c>
      <c r="D1983" s="72">
        <v>43633</v>
      </c>
      <c r="E1983" s="3" t="s">
        <v>846</v>
      </c>
    </row>
    <row r="1984" spans="1:8" x14ac:dyDescent="0.25">
      <c r="B1984" s="3">
        <f>SUM(B1981:B1983)</f>
        <v>767627</v>
      </c>
      <c r="C1984" s="3">
        <f>SUM(C1981:C1983)</f>
        <v>1469000</v>
      </c>
      <c r="E1984" s="54">
        <f>C1984-B1984</f>
        <v>701373</v>
      </c>
      <c r="F1984" s="72">
        <v>43633</v>
      </c>
      <c r="G1984" s="72">
        <v>43634</v>
      </c>
    </row>
    <row r="1986" spans="1:8" x14ac:dyDescent="0.25">
      <c r="A1986" t="s">
        <v>3976</v>
      </c>
      <c r="B1986" s="3">
        <v>539976</v>
      </c>
      <c r="C1986" s="54">
        <v>701373</v>
      </c>
      <c r="D1986" s="72">
        <v>43633</v>
      </c>
    </row>
    <row r="1987" spans="1:8" x14ac:dyDescent="0.25">
      <c r="A1987" t="s">
        <v>3977</v>
      </c>
      <c r="B1987" s="3">
        <v>128404.5</v>
      </c>
      <c r="H1987" s="191"/>
    </row>
    <row r="1988" spans="1:8" x14ac:dyDescent="0.25">
      <c r="B1988" s="3">
        <f>SUM(B1986:B1987)</f>
        <v>668380.5</v>
      </c>
      <c r="C1988" s="3">
        <f>SUM(C1986:C1987)</f>
        <v>701373</v>
      </c>
      <c r="E1988" s="95">
        <f>C1988-B1988</f>
        <v>32992.5</v>
      </c>
      <c r="F1988" s="72">
        <v>43634</v>
      </c>
      <c r="G1988" s="72">
        <v>43636</v>
      </c>
      <c r="H1988" s="191"/>
    </row>
    <row r="1989" spans="1:8" x14ac:dyDescent="0.25">
      <c r="H1989" s="191"/>
    </row>
    <row r="1990" spans="1:8" x14ac:dyDescent="0.25">
      <c r="A1990" t="s">
        <v>3992</v>
      </c>
      <c r="B1990" s="3">
        <v>281144</v>
      </c>
      <c r="C1990" s="3">
        <v>500000</v>
      </c>
      <c r="D1990" s="72">
        <v>43636</v>
      </c>
      <c r="E1990" s="3" t="s">
        <v>846</v>
      </c>
      <c r="H1990" s="191"/>
    </row>
    <row r="1991" spans="1:8" x14ac:dyDescent="0.25">
      <c r="A1991" t="s">
        <v>3993</v>
      </c>
      <c r="B1991" s="3">
        <v>529557</v>
      </c>
      <c r="C1991" s="3">
        <v>288000</v>
      </c>
      <c r="D1991" s="72">
        <v>43636</v>
      </c>
      <c r="E1991" s="3" t="s">
        <v>846</v>
      </c>
      <c r="H1991" s="191"/>
    </row>
    <row r="1992" spans="1:8" x14ac:dyDescent="0.25">
      <c r="C1992" s="236">
        <v>37664</v>
      </c>
      <c r="D1992" s="72">
        <v>43627</v>
      </c>
      <c r="E1992" s="3" t="s">
        <v>842</v>
      </c>
      <c r="H1992" s="191"/>
    </row>
    <row r="1993" spans="1:8" x14ac:dyDescent="0.25">
      <c r="B1993" s="3">
        <f>SUM(B1990:B1992)</f>
        <v>810701</v>
      </c>
      <c r="C1993" s="3">
        <f>SUM(C1990:C1992)</f>
        <v>825664</v>
      </c>
      <c r="E1993" s="247">
        <f>C1993-B1993</f>
        <v>14963</v>
      </c>
      <c r="F1993" s="72">
        <v>43636</v>
      </c>
      <c r="G1993" s="72">
        <v>43637</v>
      </c>
      <c r="H1993" s="191"/>
    </row>
    <row r="1994" spans="1:8" x14ac:dyDescent="0.25">
      <c r="H1994" s="191"/>
    </row>
    <row r="1995" spans="1:8" x14ac:dyDescent="0.25">
      <c r="A1995" t="s">
        <v>3998</v>
      </c>
      <c r="B1995" s="3">
        <v>299464</v>
      </c>
      <c r="C1995" s="3">
        <v>431000</v>
      </c>
      <c r="D1995" s="72">
        <v>43638</v>
      </c>
      <c r="E1995" s="3" t="s">
        <v>846</v>
      </c>
      <c r="H1995" s="191"/>
    </row>
    <row r="1996" spans="1:8" x14ac:dyDescent="0.25">
      <c r="A1996" t="s">
        <v>3999</v>
      </c>
      <c r="B1996" s="3">
        <v>318857</v>
      </c>
      <c r="C1996" s="3">
        <v>350000</v>
      </c>
      <c r="D1996" s="72">
        <v>43638</v>
      </c>
      <c r="E1996" s="3" t="s">
        <v>846</v>
      </c>
      <c r="H1996" s="191"/>
    </row>
    <row r="1997" spans="1:8" x14ac:dyDescent="0.25">
      <c r="B1997" s="3">
        <f>SUM(B1995:B1996)</f>
        <v>618321</v>
      </c>
      <c r="C1997" s="3">
        <f>SUM(C1995:C1996)</f>
        <v>781000</v>
      </c>
      <c r="E1997" s="50">
        <f>C1997-B1997</f>
        <v>162679</v>
      </c>
      <c r="F1997" s="72">
        <v>43640</v>
      </c>
      <c r="G1997" s="72">
        <v>43642</v>
      </c>
      <c r="H1997" s="191"/>
    </row>
    <row r="1998" spans="1:8" x14ac:dyDescent="0.25">
      <c r="H1998" s="191"/>
    </row>
    <row r="1999" spans="1:8" x14ac:dyDescent="0.25">
      <c r="A1999" t="s">
        <v>4050</v>
      </c>
      <c r="B1999" s="3">
        <v>279048</v>
      </c>
      <c r="C1999" s="3">
        <v>388000</v>
      </c>
      <c r="D1999" s="72">
        <v>43643</v>
      </c>
      <c r="E1999" s="3" t="s">
        <v>846</v>
      </c>
      <c r="H1999" s="191"/>
    </row>
    <row r="2000" spans="1:8" x14ac:dyDescent="0.25">
      <c r="A2000" t="s">
        <v>4051</v>
      </c>
      <c r="B2000" s="3">
        <v>499912</v>
      </c>
      <c r="C2000" s="3">
        <v>312000</v>
      </c>
      <c r="D2000" s="72">
        <v>39991</v>
      </c>
      <c r="E2000" s="3" t="s">
        <v>846</v>
      </c>
      <c r="H2000" s="191"/>
    </row>
    <row r="2001" spans="1:8" x14ac:dyDescent="0.25">
      <c r="A2001" t="s">
        <v>4052</v>
      </c>
      <c r="B2001" s="3">
        <v>528572</v>
      </c>
      <c r="C2001" s="3">
        <v>464000</v>
      </c>
      <c r="D2001" s="72">
        <v>43643</v>
      </c>
      <c r="E2001" s="3" t="s">
        <v>846</v>
      </c>
      <c r="H2001" s="191"/>
    </row>
    <row r="2002" spans="1:8" x14ac:dyDescent="0.25">
      <c r="C2002" s="50">
        <v>162679</v>
      </c>
      <c r="D2002" s="72">
        <v>43640</v>
      </c>
      <c r="E2002" s="3" t="s">
        <v>842</v>
      </c>
      <c r="H2002" s="191"/>
    </row>
    <row r="2003" spans="1:8" x14ac:dyDescent="0.25">
      <c r="B2003" s="3">
        <f>SUM(B1999:B2002)</f>
        <v>1307532</v>
      </c>
      <c r="C2003" s="3">
        <f>SUM(C1999:C2002)</f>
        <v>1326679</v>
      </c>
      <c r="E2003" s="75">
        <f>C2003-B2003</f>
        <v>19147</v>
      </c>
      <c r="F2003" s="72">
        <v>43643</v>
      </c>
      <c r="G2003" s="72">
        <v>43643</v>
      </c>
      <c r="H2003" s="191"/>
    </row>
    <row r="2004" spans="1:8" x14ac:dyDescent="0.25">
      <c r="H2004" s="191"/>
    </row>
    <row r="2005" spans="1:8" x14ac:dyDescent="0.25">
      <c r="A2005" t="s">
        <v>4055</v>
      </c>
      <c r="B2005" s="3">
        <v>278756</v>
      </c>
      <c r="C2005" s="3">
        <v>448000</v>
      </c>
      <c r="D2005" s="72">
        <v>43643</v>
      </c>
      <c r="E2005" s="3" t="s">
        <v>846</v>
      </c>
      <c r="H2005" s="191"/>
    </row>
    <row r="2006" spans="1:8" x14ac:dyDescent="0.25">
      <c r="A2006" t="s">
        <v>4056</v>
      </c>
      <c r="B2006" s="3">
        <v>265590</v>
      </c>
      <c r="C2006" s="75">
        <v>19147</v>
      </c>
      <c r="D2006" s="72">
        <v>43643</v>
      </c>
      <c r="E2006" s="3" t="s">
        <v>842</v>
      </c>
    </row>
    <row r="2007" spans="1:8" x14ac:dyDescent="0.25">
      <c r="C2007" s="247">
        <v>14963</v>
      </c>
      <c r="D2007" s="72">
        <v>43636</v>
      </c>
      <c r="E2007" s="3" t="s">
        <v>842</v>
      </c>
    </row>
    <row r="2008" spans="1:8" x14ac:dyDescent="0.25">
      <c r="C2008" s="95">
        <v>32992.5</v>
      </c>
      <c r="D2008" s="72">
        <v>43634</v>
      </c>
      <c r="E2008" s="3" t="s">
        <v>842</v>
      </c>
    </row>
    <row r="2009" spans="1:8" x14ac:dyDescent="0.25">
      <c r="C2009" s="3">
        <v>3148</v>
      </c>
      <c r="D2009" s="72">
        <v>43641</v>
      </c>
      <c r="E2009" s="3" t="s">
        <v>4057</v>
      </c>
    </row>
    <row r="2010" spans="1:8" x14ac:dyDescent="0.25">
      <c r="C2010" s="3">
        <v>10100</v>
      </c>
      <c r="D2010" s="72">
        <v>43643</v>
      </c>
      <c r="E2010" s="3" t="s">
        <v>849</v>
      </c>
    </row>
    <row r="2011" spans="1:8" x14ac:dyDescent="0.25">
      <c r="C2011" s="3">
        <v>15996</v>
      </c>
      <c r="D2011" s="72">
        <v>43644</v>
      </c>
      <c r="E2011" s="3" t="s">
        <v>849</v>
      </c>
    </row>
    <row r="2012" spans="1:8" x14ac:dyDescent="0.25">
      <c r="B2012" s="3">
        <f>SUM(B2005:B2010)</f>
        <v>544346</v>
      </c>
      <c r="C2012" s="3">
        <f>SUM(C2005:C2011)</f>
        <v>544346.5</v>
      </c>
      <c r="E2012" s="3">
        <f>C2012-B2012</f>
        <v>0.5</v>
      </c>
      <c r="F2012" s="72">
        <v>43643</v>
      </c>
      <c r="G2012" s="72">
        <v>43645</v>
      </c>
    </row>
    <row r="2014" spans="1:8" x14ac:dyDescent="0.25">
      <c r="A2014" t="s">
        <v>4138</v>
      </c>
      <c r="B2014" s="3">
        <v>525027</v>
      </c>
      <c r="C2014" s="3">
        <v>463000</v>
      </c>
      <c r="D2014" s="72">
        <v>43647</v>
      </c>
      <c r="E2014" s="3" t="s">
        <v>846</v>
      </c>
    </row>
    <row r="2015" spans="1:8" x14ac:dyDescent="0.25">
      <c r="A2015" t="s">
        <v>4139</v>
      </c>
      <c r="B2015" s="3">
        <v>491958</v>
      </c>
      <c r="C2015" s="3">
        <v>500580</v>
      </c>
      <c r="D2015" s="72">
        <v>43647</v>
      </c>
      <c r="E2015" s="3" t="s">
        <v>846</v>
      </c>
    </row>
    <row r="2016" spans="1:8" x14ac:dyDescent="0.25">
      <c r="A2016" t="s">
        <v>4140</v>
      </c>
      <c r="B2016" s="3">
        <v>301245</v>
      </c>
      <c r="C2016" s="3">
        <v>436420</v>
      </c>
      <c r="D2016" s="72">
        <v>43647</v>
      </c>
      <c r="E2016" s="3" t="s">
        <v>846</v>
      </c>
    </row>
    <row r="2017" spans="1:8" x14ac:dyDescent="0.25">
      <c r="B2017" s="3">
        <f>SUM(B2014:B2016)</f>
        <v>1318230</v>
      </c>
      <c r="C2017" s="3">
        <f>SUM(C2014:C2016)</f>
        <v>1400000</v>
      </c>
      <c r="E2017" s="54">
        <f>C2017-B2017</f>
        <v>81770</v>
      </c>
      <c r="F2017" s="72">
        <v>43648</v>
      </c>
      <c r="G2017" s="72">
        <v>43650</v>
      </c>
    </row>
    <row r="2019" spans="1:8" x14ac:dyDescent="0.25">
      <c r="A2019" t="s">
        <v>4157</v>
      </c>
      <c r="B2019" s="3">
        <v>305552</v>
      </c>
      <c r="C2019" s="3">
        <v>307000</v>
      </c>
      <c r="D2019" s="72">
        <v>43649</v>
      </c>
      <c r="E2019" s="3" t="s">
        <v>846</v>
      </c>
    </row>
    <row r="2020" spans="1:8" x14ac:dyDescent="0.25">
      <c r="A2020" t="s">
        <v>4158</v>
      </c>
      <c r="B2020" s="3">
        <v>545564</v>
      </c>
      <c r="C2020" s="3">
        <v>480000</v>
      </c>
      <c r="D2020" s="72">
        <v>43649</v>
      </c>
      <c r="E2020" s="3" t="s">
        <v>846</v>
      </c>
    </row>
    <row r="2021" spans="1:8" x14ac:dyDescent="0.25">
      <c r="C2021" s="54">
        <v>81770</v>
      </c>
      <c r="D2021" s="72">
        <v>43648</v>
      </c>
      <c r="E2021" s="3" t="s">
        <v>842</v>
      </c>
    </row>
    <row r="2022" spans="1:8" x14ac:dyDescent="0.25">
      <c r="C2022" s="3">
        <v>2400</v>
      </c>
      <c r="D2022" s="72">
        <v>43648</v>
      </c>
      <c r="E2022" s="3" t="s">
        <v>4159</v>
      </c>
    </row>
    <row r="2023" spans="1:8" x14ac:dyDescent="0.25">
      <c r="C2023" s="3">
        <v>2496</v>
      </c>
      <c r="D2023" s="72">
        <v>43647</v>
      </c>
      <c r="E2023" s="3" t="s">
        <v>4160</v>
      </c>
      <c r="H2023" s="191"/>
    </row>
    <row r="2024" spans="1:8" x14ac:dyDescent="0.25">
      <c r="B2024" s="3">
        <f>SUM(B2019:B2023)</f>
        <v>851116</v>
      </c>
      <c r="C2024" s="3">
        <f>SUM(C2019:C2023)</f>
        <v>873666</v>
      </c>
      <c r="E2024" s="95">
        <f>C2024-B2024</f>
        <v>22550</v>
      </c>
      <c r="F2024" s="72">
        <v>43650</v>
      </c>
      <c r="G2024" s="72">
        <v>43650</v>
      </c>
      <c r="H2024" s="191"/>
    </row>
    <row r="2025" spans="1:8" x14ac:dyDescent="0.25">
      <c r="H2025" s="191"/>
    </row>
    <row r="2026" spans="1:8" x14ac:dyDescent="0.25">
      <c r="A2026" t="s">
        <v>4189</v>
      </c>
      <c r="B2026" s="3">
        <v>37879.54</v>
      </c>
      <c r="C2026" s="3">
        <v>352000</v>
      </c>
      <c r="D2026" s="72">
        <v>43650</v>
      </c>
      <c r="E2026" s="3" t="s">
        <v>846</v>
      </c>
      <c r="H2026" s="191"/>
    </row>
    <row r="2027" spans="1:8" x14ac:dyDescent="0.25">
      <c r="A2027" t="s">
        <v>4190</v>
      </c>
      <c r="B2027" s="3">
        <v>277587</v>
      </c>
      <c r="H2027" s="191"/>
    </row>
    <row r="2028" spans="1:8" x14ac:dyDescent="0.25">
      <c r="B2028" s="3">
        <f>SUM(B2026:B2027)</f>
        <v>315466.53999999998</v>
      </c>
      <c r="C2028" s="3">
        <f>SUM(C2026:C2027)</f>
        <v>352000</v>
      </c>
      <c r="E2028" s="63">
        <f>C2028-B2028</f>
        <v>36533.460000000021</v>
      </c>
      <c r="F2028" s="72">
        <v>43651</v>
      </c>
      <c r="G2028" s="72">
        <v>43651</v>
      </c>
      <c r="H2028" s="191"/>
    </row>
    <row r="2029" spans="1:8" x14ac:dyDescent="0.25">
      <c r="H2029" s="191"/>
    </row>
    <row r="2030" spans="1:8" x14ac:dyDescent="0.25">
      <c r="A2030" t="s">
        <v>4234</v>
      </c>
      <c r="B2030" s="3">
        <v>474990</v>
      </c>
      <c r="C2030" s="3">
        <v>500000</v>
      </c>
      <c r="D2030" s="72">
        <v>43654</v>
      </c>
      <c r="E2030" s="3" t="s">
        <v>846</v>
      </c>
      <c r="H2030" s="191"/>
    </row>
    <row r="2031" spans="1:8" x14ac:dyDescent="0.25">
      <c r="A2031" t="s">
        <v>4235</v>
      </c>
      <c r="B2031" s="3">
        <v>567758</v>
      </c>
      <c r="C2031" s="3">
        <v>500000</v>
      </c>
      <c r="D2031" s="72">
        <v>43654</v>
      </c>
      <c r="E2031" s="3" t="s">
        <v>846</v>
      </c>
      <c r="H2031" s="191"/>
    </row>
    <row r="2032" spans="1:8" x14ac:dyDescent="0.25">
      <c r="A2032" t="s">
        <v>4236</v>
      </c>
      <c r="B2032" s="3">
        <v>21810.799999999999</v>
      </c>
      <c r="C2032" s="3">
        <v>446000</v>
      </c>
      <c r="D2032" s="72">
        <v>43654</v>
      </c>
      <c r="E2032" s="3" t="s">
        <v>846</v>
      </c>
      <c r="H2032" s="191"/>
    </row>
    <row r="2033" spans="1:19" x14ac:dyDescent="0.25">
      <c r="B2033" s="3">
        <f>SUM(B2030:B2032)</f>
        <v>1064558.8</v>
      </c>
      <c r="C2033" s="3">
        <f>SUM(C2030:C2032)</f>
        <v>1446000</v>
      </c>
      <c r="E2033" s="75">
        <f>C2033-B2033</f>
        <v>381441.19999999995</v>
      </c>
      <c r="F2033" s="72">
        <v>43654</v>
      </c>
      <c r="G2033" s="72">
        <v>43655</v>
      </c>
      <c r="H2033" s="191"/>
    </row>
    <row r="2034" spans="1:19" x14ac:dyDescent="0.25">
      <c r="H2034" s="191"/>
    </row>
    <row r="2035" spans="1:19" x14ac:dyDescent="0.25">
      <c r="A2035" t="s">
        <v>4238</v>
      </c>
      <c r="B2035" s="3">
        <v>506210</v>
      </c>
      <c r="C2035" s="75">
        <v>381441.2</v>
      </c>
      <c r="D2035" s="72">
        <v>43654</v>
      </c>
      <c r="E2035" s="3" t="s">
        <v>842</v>
      </c>
    </row>
    <row r="2036" spans="1:19" x14ac:dyDescent="0.25">
      <c r="A2036" t="s">
        <v>4239</v>
      </c>
      <c r="B2036" s="3">
        <v>12300</v>
      </c>
      <c r="C2036" s="63">
        <v>36533.46</v>
      </c>
      <c r="D2036" s="72">
        <v>43651</v>
      </c>
      <c r="E2036" s="3" t="s">
        <v>842</v>
      </c>
    </row>
    <row r="2037" spans="1:19" x14ac:dyDescent="0.25">
      <c r="C2037" s="95">
        <v>22550</v>
      </c>
      <c r="D2037" s="72">
        <v>43649</v>
      </c>
      <c r="E2037" s="3" t="s">
        <v>842</v>
      </c>
    </row>
    <row r="2038" spans="1:19" x14ac:dyDescent="0.25">
      <c r="C2038" s="3">
        <v>65666</v>
      </c>
      <c r="D2038" s="72">
        <v>43652</v>
      </c>
      <c r="E2038" s="3" t="s">
        <v>4240</v>
      </c>
      <c r="J2038" t="s">
        <v>1613</v>
      </c>
      <c r="L2038" s="51">
        <v>13361.1</v>
      </c>
      <c r="M2038" s="53">
        <v>43276</v>
      </c>
      <c r="N2038" s="53">
        <v>43276</v>
      </c>
      <c r="O2038" s="51">
        <v>34765.5</v>
      </c>
      <c r="P2038" s="52" t="s">
        <v>3107</v>
      </c>
      <c r="Q2038" s="52"/>
      <c r="R2038" s="52"/>
      <c r="S2038" s="52"/>
    </row>
    <row r="2039" spans="1:19" x14ac:dyDescent="0.25">
      <c r="C2039" s="3">
        <v>12320</v>
      </c>
      <c r="D2039" s="72">
        <v>43655</v>
      </c>
      <c r="E2039" s="3" t="s">
        <v>849</v>
      </c>
      <c r="L2039" s="51">
        <v>21404.400000000001</v>
      </c>
      <c r="M2039" s="53">
        <v>43278</v>
      </c>
      <c r="N2039" s="53">
        <v>43308</v>
      </c>
    </row>
    <row r="2040" spans="1:19" x14ac:dyDescent="0.25">
      <c r="B2040" s="3">
        <f>SUM(B2035:B2039)</f>
        <v>518510</v>
      </c>
      <c r="C2040" s="3">
        <f>SUM(C2035:C2039)</f>
        <v>518510.66000000003</v>
      </c>
      <c r="E2040" s="3">
        <f>C2040-B2040</f>
        <v>0.66000000003259629</v>
      </c>
      <c r="F2040" s="72">
        <v>43655</v>
      </c>
      <c r="G2040" s="72">
        <v>43655</v>
      </c>
    </row>
    <row r="2042" spans="1:19" x14ac:dyDescent="0.25">
      <c r="A2042" t="s">
        <v>4266</v>
      </c>
      <c r="B2042" s="3">
        <v>486586</v>
      </c>
      <c r="C2042" s="3">
        <v>331000</v>
      </c>
      <c r="D2042" s="72">
        <v>43656</v>
      </c>
      <c r="E2042" s="3" t="s">
        <v>846</v>
      </c>
    </row>
    <row r="2043" spans="1:19" x14ac:dyDescent="0.25">
      <c r="C2043" s="3">
        <v>330000</v>
      </c>
      <c r="D2043" s="72">
        <v>43656</v>
      </c>
      <c r="E2043" s="3" t="s">
        <v>846</v>
      </c>
    </row>
    <row r="2044" spans="1:19" x14ac:dyDescent="0.25">
      <c r="B2044" s="3">
        <f>SUM(B2042:B2043)</f>
        <v>486586</v>
      </c>
      <c r="C2044" s="3">
        <f>SUM(C2042:C2043)</f>
        <v>661000</v>
      </c>
      <c r="E2044" s="83">
        <f>C2044-B2044</f>
        <v>174414</v>
      </c>
      <c r="F2044" s="72">
        <v>43656</v>
      </c>
      <c r="G2044" s="72">
        <v>43657</v>
      </c>
      <c r="H2044" s="191"/>
    </row>
    <row r="2046" spans="1:19" x14ac:dyDescent="0.25">
      <c r="A2046" t="s">
        <v>4298</v>
      </c>
      <c r="B2046" s="3">
        <v>302600</v>
      </c>
      <c r="C2046" s="3">
        <v>450000</v>
      </c>
      <c r="D2046" s="72">
        <v>43658</v>
      </c>
      <c r="E2046" s="3" t="s">
        <v>846</v>
      </c>
    </row>
    <row r="2047" spans="1:19" x14ac:dyDescent="0.25">
      <c r="A2047" t="s">
        <v>4299</v>
      </c>
      <c r="B2047" s="3">
        <v>307050</v>
      </c>
      <c r="C2047" s="3">
        <v>300000</v>
      </c>
      <c r="D2047" s="72">
        <v>43658</v>
      </c>
      <c r="E2047" s="3" t="s">
        <v>846</v>
      </c>
    </row>
    <row r="2048" spans="1:19" x14ac:dyDescent="0.25">
      <c r="A2048" t="s">
        <v>4300</v>
      </c>
      <c r="B2048" s="3">
        <v>279196</v>
      </c>
      <c r="C2048" s="83">
        <v>174414</v>
      </c>
      <c r="D2048" s="72">
        <v>43656</v>
      </c>
      <c r="E2048" s="3" t="s">
        <v>842</v>
      </c>
      <c r="H2048" s="191"/>
    </row>
    <row r="2049" spans="1:15" x14ac:dyDescent="0.25">
      <c r="B2049" s="3">
        <f>SUM(B2046:B2048)</f>
        <v>888846</v>
      </c>
      <c r="C2049" s="3">
        <f>SUM(C2046:C2048)</f>
        <v>924414</v>
      </c>
      <c r="E2049" s="50">
        <f>C2049-B2049</f>
        <v>35568</v>
      </c>
      <c r="F2049" s="72">
        <v>43658</v>
      </c>
      <c r="G2049" s="72">
        <v>43659</v>
      </c>
      <c r="H2049" s="191"/>
    </row>
    <row r="2050" spans="1:15" x14ac:dyDescent="0.25">
      <c r="H2050" s="191"/>
    </row>
    <row r="2051" spans="1:15" x14ac:dyDescent="0.25">
      <c r="A2051" t="s">
        <v>4350</v>
      </c>
      <c r="B2051" s="3">
        <v>564636</v>
      </c>
      <c r="C2051" s="3">
        <v>410000</v>
      </c>
      <c r="D2051" s="72">
        <v>43659</v>
      </c>
      <c r="E2051" s="3" t="s">
        <v>846</v>
      </c>
      <c r="H2051" s="191"/>
    </row>
    <row r="2052" spans="1:15" x14ac:dyDescent="0.25">
      <c r="C2052" s="3">
        <v>405000</v>
      </c>
      <c r="D2052" s="72">
        <v>43659</v>
      </c>
      <c r="E2052" s="3" t="s">
        <v>846</v>
      </c>
      <c r="H2052" s="191"/>
    </row>
    <row r="2053" spans="1:15" x14ac:dyDescent="0.25">
      <c r="B2053" s="3">
        <f>SUM(B2051:B2052)</f>
        <v>564636</v>
      </c>
      <c r="C2053" s="3">
        <f>SUM(C2051:C2052)</f>
        <v>815000</v>
      </c>
      <c r="E2053" s="189">
        <f>C2053-B2053</f>
        <v>250364</v>
      </c>
      <c r="F2053" s="72">
        <v>43659</v>
      </c>
      <c r="G2053" s="72">
        <v>43661</v>
      </c>
      <c r="H2053" s="191"/>
    </row>
    <row r="2054" spans="1:15" x14ac:dyDescent="0.25">
      <c r="H2054" s="191"/>
    </row>
    <row r="2055" spans="1:15" x14ac:dyDescent="0.25">
      <c r="A2055" t="s">
        <v>4356</v>
      </c>
      <c r="B2055" s="3">
        <v>492830</v>
      </c>
      <c r="C2055" s="3">
        <v>318867</v>
      </c>
      <c r="D2055" s="72">
        <v>43661</v>
      </c>
      <c r="E2055" s="3" t="s">
        <v>846</v>
      </c>
      <c r="H2055" s="191"/>
    </row>
    <row r="2056" spans="1:15" x14ac:dyDescent="0.25">
      <c r="C2056" s="3">
        <v>359133</v>
      </c>
      <c r="D2056" s="72">
        <v>43661</v>
      </c>
      <c r="E2056" s="3" t="s">
        <v>846</v>
      </c>
      <c r="H2056" s="191"/>
    </row>
    <row r="2057" spans="1:15" x14ac:dyDescent="0.25">
      <c r="B2057" s="3">
        <f>SUM(B2055:B2056)</f>
        <v>492830</v>
      </c>
      <c r="C2057" s="3">
        <f>SUM(C2055:C2056)</f>
        <v>678000</v>
      </c>
      <c r="E2057" s="51">
        <f>C2057-B2057</f>
        <v>185170</v>
      </c>
      <c r="F2057" s="72">
        <v>43661</v>
      </c>
      <c r="G2057" s="72">
        <v>43662</v>
      </c>
      <c r="H2057" s="191"/>
      <c r="O2057" s="72"/>
    </row>
    <row r="2058" spans="1:15" x14ac:dyDescent="0.25">
      <c r="H2058" s="191"/>
      <c r="L2058" s="3"/>
      <c r="M2058" s="72"/>
      <c r="N2058" s="72"/>
      <c r="O2058" s="72"/>
    </row>
    <row r="2059" spans="1:15" x14ac:dyDescent="0.25">
      <c r="A2059" t="s">
        <v>4364</v>
      </c>
      <c r="B2059" s="3">
        <v>488400</v>
      </c>
      <c r="C2059" s="51">
        <v>185170</v>
      </c>
      <c r="D2059" s="72">
        <v>43661</v>
      </c>
      <c r="E2059" s="3" t="s">
        <v>842</v>
      </c>
      <c r="H2059" s="191"/>
      <c r="L2059" s="3"/>
      <c r="M2059" s="72"/>
      <c r="N2059" s="72"/>
      <c r="O2059" s="72"/>
    </row>
    <row r="2060" spans="1:15" x14ac:dyDescent="0.25">
      <c r="C2060" s="189">
        <v>250364</v>
      </c>
      <c r="D2060" s="72">
        <v>43659</v>
      </c>
      <c r="E2060" s="3" t="s">
        <v>842</v>
      </c>
    </row>
    <row r="2061" spans="1:15" x14ac:dyDescent="0.25">
      <c r="C2061" s="50">
        <v>35568</v>
      </c>
      <c r="D2061" s="72">
        <v>43658</v>
      </c>
      <c r="E2061" s="3" t="s">
        <v>842</v>
      </c>
    </row>
    <row r="2062" spans="1:15" x14ac:dyDescent="0.25">
      <c r="C2062" s="3">
        <v>17300</v>
      </c>
      <c r="D2062" s="72">
        <v>43662</v>
      </c>
      <c r="E2062" s="3" t="s">
        <v>849</v>
      </c>
    </row>
    <row r="2063" spans="1:15" x14ac:dyDescent="0.25">
      <c r="B2063" s="3">
        <f>SUM(B2059:B2062)</f>
        <v>488400</v>
      </c>
      <c r="C2063" s="3">
        <f>SUM(C2059:C2062)</f>
        <v>488402</v>
      </c>
      <c r="E2063" s="3">
        <f>C2063-B2063</f>
        <v>2</v>
      </c>
      <c r="F2063" s="72">
        <v>43662</v>
      </c>
      <c r="G2063" s="72">
        <v>43664</v>
      </c>
    </row>
    <row r="2065" spans="1:14" x14ac:dyDescent="0.25">
      <c r="A2065" t="s">
        <v>4375</v>
      </c>
      <c r="B2065" s="3">
        <v>485760</v>
      </c>
      <c r="C2065" s="3">
        <v>340000</v>
      </c>
      <c r="D2065" s="72">
        <v>43663</v>
      </c>
      <c r="E2065" s="3" t="s">
        <v>846</v>
      </c>
    </row>
    <row r="2066" spans="1:14" x14ac:dyDescent="0.25">
      <c r="C2066" s="3">
        <v>335000</v>
      </c>
      <c r="D2066" s="72">
        <v>43663</v>
      </c>
      <c r="E2066" s="3" t="s">
        <v>846</v>
      </c>
    </row>
    <row r="2067" spans="1:14" x14ac:dyDescent="0.25">
      <c r="B2067" s="3">
        <f>SUM(B2065:B2066)</f>
        <v>485760</v>
      </c>
      <c r="C2067" s="3">
        <f>SUM(C2065:C2066)</f>
        <v>675000</v>
      </c>
      <c r="E2067" s="75">
        <f>C2067-B2067</f>
        <v>189240</v>
      </c>
      <c r="F2067" s="72">
        <v>43663</v>
      </c>
      <c r="G2067" s="72">
        <v>43664</v>
      </c>
      <c r="H2067" s="191"/>
    </row>
    <row r="2069" spans="1:14" x14ac:dyDescent="0.25">
      <c r="A2069" t="s">
        <v>4385</v>
      </c>
      <c r="B2069" s="3">
        <v>540705</v>
      </c>
      <c r="C2069" s="3">
        <v>334000</v>
      </c>
      <c r="D2069" s="72">
        <v>43664</v>
      </c>
      <c r="E2069" s="3" t="s">
        <v>846</v>
      </c>
    </row>
    <row r="2070" spans="1:14" x14ac:dyDescent="0.25">
      <c r="C2070" s="75">
        <v>189240</v>
      </c>
      <c r="D2070" s="72">
        <v>43663</v>
      </c>
      <c r="E2070" s="3" t="s">
        <v>842</v>
      </c>
    </row>
    <row r="2071" spans="1:14" x14ac:dyDescent="0.25">
      <c r="C2071" s="3">
        <v>17465</v>
      </c>
      <c r="D2071" s="72">
        <v>43664</v>
      </c>
      <c r="E2071" s="3" t="s">
        <v>849</v>
      </c>
    </row>
    <row r="2072" spans="1:14" x14ac:dyDescent="0.25">
      <c r="B2072" s="3">
        <f>SUM(B2069:B2071)</f>
        <v>540705</v>
      </c>
      <c r="C2072" s="3">
        <f>SUM(C2069:C2071)</f>
        <v>540705</v>
      </c>
      <c r="E2072" s="3">
        <f>C2072-B2072</f>
        <v>0</v>
      </c>
      <c r="F2072" s="72">
        <v>43664</v>
      </c>
      <c r="G2072" s="72">
        <v>43665</v>
      </c>
      <c r="J2072" t="s">
        <v>1613</v>
      </c>
      <c r="L2072" s="3">
        <v>671014.6</v>
      </c>
      <c r="M2072" s="72">
        <v>43479</v>
      </c>
      <c r="N2072" s="72">
        <v>43480</v>
      </c>
    </row>
    <row r="2073" spans="1:14" x14ac:dyDescent="0.25">
      <c r="L2073" s="3">
        <v>2969</v>
      </c>
      <c r="M2073" s="72">
        <v>43600</v>
      </c>
      <c r="N2073" s="72">
        <v>43601</v>
      </c>
    </row>
    <row r="2074" spans="1:14" x14ac:dyDescent="0.25">
      <c r="A2074" t="s">
        <v>4430</v>
      </c>
      <c r="B2074" s="3">
        <v>991690</v>
      </c>
      <c r="C2074" s="3">
        <v>397160</v>
      </c>
      <c r="D2074" s="72">
        <v>43670</v>
      </c>
      <c r="E2074" s="3" t="s">
        <v>846</v>
      </c>
    </row>
    <row r="2075" spans="1:14" x14ac:dyDescent="0.25">
      <c r="A2075" t="s">
        <v>4431</v>
      </c>
      <c r="B2075" s="3">
        <v>543024</v>
      </c>
      <c r="C2075" s="3">
        <v>496862</v>
      </c>
      <c r="D2075" s="72">
        <v>43670</v>
      </c>
      <c r="E2075" s="3" t="s">
        <v>846</v>
      </c>
    </row>
    <row r="2076" spans="1:14" x14ac:dyDescent="0.25">
      <c r="C2076" s="3">
        <v>435378</v>
      </c>
      <c r="D2076" s="72">
        <v>43670</v>
      </c>
      <c r="E2076" s="3" t="s">
        <v>846</v>
      </c>
    </row>
    <row r="2077" spans="1:14" x14ac:dyDescent="0.25">
      <c r="C2077" s="3">
        <v>496600</v>
      </c>
      <c r="D2077" s="72">
        <v>43670</v>
      </c>
      <c r="E2077" s="3" t="s">
        <v>846</v>
      </c>
    </row>
    <row r="2078" spans="1:14" x14ac:dyDescent="0.25">
      <c r="B2078" s="3">
        <f>SUM(B2074:B2076)</f>
        <v>1534714</v>
      </c>
      <c r="C2078" s="3">
        <f>SUM(C2074:C2077)</f>
        <v>1826000</v>
      </c>
      <c r="E2078" s="83">
        <f>C2078-B2078</f>
        <v>291286</v>
      </c>
      <c r="F2078" s="72">
        <v>43669</v>
      </c>
      <c r="G2078" s="72">
        <v>43671</v>
      </c>
    </row>
    <row r="2080" spans="1:14" x14ac:dyDescent="0.25">
      <c r="A2080" t="s">
        <v>4464</v>
      </c>
      <c r="B2080" s="3">
        <v>559872</v>
      </c>
      <c r="C2080" s="3">
        <v>441000</v>
      </c>
      <c r="D2080" s="72">
        <v>43671</v>
      </c>
      <c r="E2080" s="3" t="s">
        <v>846</v>
      </c>
    </row>
    <row r="2081" spans="1:8" x14ac:dyDescent="0.25">
      <c r="A2081" t="s">
        <v>4465</v>
      </c>
      <c r="B2081" s="3">
        <v>37803.480000000003</v>
      </c>
      <c r="C2081" s="83">
        <v>291286</v>
      </c>
      <c r="D2081" s="72">
        <v>43669</v>
      </c>
      <c r="E2081" s="3" t="s">
        <v>842</v>
      </c>
    </row>
    <row r="2082" spans="1:8" x14ac:dyDescent="0.25">
      <c r="A2082" t="s">
        <v>4466</v>
      </c>
      <c r="B2082" s="3">
        <v>36193.56</v>
      </c>
    </row>
    <row r="2083" spans="1:8" x14ac:dyDescent="0.25">
      <c r="B2083" s="3">
        <f>SUM(B2080:B2082)</f>
        <v>633869.04</v>
      </c>
      <c r="C2083" s="3">
        <f>SUM(C2080:C2082)</f>
        <v>732286</v>
      </c>
      <c r="E2083" s="54">
        <f>C2083-B2083</f>
        <v>98416.959999999963</v>
      </c>
      <c r="F2083" s="72">
        <v>43671</v>
      </c>
      <c r="G2083" s="72">
        <v>43672</v>
      </c>
      <c r="H2083" s="191"/>
    </row>
    <row r="2085" spans="1:8" x14ac:dyDescent="0.25">
      <c r="A2085" t="s">
        <v>4483</v>
      </c>
      <c r="B2085" s="3">
        <v>505141</v>
      </c>
      <c r="C2085" s="54">
        <v>98416.960000000006</v>
      </c>
      <c r="D2085" s="72">
        <v>43671</v>
      </c>
      <c r="E2085" s="3" t="s">
        <v>842</v>
      </c>
    </row>
    <row r="2086" spans="1:8" x14ac:dyDescent="0.25">
      <c r="C2086" s="3">
        <v>458000</v>
      </c>
      <c r="D2086" s="72">
        <v>43672</v>
      </c>
      <c r="E2086" s="3" t="s">
        <v>846</v>
      </c>
    </row>
    <row r="2087" spans="1:8" x14ac:dyDescent="0.25">
      <c r="B2087" s="3">
        <f>SUM(B2085:B2086)</f>
        <v>505141</v>
      </c>
      <c r="C2087" s="3">
        <f>SUM(C2085:C2086)</f>
        <v>556416.96</v>
      </c>
      <c r="E2087" s="83">
        <f>C2087-B2087</f>
        <v>51275.959999999963</v>
      </c>
      <c r="F2087" s="72">
        <v>43672</v>
      </c>
      <c r="G2087" s="72">
        <v>43672</v>
      </c>
      <c r="H2087" s="191"/>
    </row>
    <row r="2088" spans="1:8" x14ac:dyDescent="0.25">
      <c r="H2088" s="191"/>
    </row>
    <row r="2089" spans="1:8" x14ac:dyDescent="0.25">
      <c r="A2089" t="s">
        <v>4500</v>
      </c>
      <c r="B2089" s="3">
        <v>259616</v>
      </c>
      <c r="C2089" s="3">
        <v>337319</v>
      </c>
      <c r="D2089" s="72">
        <v>43675</v>
      </c>
      <c r="E2089" s="3" t="s">
        <v>846</v>
      </c>
      <c r="H2089" s="191"/>
    </row>
    <row r="2090" spans="1:8" x14ac:dyDescent="0.25">
      <c r="A2090" t="s">
        <v>4501</v>
      </c>
      <c r="B2090" s="3">
        <v>554226</v>
      </c>
      <c r="C2090" s="3">
        <v>302081</v>
      </c>
      <c r="D2090" s="72">
        <v>43675</v>
      </c>
      <c r="E2090" s="3" t="s">
        <v>846</v>
      </c>
      <c r="H2090" s="191"/>
    </row>
    <row r="2091" spans="1:8" x14ac:dyDescent="0.25">
      <c r="C2091" s="3">
        <v>330600</v>
      </c>
      <c r="D2091" s="72">
        <v>43675</v>
      </c>
      <c r="E2091" s="3" t="s">
        <v>846</v>
      </c>
      <c r="H2091" s="191"/>
    </row>
    <row r="2092" spans="1:8" x14ac:dyDescent="0.25">
      <c r="B2092" s="3">
        <f>SUM(B2089:B2091)</f>
        <v>813842</v>
      </c>
      <c r="C2092" s="3">
        <f>SUM(C2089:C2091)</f>
        <v>970000</v>
      </c>
      <c r="E2092" s="75">
        <f>C2092-B2092</f>
        <v>156158</v>
      </c>
      <c r="F2092" s="72">
        <v>43675</v>
      </c>
      <c r="G2092" s="72">
        <v>43675</v>
      </c>
      <c r="H2092" s="191"/>
    </row>
    <row r="2093" spans="1:8" x14ac:dyDescent="0.25">
      <c r="H2093" s="191"/>
    </row>
    <row r="2094" spans="1:8" x14ac:dyDescent="0.25">
      <c r="A2094" t="s">
        <v>4543</v>
      </c>
      <c r="B2094" s="3">
        <v>572970</v>
      </c>
      <c r="C2094" s="3">
        <v>420000</v>
      </c>
      <c r="D2094" s="72">
        <v>43677</v>
      </c>
      <c r="E2094" s="3" t="s">
        <v>846</v>
      </c>
      <c r="H2094" s="191"/>
    </row>
    <row r="2095" spans="1:8" x14ac:dyDescent="0.25">
      <c r="C2095" s="75">
        <v>156158</v>
      </c>
      <c r="D2095" s="72">
        <v>43675</v>
      </c>
      <c r="E2095" s="3" t="s">
        <v>842</v>
      </c>
      <c r="H2095" s="191"/>
    </row>
    <row r="2096" spans="1:8" x14ac:dyDescent="0.25">
      <c r="B2096" s="3">
        <f>SUM(B2094:B2095)</f>
        <v>572970</v>
      </c>
      <c r="C2096" s="3">
        <f>SUM(C2094:C2095)</f>
        <v>576158</v>
      </c>
      <c r="E2096" s="54">
        <f>C2096-B2096</f>
        <v>3188</v>
      </c>
      <c r="F2096" s="72">
        <v>43677</v>
      </c>
      <c r="G2096" s="72">
        <v>43678</v>
      </c>
      <c r="H2096" s="191"/>
    </row>
    <row r="2097" spans="1:8" x14ac:dyDescent="0.25">
      <c r="H2097" s="191"/>
    </row>
    <row r="2099" spans="1:8" x14ac:dyDescent="0.25">
      <c r="A2099" t="s">
        <v>4573</v>
      </c>
      <c r="B2099" s="3">
        <v>261564</v>
      </c>
      <c r="C2099" s="3">
        <v>375000</v>
      </c>
      <c r="D2099" s="72">
        <v>43678</v>
      </c>
      <c r="E2099" s="3" t="s">
        <v>846</v>
      </c>
      <c r="F2099" s="72"/>
      <c r="G2099" s="72"/>
    </row>
    <row r="2100" spans="1:8" x14ac:dyDescent="0.25">
      <c r="A2100" t="s">
        <v>4574</v>
      </c>
      <c r="B2100" s="3">
        <v>261020</v>
      </c>
      <c r="C2100" s="54">
        <v>3188</v>
      </c>
      <c r="D2100" s="72">
        <v>43677</v>
      </c>
      <c r="E2100" s="3" t="s">
        <v>842</v>
      </c>
    </row>
    <row r="2101" spans="1:8" x14ac:dyDescent="0.25">
      <c r="C2101" s="83">
        <v>51275.96</v>
      </c>
      <c r="D2101" s="72">
        <v>43672</v>
      </c>
      <c r="E2101" s="3" t="s">
        <v>842</v>
      </c>
    </row>
    <row r="2102" spans="1:8" x14ac:dyDescent="0.25">
      <c r="C2102" s="3">
        <v>60000</v>
      </c>
      <c r="D2102" s="72">
        <v>43676</v>
      </c>
    </row>
    <row r="2103" spans="1:8" x14ac:dyDescent="0.25">
      <c r="C2103" s="3">
        <v>33120</v>
      </c>
      <c r="D2103" s="72">
        <v>43678</v>
      </c>
      <c r="E2103" s="3" t="s">
        <v>849</v>
      </c>
    </row>
    <row r="2105" spans="1:8" x14ac:dyDescent="0.25">
      <c r="B2105" s="3">
        <f>SUM(B2099:B2104)</f>
        <v>522584</v>
      </c>
      <c r="C2105" s="3">
        <f>SUM(C2099:C2104)</f>
        <v>522583.96</v>
      </c>
      <c r="E2105" s="193">
        <f>C2105-B2105</f>
        <v>-3.9999999979045242E-2</v>
      </c>
      <c r="F2105" s="72">
        <v>43678</v>
      </c>
      <c r="G2105" s="72">
        <v>43678</v>
      </c>
    </row>
    <row r="2108" spans="1:8" x14ac:dyDescent="0.25">
      <c r="A2108" t="s">
        <v>4670</v>
      </c>
      <c r="B2108" s="3">
        <v>533551.5</v>
      </c>
      <c r="C2108" s="3">
        <v>72327</v>
      </c>
      <c r="D2108" s="72">
        <v>43682</v>
      </c>
      <c r="E2108" s="3" t="s">
        <v>1445</v>
      </c>
    </row>
    <row r="2109" spans="1:8" x14ac:dyDescent="0.25">
      <c r="A2109" t="s">
        <v>4671</v>
      </c>
      <c r="B2109" s="3">
        <v>511560</v>
      </c>
      <c r="C2109" s="3">
        <v>322000</v>
      </c>
      <c r="D2109" s="72">
        <v>43682</v>
      </c>
      <c r="E2109" s="3" t="s">
        <v>846</v>
      </c>
    </row>
    <row r="2110" spans="1:8" x14ac:dyDescent="0.25">
      <c r="C2110" s="3">
        <v>312000</v>
      </c>
      <c r="D2110" s="72">
        <v>43682</v>
      </c>
      <c r="E2110" s="3" t="s">
        <v>846</v>
      </c>
    </row>
    <row r="2111" spans="1:8" x14ac:dyDescent="0.25">
      <c r="C2111" s="3">
        <v>338000</v>
      </c>
      <c r="D2111" s="72">
        <v>43682</v>
      </c>
      <c r="E2111" s="3" t="s">
        <v>846</v>
      </c>
    </row>
    <row r="2112" spans="1:8" x14ac:dyDescent="0.25">
      <c r="C2112" s="3">
        <v>784.5</v>
      </c>
      <c r="D2112" s="72">
        <v>43682</v>
      </c>
      <c r="E2112" s="3" t="s">
        <v>849</v>
      </c>
      <c r="F2112" s="72"/>
      <c r="G2112" s="72"/>
    </row>
    <row r="2114" spans="1:7" x14ac:dyDescent="0.25">
      <c r="B2114" s="3">
        <f>SUM(B2108:B2113)</f>
        <v>1045111.5</v>
      </c>
      <c r="C2114" s="3">
        <f>SUM(C2108:C2113)</f>
        <v>1045111.5</v>
      </c>
      <c r="E2114" s="193">
        <f>C2114-B2114</f>
        <v>0</v>
      </c>
      <c r="F2114" s="72">
        <v>43682</v>
      </c>
      <c r="G2114" s="72">
        <v>43682</v>
      </c>
    </row>
    <row r="2117" spans="1:7" x14ac:dyDescent="0.25">
      <c r="A2117" t="s">
        <v>4683</v>
      </c>
      <c r="B2117" s="3">
        <v>504057</v>
      </c>
      <c r="C2117" s="3">
        <v>39974</v>
      </c>
      <c r="D2117" s="72">
        <v>43683</v>
      </c>
      <c r="E2117" s="3" t="s">
        <v>4684</v>
      </c>
    </row>
    <row r="2118" spans="1:7" x14ac:dyDescent="0.25">
      <c r="C2118" s="3">
        <v>464000</v>
      </c>
      <c r="D2118" s="72">
        <v>43683</v>
      </c>
      <c r="E2118" s="3" t="s">
        <v>846</v>
      </c>
    </row>
    <row r="2119" spans="1:7" x14ac:dyDescent="0.25">
      <c r="C2119" s="3">
        <v>83</v>
      </c>
      <c r="D2119" s="72">
        <v>43683</v>
      </c>
      <c r="E2119" s="3" t="s">
        <v>849</v>
      </c>
    </row>
    <row r="2121" spans="1:7" x14ac:dyDescent="0.25">
      <c r="B2121" s="3">
        <f>SUM(B2117:B2120)</f>
        <v>504057</v>
      </c>
      <c r="C2121" s="3">
        <f>SUM(C2117:C2120)</f>
        <v>504057</v>
      </c>
      <c r="E2121" s="193">
        <f>C2121-B2121</f>
        <v>0</v>
      </c>
      <c r="F2121" s="72">
        <v>43683</v>
      </c>
      <c r="G2121" s="72">
        <v>43684</v>
      </c>
    </row>
    <row r="2124" spans="1:7" x14ac:dyDescent="0.25">
      <c r="A2124" t="s">
        <v>4685</v>
      </c>
      <c r="B2124" s="3">
        <v>263760</v>
      </c>
      <c r="C2124" s="3">
        <v>263000</v>
      </c>
      <c r="D2124" s="72">
        <v>43683</v>
      </c>
      <c r="E2124" s="3" t="s">
        <v>846</v>
      </c>
    </row>
    <row r="2125" spans="1:7" x14ac:dyDescent="0.25">
      <c r="C2125" s="3">
        <v>760</v>
      </c>
      <c r="D2125" s="72">
        <v>43683</v>
      </c>
      <c r="E2125" s="3" t="s">
        <v>849</v>
      </c>
    </row>
    <row r="2127" spans="1:7" x14ac:dyDescent="0.25">
      <c r="B2127" s="3">
        <f>SUM(B2124:B2126)</f>
        <v>263760</v>
      </c>
      <c r="C2127" s="3">
        <f>SUM(C2124:C2126)</f>
        <v>263760</v>
      </c>
      <c r="E2127" s="193">
        <f>C2127-B2127</f>
        <v>0</v>
      </c>
      <c r="F2127" s="72">
        <v>43683</v>
      </c>
      <c r="G2127" s="72">
        <v>43684</v>
      </c>
    </row>
    <row r="2130" spans="1:7" x14ac:dyDescent="0.25">
      <c r="A2130" t="s">
        <v>4724</v>
      </c>
      <c r="B2130" s="3">
        <v>8790.6</v>
      </c>
      <c r="C2130" s="3">
        <v>6962</v>
      </c>
      <c r="D2130" s="72">
        <v>43686</v>
      </c>
      <c r="E2130" s="3" t="s">
        <v>4727</v>
      </c>
    </row>
    <row r="2131" spans="1:7" x14ac:dyDescent="0.25">
      <c r="A2131" t="s">
        <v>4725</v>
      </c>
      <c r="B2131" s="3">
        <v>457967</v>
      </c>
      <c r="C2131" s="3">
        <v>15246</v>
      </c>
      <c r="D2131" s="72">
        <v>43687</v>
      </c>
      <c r="E2131" s="3" t="s">
        <v>4726</v>
      </c>
    </row>
    <row r="2132" spans="1:7" x14ac:dyDescent="0.25">
      <c r="C2132" s="3">
        <v>444000</v>
      </c>
      <c r="D2132" s="72">
        <v>43687</v>
      </c>
      <c r="E2132" s="3" t="s">
        <v>846</v>
      </c>
    </row>
    <row r="2133" spans="1:7" x14ac:dyDescent="0.25">
      <c r="C2133" s="3">
        <v>549</v>
      </c>
      <c r="D2133" s="72">
        <v>43687</v>
      </c>
      <c r="E2133" s="3" t="s">
        <v>849</v>
      </c>
    </row>
    <row r="2135" spans="1:7" x14ac:dyDescent="0.25">
      <c r="B2135" s="3">
        <f>SUM(B2130:B2134)</f>
        <v>466757.6</v>
      </c>
      <c r="C2135" s="3">
        <f>SUM(C2130:C2134)</f>
        <v>466757</v>
      </c>
      <c r="E2135" s="193">
        <f>C2135-B2135</f>
        <v>-0.59999999997671694</v>
      </c>
      <c r="F2135" s="72">
        <v>43687</v>
      </c>
      <c r="G2135" s="72">
        <v>43687</v>
      </c>
    </row>
    <row r="2138" spans="1:7" x14ac:dyDescent="0.25">
      <c r="A2138" t="s">
        <v>4728</v>
      </c>
      <c r="B2138" s="3">
        <v>249480</v>
      </c>
      <c r="C2138" s="3">
        <v>1680</v>
      </c>
      <c r="D2138" s="72">
        <v>43684</v>
      </c>
      <c r="E2138" s="3" t="s">
        <v>4731</v>
      </c>
    </row>
    <row r="2139" spans="1:7" x14ac:dyDescent="0.25">
      <c r="A2139" t="s">
        <v>4729</v>
      </c>
      <c r="B2139" s="3">
        <v>273607</v>
      </c>
      <c r="C2139" s="3">
        <v>22318</v>
      </c>
      <c r="D2139" s="72">
        <v>43684</v>
      </c>
      <c r="E2139" s="3" t="s">
        <v>1451</v>
      </c>
    </row>
    <row r="2140" spans="1:7" x14ac:dyDescent="0.25">
      <c r="C2140" s="3">
        <v>5787</v>
      </c>
      <c r="D2140" s="72">
        <v>43684</v>
      </c>
      <c r="E2140" s="3" t="s">
        <v>4730</v>
      </c>
    </row>
    <row r="2141" spans="1:7" x14ac:dyDescent="0.25">
      <c r="C2141" s="3">
        <v>16778</v>
      </c>
      <c r="D2141" s="72">
        <v>43685</v>
      </c>
      <c r="E2141" s="3" t="s">
        <v>4732</v>
      </c>
    </row>
    <row r="2142" spans="1:7" x14ac:dyDescent="0.25">
      <c r="C2142" s="3">
        <v>12069</v>
      </c>
      <c r="D2142" s="72">
        <v>43685</v>
      </c>
      <c r="E2142" s="3" t="s">
        <v>4733</v>
      </c>
    </row>
    <row r="2143" spans="1:7" x14ac:dyDescent="0.25">
      <c r="C2143" s="3">
        <v>464000</v>
      </c>
      <c r="D2143" s="72">
        <v>43686</v>
      </c>
      <c r="E2143" s="3" t="s">
        <v>846</v>
      </c>
    </row>
    <row r="2144" spans="1:7" x14ac:dyDescent="0.25">
      <c r="C2144" s="3">
        <v>455</v>
      </c>
      <c r="D2144" s="72">
        <v>43687</v>
      </c>
      <c r="E2144" s="3" t="s">
        <v>849</v>
      </c>
    </row>
    <row r="2146" spans="1:7" x14ac:dyDescent="0.25">
      <c r="B2146" s="3">
        <f>SUM(B2138:B2145)</f>
        <v>523087</v>
      </c>
      <c r="C2146" s="3">
        <f>SUM(C2138:C2145)</f>
        <v>523087</v>
      </c>
      <c r="E2146" s="193">
        <f>C2146-B2146</f>
        <v>0</v>
      </c>
      <c r="F2146" s="72">
        <v>43687</v>
      </c>
      <c r="G2146" s="72">
        <v>43687</v>
      </c>
    </row>
    <row r="2149" spans="1:7" x14ac:dyDescent="0.25">
      <c r="A2149" t="s">
        <v>4742</v>
      </c>
      <c r="B2149" s="3">
        <v>502253</v>
      </c>
      <c r="C2149" s="3">
        <v>502000</v>
      </c>
      <c r="D2149" s="72">
        <v>43689</v>
      </c>
      <c r="E2149" s="3" t="s">
        <v>846</v>
      </c>
      <c r="F2149" s="191"/>
      <c r="G2149" s="191"/>
    </row>
    <row r="2150" spans="1:7" x14ac:dyDescent="0.25">
      <c r="C2150" s="3">
        <v>253</v>
      </c>
      <c r="D2150" s="72">
        <v>43689</v>
      </c>
      <c r="E2150" s="3" t="s">
        <v>849</v>
      </c>
    </row>
    <row r="2152" spans="1:7" x14ac:dyDescent="0.25">
      <c r="B2152" s="3">
        <f>SUM(B2149:B2151)</f>
        <v>502253</v>
      </c>
      <c r="C2152" s="3">
        <f>SUM(C2149:C2151)</f>
        <v>502253</v>
      </c>
      <c r="E2152" s="193">
        <f>C2152-B2152</f>
        <v>0</v>
      </c>
      <c r="F2152" s="72">
        <v>43689</v>
      </c>
      <c r="G2152" s="72">
        <v>43689</v>
      </c>
    </row>
    <row r="2155" spans="1:7" x14ac:dyDescent="0.25">
      <c r="A2155" t="s">
        <v>4759</v>
      </c>
      <c r="B2155" s="3">
        <v>493500</v>
      </c>
      <c r="C2155" s="3">
        <v>83572</v>
      </c>
      <c r="D2155" s="72">
        <v>43689</v>
      </c>
      <c r="E2155" s="3" t="s">
        <v>4760</v>
      </c>
    </row>
    <row r="2156" spans="1:7" x14ac:dyDescent="0.25">
      <c r="C2156" s="3">
        <v>3725</v>
      </c>
      <c r="D2156" s="72">
        <v>43689</v>
      </c>
      <c r="E2156" s="3" t="s">
        <v>4761</v>
      </c>
    </row>
    <row r="2157" spans="1:7" x14ac:dyDescent="0.25">
      <c r="C2157" s="3">
        <v>406000</v>
      </c>
      <c r="D2157" s="72">
        <v>43690</v>
      </c>
      <c r="E2157" s="3" t="s">
        <v>846</v>
      </c>
    </row>
    <row r="2158" spans="1:7" x14ac:dyDescent="0.25">
      <c r="C2158" s="3">
        <v>203</v>
      </c>
      <c r="D2158" s="72">
        <v>43690</v>
      </c>
      <c r="E2158" s="3" t="s">
        <v>849</v>
      </c>
    </row>
    <row r="2161" spans="1:7" x14ac:dyDescent="0.25">
      <c r="B2161" s="3">
        <f>SUM(B2155:B2160)</f>
        <v>493500</v>
      </c>
      <c r="C2161" s="3">
        <f>SUM(C2155:C2160)</f>
        <v>493500</v>
      </c>
      <c r="E2161" s="193">
        <f>C2161-B2161</f>
        <v>0</v>
      </c>
      <c r="F2161" s="72">
        <v>43690</v>
      </c>
      <c r="G2161" s="72">
        <v>43691</v>
      </c>
    </row>
    <row r="2164" spans="1:7" x14ac:dyDescent="0.25">
      <c r="A2164" t="s">
        <v>4776</v>
      </c>
      <c r="B2164" s="3">
        <v>525420</v>
      </c>
      <c r="C2164" s="3">
        <v>29352</v>
      </c>
      <c r="D2164" s="72">
        <v>43690</v>
      </c>
      <c r="E2164" s="3" t="s">
        <v>4777</v>
      </c>
    </row>
    <row r="2165" spans="1:7" x14ac:dyDescent="0.25">
      <c r="C2165" s="3">
        <v>29208</v>
      </c>
      <c r="D2165" s="72">
        <v>43691</v>
      </c>
      <c r="E2165" s="3" t="s">
        <v>4778</v>
      </c>
    </row>
    <row r="2166" spans="1:7" x14ac:dyDescent="0.25">
      <c r="C2166" s="3">
        <v>466000</v>
      </c>
      <c r="D2166" s="72">
        <v>43691</v>
      </c>
      <c r="E2166" s="3" t="s">
        <v>846</v>
      </c>
    </row>
    <row r="2167" spans="1:7" x14ac:dyDescent="0.25">
      <c r="C2167" s="3">
        <v>860</v>
      </c>
      <c r="D2167" s="72">
        <v>43691</v>
      </c>
      <c r="E2167" s="3" t="s">
        <v>849</v>
      </c>
    </row>
    <row r="2169" spans="1:7" x14ac:dyDescent="0.25">
      <c r="B2169" s="3">
        <f>SUM(B2164:B2168)</f>
        <v>525420</v>
      </c>
      <c r="C2169" s="3">
        <f>SUM(C2164:C2168)</f>
        <v>525420</v>
      </c>
      <c r="E2169" s="193">
        <f>C2169-B2169</f>
        <v>0</v>
      </c>
      <c r="F2169" t="s">
        <v>4779</v>
      </c>
      <c r="G2169" s="72">
        <v>43692</v>
      </c>
    </row>
    <row r="2172" spans="1:7" x14ac:dyDescent="0.25">
      <c r="A2172" t="s">
        <v>4786</v>
      </c>
      <c r="B2172" s="3">
        <v>255590</v>
      </c>
      <c r="C2172" s="3">
        <v>255000</v>
      </c>
      <c r="D2172" s="72">
        <v>43692</v>
      </c>
      <c r="E2172" s="3" t="s">
        <v>846</v>
      </c>
    </row>
    <row r="2173" spans="1:7" x14ac:dyDescent="0.25">
      <c r="C2173" s="3">
        <v>590</v>
      </c>
      <c r="D2173" s="72">
        <v>43692</v>
      </c>
      <c r="E2173" s="3" t="s">
        <v>849</v>
      </c>
    </row>
    <row r="2175" spans="1:7" x14ac:dyDescent="0.25">
      <c r="B2175" s="3">
        <f>SUM(B2172:B2174)</f>
        <v>255590</v>
      </c>
      <c r="C2175" s="3">
        <f>SUM(C2172:C2174)</f>
        <v>255590</v>
      </c>
      <c r="E2175" s="193">
        <f>C2175-B2175</f>
        <v>0</v>
      </c>
      <c r="F2175" s="72">
        <v>43692</v>
      </c>
    </row>
    <row r="2178" spans="1:7" x14ac:dyDescent="0.25">
      <c r="A2178" t="s">
        <v>4795</v>
      </c>
      <c r="B2178" s="3">
        <v>426060</v>
      </c>
      <c r="C2178" s="3">
        <v>16583</v>
      </c>
      <c r="D2178" s="72">
        <v>43692</v>
      </c>
      <c r="E2178" s="3" t="s">
        <v>4796</v>
      </c>
    </row>
    <row r="2179" spans="1:7" x14ac:dyDescent="0.25">
      <c r="C2179" s="3">
        <v>67101</v>
      </c>
      <c r="D2179" s="72">
        <v>43692</v>
      </c>
      <c r="E2179" s="3" t="s">
        <v>4797</v>
      </c>
    </row>
    <row r="2180" spans="1:7" x14ac:dyDescent="0.25">
      <c r="C2180" s="3">
        <v>77304</v>
      </c>
      <c r="D2180" s="72">
        <v>43693</v>
      </c>
      <c r="E2180" s="3" t="s">
        <v>4798</v>
      </c>
    </row>
    <row r="2181" spans="1:7" x14ac:dyDescent="0.25">
      <c r="C2181" s="193">
        <v>265000</v>
      </c>
      <c r="D2181" s="210">
        <v>43693</v>
      </c>
      <c r="E2181" s="193" t="s">
        <v>846</v>
      </c>
      <c r="F2181" s="191"/>
    </row>
    <row r="2182" spans="1:7" x14ac:dyDescent="0.25">
      <c r="C2182" s="3">
        <v>72</v>
      </c>
      <c r="D2182" s="72">
        <v>43693</v>
      </c>
      <c r="E2182" s="3" t="s">
        <v>849</v>
      </c>
    </row>
    <row r="2184" spans="1:7" x14ac:dyDescent="0.25">
      <c r="B2184" s="3">
        <f>SUM(B2178:B2183)</f>
        <v>426060</v>
      </c>
      <c r="C2184" s="3">
        <f>SUM(C2178:C2183)</f>
        <v>426060</v>
      </c>
      <c r="E2184" s="193">
        <f>C2184-B2184</f>
        <v>0</v>
      </c>
      <c r="F2184" s="72">
        <v>43693</v>
      </c>
      <c r="G2184" s="72">
        <v>43694</v>
      </c>
    </row>
    <row r="2187" spans="1:7" x14ac:dyDescent="0.25">
      <c r="A2187" t="s">
        <v>4801</v>
      </c>
      <c r="B2187" s="3">
        <v>284950</v>
      </c>
      <c r="C2187" s="193">
        <v>284000</v>
      </c>
      <c r="D2187" s="210">
        <v>43694</v>
      </c>
      <c r="E2187" s="193" t="s">
        <v>846</v>
      </c>
      <c r="F2187" s="191"/>
    </row>
    <row r="2188" spans="1:7" x14ac:dyDescent="0.25">
      <c r="C2188" s="3">
        <v>950</v>
      </c>
      <c r="D2188" s="72">
        <v>43694</v>
      </c>
      <c r="E2188" s="3" t="s">
        <v>849</v>
      </c>
    </row>
    <row r="2190" spans="1:7" x14ac:dyDescent="0.25">
      <c r="B2190" s="3">
        <f>SUM(B2187:B2189)</f>
        <v>284950</v>
      </c>
      <c r="C2190" s="3">
        <f>SUM(C2187:C2189)</f>
        <v>284950</v>
      </c>
      <c r="E2190" s="193">
        <f>C2190-B2190</f>
        <v>0</v>
      </c>
      <c r="F2190" s="72">
        <v>43694</v>
      </c>
      <c r="G2190" s="72">
        <v>43678</v>
      </c>
    </row>
    <row r="2192" spans="1:7" x14ac:dyDescent="0.25">
      <c r="A2192" t="s">
        <v>4817</v>
      </c>
      <c r="B2192" s="3">
        <v>471420</v>
      </c>
      <c r="C2192" s="3">
        <v>414000</v>
      </c>
      <c r="D2192" s="72">
        <v>43696</v>
      </c>
      <c r="E2192" s="3" t="s">
        <v>846</v>
      </c>
    </row>
    <row r="2193" spans="2:7" x14ac:dyDescent="0.25">
      <c r="C2193" s="3">
        <v>56819</v>
      </c>
      <c r="D2193" s="72">
        <v>43694</v>
      </c>
      <c r="E2193" s="3" t="s">
        <v>4818</v>
      </c>
    </row>
    <row r="2194" spans="2:7" x14ac:dyDescent="0.25">
      <c r="C2194" s="3">
        <v>601</v>
      </c>
      <c r="D2194" s="72">
        <v>43696</v>
      </c>
      <c r="E2194" s="3" t="s">
        <v>849</v>
      </c>
    </row>
    <row r="2195" spans="2:7" x14ac:dyDescent="0.25">
      <c r="B2195" s="3">
        <f>SUM(B2192:B2194)</f>
        <v>471420</v>
      </c>
      <c r="C2195" s="3">
        <f>SUM(C2192:C2194)</f>
        <v>471420</v>
      </c>
      <c r="E2195" s="193">
        <f>C2195-B2195</f>
        <v>0</v>
      </c>
      <c r="F2195" s="72">
        <v>43696</v>
      </c>
      <c r="G2195" s="72">
        <v>43696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O3:V8"/>
  <sheetViews>
    <sheetView workbookViewId="0">
      <selection activeCell="T9" sqref="T9"/>
    </sheetView>
  </sheetViews>
  <sheetFormatPr baseColWidth="10" defaultRowHeight="15" x14ac:dyDescent="0.25"/>
  <cols>
    <col min="20" max="20" width="12.5703125" style="3" bestFit="1" customWidth="1"/>
  </cols>
  <sheetData>
    <row r="3" spans="15:22" x14ac:dyDescent="0.25">
      <c r="O3" t="s">
        <v>3354</v>
      </c>
      <c r="T3" s="3">
        <v>101233</v>
      </c>
    </row>
    <row r="4" spans="15:22" x14ac:dyDescent="0.25">
      <c r="O4" t="s">
        <v>3355</v>
      </c>
      <c r="T4" s="3">
        <v>25000</v>
      </c>
      <c r="U4" s="72">
        <v>43587</v>
      </c>
    </row>
    <row r="5" spans="15:22" x14ac:dyDescent="0.25">
      <c r="T5" s="3">
        <f>SUM(T3:T4)</f>
        <v>126233</v>
      </c>
    </row>
    <row r="7" spans="15:22" x14ac:dyDescent="0.25">
      <c r="O7" t="s">
        <v>3356</v>
      </c>
      <c r="T7" s="3">
        <v>4196</v>
      </c>
      <c r="U7" s="72">
        <v>43585</v>
      </c>
      <c r="V7" t="s">
        <v>3357</v>
      </c>
    </row>
    <row r="8" spans="15:22" x14ac:dyDescent="0.25">
      <c r="O8" t="s">
        <v>3358</v>
      </c>
      <c r="T8" s="3" t="s">
        <v>3359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BBC6-CEB5-4781-8D60-AB85240946B6}">
  <dimension ref="A2:C2"/>
  <sheetViews>
    <sheetView workbookViewId="0">
      <selection activeCell="E18" sqref="E18"/>
    </sheetView>
  </sheetViews>
  <sheetFormatPr baseColWidth="10" defaultRowHeight="15" x14ac:dyDescent="0.25"/>
  <sheetData>
    <row r="2" spans="1:3" x14ac:dyDescent="0.25">
      <c r="A2" t="s">
        <v>3953</v>
      </c>
      <c r="C2">
        <v>18620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91"/>
  <sheetViews>
    <sheetView zoomScale="80" zoomScaleNormal="80" workbookViewId="0">
      <selection activeCell="D43" sqref="D43"/>
    </sheetView>
  </sheetViews>
  <sheetFormatPr baseColWidth="10" defaultRowHeight="15" x14ac:dyDescent="0.25"/>
  <cols>
    <col min="1" max="1" width="4" customWidth="1"/>
    <col min="2" max="2" width="16.5703125" customWidth="1"/>
    <col min="3" max="3" width="13.5703125" customWidth="1"/>
    <col min="4" max="4" width="18.85546875" bestFit="1" customWidth="1"/>
    <col min="9" max="9" width="11.140625" customWidth="1"/>
    <col min="13" max="13" width="3.85546875" customWidth="1"/>
    <col min="14" max="14" width="9.42578125" customWidth="1"/>
    <col min="18" max="18" width="13" customWidth="1"/>
    <col min="22" max="22" width="6" customWidth="1"/>
    <col min="23" max="23" width="9.28515625" customWidth="1"/>
    <col min="24" max="24" width="0" hidden="1" customWidth="1"/>
    <col min="26" max="26" width="14.85546875" customWidth="1"/>
  </cols>
  <sheetData>
    <row r="2" spans="1:32" x14ac:dyDescent="0.25">
      <c r="A2" s="1" t="s">
        <v>1989</v>
      </c>
      <c r="S2" s="2"/>
      <c r="W2" s="2"/>
      <c r="Z2" s="3"/>
    </row>
    <row r="3" spans="1:32" ht="30.75" thickBot="1" x14ac:dyDescent="0.3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 t="s">
        <v>7</v>
      </c>
      <c r="I3" s="7" t="s">
        <v>8</v>
      </c>
      <c r="J3" s="4" t="s">
        <v>9</v>
      </c>
      <c r="K3" s="8" t="s">
        <v>10</v>
      </c>
      <c r="L3" s="8" t="s">
        <v>11</v>
      </c>
      <c r="M3" s="4" t="s">
        <v>12</v>
      </c>
      <c r="N3" s="4" t="s">
        <v>13</v>
      </c>
      <c r="O3" s="9" t="s">
        <v>14</v>
      </c>
      <c r="P3" s="10" t="s">
        <v>15</v>
      </c>
      <c r="Q3" s="9" t="s">
        <v>16</v>
      </c>
      <c r="R3" s="11" t="s">
        <v>17</v>
      </c>
      <c r="S3" s="11" t="s">
        <v>18</v>
      </c>
      <c r="T3" s="12" t="s">
        <v>19</v>
      </c>
      <c r="U3" s="9" t="s">
        <v>20</v>
      </c>
      <c r="V3" s="9" t="s">
        <v>21</v>
      </c>
      <c r="W3" s="12" t="s">
        <v>22</v>
      </c>
      <c r="X3" s="9" t="s">
        <v>23</v>
      </c>
      <c r="Y3" s="9" t="s">
        <v>24</v>
      </c>
      <c r="Z3" s="13" t="s">
        <v>25</v>
      </c>
      <c r="AA3" s="9"/>
    </row>
    <row r="4" spans="1:32" x14ac:dyDescent="0.25">
      <c r="A4" s="130"/>
      <c r="B4" s="27" t="s">
        <v>30</v>
      </c>
      <c r="C4" s="28" t="s">
        <v>31</v>
      </c>
      <c r="D4" s="28" t="s">
        <v>31</v>
      </c>
      <c r="E4" t="s">
        <v>32</v>
      </c>
      <c r="F4" s="29">
        <f>41199*0.4536</f>
        <v>18687.866399999999</v>
      </c>
      <c r="G4" s="30">
        <v>18672.72</v>
      </c>
      <c r="H4" s="30">
        <f>G4-F4</f>
        <v>-15.146399999997811</v>
      </c>
      <c r="I4" s="28" t="s">
        <v>1656</v>
      </c>
      <c r="J4" s="52" t="s">
        <v>196</v>
      </c>
      <c r="K4" s="31">
        <v>43496</v>
      </c>
      <c r="L4" s="31">
        <v>43497</v>
      </c>
      <c r="M4" s="28" t="s">
        <v>45</v>
      </c>
      <c r="N4" s="28" t="s">
        <v>1759</v>
      </c>
      <c r="O4" s="2"/>
      <c r="P4" s="32">
        <v>0.56140000000000001</v>
      </c>
      <c r="Q4" s="140">
        <v>26000</v>
      </c>
      <c r="R4" s="2">
        <v>89061</v>
      </c>
      <c r="S4" s="68">
        <v>19.190000000000001</v>
      </c>
      <c r="T4" s="141">
        <f>X4*F4*0.005</f>
        <v>2806.2378670820567</v>
      </c>
      <c r="V4" s="2">
        <v>0.12</v>
      </c>
      <c r="W4" s="2">
        <v>0.3</v>
      </c>
      <c r="X4" s="2">
        <f t="shared" ref="X4" si="0">IF(O4&gt;0,O4,((P4*2.2046*S4)+(Q4+R4)/G4)+V4)</f>
        <v>30.03272612310688</v>
      </c>
      <c r="Y4" s="2">
        <f t="shared" ref="Y4" si="1">IF(O4&gt;0,O4,((P4*2.2046*S4)+(Q4+R4+T4)/G4)+V4+W4)</f>
        <v>30.483011559137733</v>
      </c>
      <c r="Z4" s="3">
        <f t="shared" ref="Z4" si="2">Y4*F4</f>
        <v>569662.44748682156</v>
      </c>
      <c r="AA4" s="34">
        <v>43488</v>
      </c>
      <c r="AB4" s="3" t="s">
        <v>2068</v>
      </c>
      <c r="AC4" s="35"/>
    </row>
    <row r="5" spans="1:32" x14ac:dyDescent="0.25">
      <c r="A5" s="130"/>
      <c r="B5" s="27" t="s">
        <v>26</v>
      </c>
      <c r="C5" t="s">
        <v>27</v>
      </c>
      <c r="D5" s="28" t="s">
        <v>44</v>
      </c>
      <c r="E5">
        <v>235</v>
      </c>
      <c r="F5" s="29">
        <v>20719.099999999999</v>
      </c>
      <c r="G5" s="30">
        <v>20740</v>
      </c>
      <c r="H5" s="30">
        <f t="shared" ref="H5:H8" si="3">G5-F5</f>
        <v>20.900000000001455</v>
      </c>
      <c r="I5" t="s">
        <v>2215</v>
      </c>
      <c r="K5" s="31"/>
      <c r="L5" s="31">
        <v>43497</v>
      </c>
      <c r="M5" s="28" t="s">
        <v>45</v>
      </c>
      <c r="O5" s="2">
        <v>34.200000000000003</v>
      </c>
      <c r="P5" s="32"/>
      <c r="Q5" s="138">
        <v>21300</v>
      </c>
      <c r="R5" s="2"/>
      <c r="S5" s="33"/>
      <c r="T5" s="141">
        <f>X5*F5*0.0045</f>
        <v>3286.4918035925261</v>
      </c>
      <c r="U5" s="2">
        <f>E5*5</f>
        <v>1175</v>
      </c>
      <c r="W5" s="2">
        <v>0.3</v>
      </c>
      <c r="X5" s="2">
        <f>((O5*F5)+Q5+R5+S5+U5)/G5</f>
        <v>35.249190935390551</v>
      </c>
      <c r="Y5" s="2">
        <f>((O5*F5)+Q5+R5+S5+T5+U5)/G5+W5</f>
        <v>35.707652449546408</v>
      </c>
      <c r="Z5" s="3">
        <f>Y5*G5</f>
        <v>740576.71180359251</v>
      </c>
      <c r="AA5" s="34">
        <v>43503</v>
      </c>
      <c r="AB5" s="3"/>
      <c r="AC5" s="35"/>
    </row>
    <row r="6" spans="1:32" x14ac:dyDescent="0.25">
      <c r="A6" s="130"/>
      <c r="B6" s="27" t="s">
        <v>26</v>
      </c>
      <c r="C6" t="s">
        <v>27</v>
      </c>
      <c r="D6" s="28" t="s">
        <v>1829</v>
      </c>
      <c r="E6">
        <v>130</v>
      </c>
      <c r="F6" s="29">
        <v>13580</v>
      </c>
      <c r="G6" s="30">
        <v>10710</v>
      </c>
      <c r="H6" s="30">
        <f t="shared" si="3"/>
        <v>-2870</v>
      </c>
      <c r="I6" s="28" t="s">
        <v>2089</v>
      </c>
      <c r="K6" s="31"/>
      <c r="L6" s="31">
        <v>43497</v>
      </c>
      <c r="M6" s="28" t="s">
        <v>45</v>
      </c>
      <c r="O6" s="2">
        <v>26.5</v>
      </c>
      <c r="P6" s="32"/>
      <c r="Q6" s="140">
        <v>16900</v>
      </c>
      <c r="R6" s="2">
        <f>72*E6</f>
        <v>9360</v>
      </c>
      <c r="S6" s="153">
        <f>-38*E6</f>
        <v>-4940</v>
      </c>
      <c r="T6" s="141">
        <f>X6*F6*0.0045</f>
        <v>2175.0252941176468</v>
      </c>
      <c r="U6" s="2"/>
      <c r="W6" s="2">
        <v>0.3</v>
      </c>
      <c r="X6" s="2">
        <f>((O6*F6)+Q6+R6+S6+U6)/G6</f>
        <v>35.591970121381884</v>
      </c>
      <c r="Y6" s="2">
        <f>((O6*F6)+Q6+R6+S6+T6+U6)/G6+W6</f>
        <v>36.095053715603882</v>
      </c>
      <c r="Z6" s="3">
        <f>Y6*G6</f>
        <v>386578.02529411757</v>
      </c>
      <c r="AA6" s="34">
        <v>43510</v>
      </c>
      <c r="AB6" s="3"/>
      <c r="AC6" s="35" t="s">
        <v>2145</v>
      </c>
    </row>
    <row r="7" spans="1:32" x14ac:dyDescent="0.25">
      <c r="A7" s="130"/>
      <c r="B7" s="27" t="s">
        <v>2225</v>
      </c>
      <c r="C7" t="s">
        <v>2226</v>
      </c>
      <c r="D7" s="28" t="s">
        <v>1806</v>
      </c>
      <c r="E7" t="s">
        <v>2227</v>
      </c>
      <c r="F7" s="29">
        <v>217.92</v>
      </c>
      <c r="G7" s="30">
        <v>217.92</v>
      </c>
      <c r="H7" s="30">
        <f t="shared" si="3"/>
        <v>0</v>
      </c>
      <c r="I7" s="28" t="s">
        <v>2228</v>
      </c>
      <c r="K7" s="31"/>
      <c r="L7" s="31">
        <v>43498</v>
      </c>
      <c r="M7" s="28" t="s">
        <v>46</v>
      </c>
      <c r="O7" s="2">
        <v>26</v>
      </c>
      <c r="P7" s="32"/>
      <c r="Q7" s="2"/>
      <c r="R7" s="2"/>
      <c r="S7" s="33"/>
      <c r="T7" s="33"/>
      <c r="U7" s="2"/>
      <c r="W7" s="2"/>
      <c r="X7" s="2">
        <f>IF(O7&gt;0,O7,((P7*2.2046*S7)+(Q7+R7)/G7)+V7)</f>
        <v>26</v>
      </c>
      <c r="Y7" s="2">
        <f>IF(O7&gt;0,O7,((P7*2.2046*S7)+(Q7+R7+T7)/G7)+V7+W7)</f>
        <v>26</v>
      </c>
      <c r="Z7" s="3">
        <f>Y7*F7</f>
        <v>5665.92</v>
      </c>
      <c r="AA7" s="34">
        <v>43504</v>
      </c>
      <c r="AB7" s="3"/>
      <c r="AC7" s="35"/>
    </row>
    <row r="8" spans="1:32" x14ac:dyDescent="0.25">
      <c r="A8" s="130"/>
      <c r="B8" s="27" t="s">
        <v>30</v>
      </c>
      <c r="C8" t="s">
        <v>40</v>
      </c>
      <c r="D8" s="28" t="s">
        <v>40</v>
      </c>
      <c r="E8" t="s">
        <v>37</v>
      </c>
      <c r="F8" s="29">
        <f>42204*0.4536</f>
        <v>19143.734400000001</v>
      </c>
      <c r="G8" s="30">
        <v>19125.05</v>
      </c>
      <c r="H8" s="30">
        <f t="shared" si="3"/>
        <v>-18.684400000001915</v>
      </c>
      <c r="I8" s="28" t="s">
        <v>2002</v>
      </c>
      <c r="J8" s="52" t="s">
        <v>196</v>
      </c>
      <c r="K8" s="31">
        <v>43497</v>
      </c>
      <c r="L8" s="31">
        <v>43498</v>
      </c>
      <c r="M8" s="28" t="s">
        <v>46</v>
      </c>
      <c r="N8" s="28" t="s">
        <v>1760</v>
      </c>
      <c r="O8" s="2"/>
      <c r="P8" s="32">
        <f>0.4783+0.105</f>
        <v>0.58330000000000004</v>
      </c>
      <c r="Q8" s="140">
        <v>26000</v>
      </c>
      <c r="R8" s="2">
        <v>89640</v>
      </c>
      <c r="S8" s="68">
        <v>18.981000000000002</v>
      </c>
      <c r="T8" s="141">
        <f>X8*F8*0.005</f>
        <v>2926.5991276329009</v>
      </c>
      <c r="V8" s="2">
        <v>0.12</v>
      </c>
      <c r="W8" s="2">
        <v>0.3</v>
      </c>
      <c r="X8" s="2">
        <f>IF(O8&gt;0,O8,((P8*2.2046*S8)+(Q8+R8)/G8)+V8)</f>
        <v>30.575007639396635</v>
      </c>
      <c r="Y8" s="2">
        <f>IF(O8&gt;0,O8,((P8*2.2046*S8)+(Q8+R8+T8)/G8)+V8+W8)</f>
        <v>31.028032030320208</v>
      </c>
      <c r="Z8" s="3">
        <f>Y8*F8</f>
        <v>593992.40414314286</v>
      </c>
      <c r="AA8" s="34">
        <v>43493</v>
      </c>
      <c r="AB8" s="3"/>
      <c r="AC8" s="35"/>
    </row>
    <row r="9" spans="1:32" x14ac:dyDescent="0.25">
      <c r="A9" s="130"/>
      <c r="B9" s="27" t="s">
        <v>30</v>
      </c>
      <c r="C9" s="28" t="s">
        <v>1790</v>
      </c>
      <c r="D9" s="28" t="s">
        <v>1790</v>
      </c>
      <c r="E9" t="s">
        <v>32</v>
      </c>
      <c r="F9" s="29">
        <f>40983*0.4536</f>
        <v>18589.888800000001</v>
      </c>
      <c r="G9" s="30">
        <v>18479.93</v>
      </c>
      <c r="H9" s="30">
        <f>G9-F9</f>
        <v>-109.95880000000034</v>
      </c>
      <c r="I9" s="28" t="s">
        <v>2039</v>
      </c>
      <c r="J9" s="52" t="s">
        <v>196</v>
      </c>
      <c r="K9" s="31">
        <v>43497</v>
      </c>
      <c r="L9" s="31">
        <v>43498</v>
      </c>
      <c r="M9" s="28" t="s">
        <v>46</v>
      </c>
      <c r="N9" s="28" t="s">
        <v>2040</v>
      </c>
      <c r="O9" s="2"/>
      <c r="P9" s="137">
        <f>0.4684+0.095</f>
        <v>0.56340000000000001</v>
      </c>
      <c r="Q9" s="140">
        <v>26000</v>
      </c>
      <c r="R9" s="2">
        <v>94158</v>
      </c>
      <c r="S9" s="68">
        <v>19.065000000000001</v>
      </c>
      <c r="T9" s="141">
        <f>X9*F9*0.005</f>
        <v>2816.5704783694127</v>
      </c>
      <c r="V9" s="2">
        <v>0.12</v>
      </c>
      <c r="W9" s="2">
        <v>0.3</v>
      </c>
      <c r="X9" s="2">
        <f>IF(O9&gt;0,O9,((P9*2.2046*S9)+(Q9+R9)/G9)+V9)</f>
        <v>30.30217672275062</v>
      </c>
      <c r="Y9" s="2">
        <f>IF(O9&gt;0,O9,((P9*2.2046*S9)+(Q9+R9+T9)/G9)+V9+W9)</f>
        <v>30.754589122492906</v>
      </c>
      <c r="Z9" s="3">
        <f>Y9*F9</f>
        <v>571724.3918768327</v>
      </c>
      <c r="AA9" s="34">
        <v>43493</v>
      </c>
      <c r="AB9" s="137"/>
      <c r="AC9" s="35"/>
    </row>
    <row r="10" spans="1:32" ht="15.75" thickBot="1" x14ac:dyDescent="0.3">
      <c r="A10" s="131"/>
      <c r="B10" s="41"/>
      <c r="C10" s="4"/>
      <c r="D10" s="4"/>
      <c r="E10" s="4"/>
      <c r="F10" s="42"/>
      <c r="G10" s="42"/>
      <c r="H10" s="42"/>
      <c r="I10" s="7"/>
      <c r="J10" s="4"/>
      <c r="K10" s="8"/>
      <c r="L10" s="8"/>
      <c r="M10" s="4"/>
      <c r="N10" s="4"/>
      <c r="O10" s="9"/>
      <c r="P10" s="10"/>
      <c r="Q10" s="9"/>
      <c r="R10" s="9"/>
      <c r="S10" s="9"/>
      <c r="T10" s="9"/>
      <c r="U10" s="9"/>
      <c r="V10" s="9"/>
      <c r="W10" s="9"/>
      <c r="X10" s="9"/>
      <c r="Y10" s="9"/>
      <c r="Z10" s="13"/>
      <c r="AA10" s="43"/>
      <c r="AB10" s="3"/>
      <c r="AC10" s="35"/>
    </row>
    <row r="11" spans="1:32" ht="15.75" thickTop="1" x14ac:dyDescent="0.25">
      <c r="A11" s="143"/>
      <c r="B11" s="14" t="s">
        <v>26</v>
      </c>
      <c r="C11" s="14" t="s">
        <v>27</v>
      </c>
      <c r="D11" s="15" t="s">
        <v>1682</v>
      </c>
      <c r="E11" s="14">
        <v>196</v>
      </c>
      <c r="F11" s="16">
        <v>21950</v>
      </c>
      <c r="G11" s="17">
        <v>17940</v>
      </c>
      <c r="H11" s="18">
        <f t="shared" ref="H11:H13" si="4">G11-F11</f>
        <v>-4010</v>
      </c>
      <c r="I11" s="19" t="s">
        <v>2191</v>
      </c>
      <c r="J11" s="121">
        <v>200</v>
      </c>
      <c r="K11" s="20"/>
      <c r="L11" s="20">
        <v>43499</v>
      </c>
      <c r="M11" s="15" t="s">
        <v>28</v>
      </c>
      <c r="N11" s="14"/>
      <c r="O11" s="21">
        <v>26.5</v>
      </c>
      <c r="P11" s="22"/>
      <c r="Q11" s="139">
        <v>21300</v>
      </c>
      <c r="R11" s="2">
        <f>72*E11</f>
        <v>14112</v>
      </c>
      <c r="S11" s="21">
        <f>-38*E11</f>
        <v>-7448</v>
      </c>
      <c r="T11" s="157">
        <f>X11*F11*0.0045</f>
        <v>3361.9783570234108</v>
      </c>
      <c r="U11" s="21">
        <f>E11*5</f>
        <v>980</v>
      </c>
      <c r="V11" s="14"/>
      <c r="W11" s="21">
        <v>0.3</v>
      </c>
      <c r="X11" s="21">
        <f>((O11*F11)+Q11+R11+S11+U11)/G11</f>
        <v>34.036733556298771</v>
      </c>
      <c r="Y11" s="24">
        <f>((O11*F11)+Q11+R11+S11+T11+U11)/G11+W11</f>
        <v>34.524134802509664</v>
      </c>
      <c r="Z11" s="24">
        <f>Y11*G11</f>
        <v>619362.97835702333</v>
      </c>
      <c r="AA11" s="25">
        <v>43514</v>
      </c>
      <c r="AB11" s="3">
        <v>35.799999999999997</v>
      </c>
      <c r="AC11" s="3"/>
    </row>
    <row r="12" spans="1:32" x14ac:dyDescent="0.25">
      <c r="A12" s="144"/>
      <c r="B12" s="27" t="s">
        <v>26</v>
      </c>
      <c r="C12" t="s">
        <v>27</v>
      </c>
      <c r="D12" s="28" t="s">
        <v>1718</v>
      </c>
      <c r="E12">
        <v>129</v>
      </c>
      <c r="F12" s="29">
        <v>15200</v>
      </c>
      <c r="G12" s="30">
        <v>11510</v>
      </c>
      <c r="H12" s="30">
        <f t="shared" si="4"/>
        <v>-3690</v>
      </c>
      <c r="I12" s="28" t="s">
        <v>2192</v>
      </c>
      <c r="J12" s="55">
        <v>124</v>
      </c>
      <c r="K12" s="31"/>
      <c r="L12" s="31">
        <v>43499</v>
      </c>
      <c r="M12" s="28" t="s">
        <v>28</v>
      </c>
      <c r="O12" s="2">
        <v>26.5</v>
      </c>
      <c r="P12" s="32"/>
      <c r="Q12" s="140">
        <v>16900</v>
      </c>
      <c r="R12" s="2">
        <f>72*E12</f>
        <v>9288</v>
      </c>
      <c r="S12" s="33">
        <f>-38*E12</f>
        <v>-4902</v>
      </c>
      <c r="T12" s="141">
        <f>X12*F12*0.0045</f>
        <v>2524.0313119026932</v>
      </c>
      <c r="U12" s="2">
        <f>E12*5</f>
        <v>645</v>
      </c>
      <c r="W12" s="2">
        <v>0.3</v>
      </c>
      <c r="X12" s="2">
        <f>((O12*F12)+Q12+R12+S12+U12)/G12</f>
        <v>36.901042571676804</v>
      </c>
      <c r="Y12" s="2">
        <f>((O12*F12)+Q12+R12+S12+T12+U12)/G12+W12</f>
        <v>37.420332868106222</v>
      </c>
      <c r="Z12" s="3">
        <f>Y12*G12</f>
        <v>430708.03131190263</v>
      </c>
      <c r="AA12" s="34">
        <v>43514</v>
      </c>
      <c r="AB12" s="3"/>
      <c r="AC12" s="35" t="s">
        <v>2205</v>
      </c>
    </row>
    <row r="13" spans="1:32" x14ac:dyDescent="0.25">
      <c r="A13" s="144"/>
      <c r="B13" s="27" t="s">
        <v>26</v>
      </c>
      <c r="C13" t="s">
        <v>27</v>
      </c>
      <c r="D13" s="28" t="s">
        <v>2193</v>
      </c>
      <c r="E13">
        <f>220+30</f>
        <v>250</v>
      </c>
      <c r="F13" s="29">
        <f>22470+3550</f>
        <v>26020</v>
      </c>
      <c r="G13" s="30">
        <f>15080+5570</f>
        <v>20650</v>
      </c>
      <c r="H13" s="30">
        <f t="shared" si="4"/>
        <v>-5370</v>
      </c>
      <c r="I13" s="28" t="s">
        <v>2194</v>
      </c>
      <c r="J13" s="55">
        <v>249</v>
      </c>
      <c r="K13" s="31"/>
      <c r="L13" s="31">
        <v>43500</v>
      </c>
      <c r="M13" s="28" t="s">
        <v>29</v>
      </c>
      <c r="O13" s="2">
        <v>26.5</v>
      </c>
      <c r="P13" s="32"/>
      <c r="Q13" s="138">
        <v>21300</v>
      </c>
      <c r="R13" s="2">
        <f>72*E13</f>
        <v>18000</v>
      </c>
      <c r="S13" s="33">
        <f>-38*E13</f>
        <v>-9500</v>
      </c>
      <c r="T13" s="141">
        <f>X13*F13*0.0045</f>
        <v>4085.8456271186437</v>
      </c>
      <c r="U13" s="2">
        <f>E13*5</f>
        <v>1250</v>
      </c>
      <c r="W13" s="2">
        <v>0.3</v>
      </c>
      <c r="X13" s="2">
        <f>((O13*F13)+Q13+R13+S13+U13)/G13</f>
        <v>34.89491525423729</v>
      </c>
      <c r="Y13" s="2">
        <f>((O13*F13)+Q13+R13+S13+T13+U13)/G13+W13</f>
        <v>35.392777027947631</v>
      </c>
      <c r="Z13" s="3">
        <f>Y13*G13</f>
        <v>730860.8456271186</v>
      </c>
      <c r="AA13" s="34">
        <v>43514</v>
      </c>
      <c r="AB13" s="3"/>
      <c r="AC13" s="35" t="s">
        <v>2206</v>
      </c>
    </row>
    <row r="14" spans="1:32" x14ac:dyDescent="0.25">
      <c r="A14" s="144"/>
      <c r="B14" s="27" t="s">
        <v>26</v>
      </c>
      <c r="C14" t="s">
        <v>27</v>
      </c>
      <c r="D14" s="28" t="s">
        <v>1684</v>
      </c>
      <c r="E14">
        <v>249</v>
      </c>
      <c r="F14" s="29">
        <v>29325</v>
      </c>
      <c r="G14" s="30">
        <f>16870+6530</f>
        <v>23400</v>
      </c>
      <c r="H14" s="30">
        <f>G14-F14</f>
        <v>-5925</v>
      </c>
      <c r="I14" s="28" t="s">
        <v>2212</v>
      </c>
      <c r="K14" s="31"/>
      <c r="L14" s="31">
        <v>43501</v>
      </c>
      <c r="M14" s="28" t="s">
        <v>48</v>
      </c>
      <c r="O14" s="2">
        <v>26.5</v>
      </c>
      <c r="P14" s="32"/>
      <c r="Q14" s="138">
        <v>21300</v>
      </c>
      <c r="R14" s="2">
        <f>72*E14</f>
        <v>17928</v>
      </c>
      <c r="S14" s="33">
        <f>-38*E14</f>
        <v>-9462</v>
      </c>
      <c r="T14" s="141">
        <f>X14*F14*0.005</f>
        <v>5063.7225721153845</v>
      </c>
      <c r="U14" s="2">
        <f>E14*5</f>
        <v>1245</v>
      </c>
      <c r="W14" s="2">
        <v>0.3</v>
      </c>
      <c r="X14" s="2">
        <f>((O14*F14)+Q14+R14+S14+U14)/G14</f>
        <v>34.535192307692306</v>
      </c>
      <c r="Y14" s="2">
        <f>((O14*F14)+Q14+R14+S14+T14+U14)/G14+W14</f>
        <v>35.051590708210057</v>
      </c>
      <c r="Z14" s="3">
        <f>Y14*G14</f>
        <v>820207.22257211537</v>
      </c>
      <c r="AA14" s="34">
        <v>43515</v>
      </c>
      <c r="AB14" s="3"/>
      <c r="AC14" s="35" t="s">
        <v>2213</v>
      </c>
      <c r="AF14" s="30"/>
    </row>
    <row r="15" spans="1:32" x14ac:dyDescent="0.25">
      <c r="A15" s="144"/>
      <c r="B15" s="27" t="s">
        <v>1732</v>
      </c>
      <c r="C15" t="s">
        <v>1733</v>
      </c>
      <c r="D15" s="28" t="s">
        <v>1735</v>
      </c>
      <c r="E15" t="s">
        <v>2222</v>
      </c>
      <c r="F15" s="29">
        <v>3266.4</v>
      </c>
      <c r="G15" s="30">
        <v>3266.4</v>
      </c>
      <c r="H15" s="30">
        <f>G15-F15</f>
        <v>0</v>
      </c>
      <c r="I15" s="28" t="s">
        <v>2223</v>
      </c>
      <c r="K15" s="31"/>
      <c r="L15" s="31">
        <v>43137</v>
      </c>
      <c r="M15" s="28" t="s">
        <v>33</v>
      </c>
      <c r="O15" s="2">
        <v>65</v>
      </c>
      <c r="P15" s="32"/>
      <c r="Q15" s="2"/>
      <c r="R15" s="2"/>
      <c r="S15" s="33"/>
      <c r="T15" s="33"/>
      <c r="U15" s="2"/>
      <c r="W15" s="2"/>
      <c r="X15" s="2">
        <f>IF(O15&gt;0,O15,((P15*2.2046*S15)+(Q15+R15)/G15)+V15)</f>
        <v>65</v>
      </c>
      <c r="Y15" s="2">
        <f>IF(O15&gt;0,O15,((P15*2.2046*S15)+(Q15+R15+T15)/G15)+V15+W15)</f>
        <v>65</v>
      </c>
      <c r="Z15" s="3">
        <f>Y15*F15</f>
        <v>212316</v>
      </c>
      <c r="AA15" s="34">
        <v>43509</v>
      </c>
      <c r="AB15" s="3"/>
      <c r="AC15" s="35"/>
      <c r="AF15" s="30"/>
    </row>
    <row r="16" spans="1:32" x14ac:dyDescent="0.25">
      <c r="A16" s="144"/>
      <c r="B16" s="27" t="s">
        <v>30</v>
      </c>
      <c r="C16" s="28" t="s">
        <v>31</v>
      </c>
      <c r="D16" s="28" t="s">
        <v>31</v>
      </c>
      <c r="E16" t="s">
        <v>32</v>
      </c>
      <c r="F16" s="29">
        <f>40778*0.4536</f>
        <v>18496.900799999999</v>
      </c>
      <c r="G16" s="30">
        <v>18473.400000000001</v>
      </c>
      <c r="H16" s="30">
        <f t="shared" ref="H16:H17" si="5">G16-F16</f>
        <v>-23.50079999999798</v>
      </c>
      <c r="I16" s="28" t="s">
        <v>1657</v>
      </c>
      <c r="J16" s="52" t="s">
        <v>2207</v>
      </c>
      <c r="K16" s="31">
        <v>43501</v>
      </c>
      <c r="L16" s="31">
        <v>43503</v>
      </c>
      <c r="M16" s="28" t="s">
        <v>41</v>
      </c>
      <c r="N16" s="28" t="s">
        <v>2090</v>
      </c>
      <c r="O16" s="2"/>
      <c r="P16" s="32">
        <f t="shared" ref="P16:P17" si="6">0.4704+0.1</f>
        <v>0.57040000000000002</v>
      </c>
      <c r="Q16" s="140">
        <v>24400</v>
      </c>
      <c r="R16" s="2">
        <v>89840</v>
      </c>
      <c r="S16" s="68">
        <v>19.116</v>
      </c>
      <c r="T16" s="141">
        <f t="shared" ref="T16:T17" si="7">X16*F16*0.005</f>
        <v>2806.2083036449262</v>
      </c>
      <c r="V16" s="2">
        <v>0.12</v>
      </c>
      <c r="W16" s="2">
        <v>0.3</v>
      </c>
      <c r="X16" s="2">
        <f>IF(O16&gt;0,O16,((P16*2.2046*S16)+(Q16+R16)/G16)+V16)</f>
        <v>30.342470168244898</v>
      </c>
      <c r="Y16" s="2">
        <f>IF(O16&gt;0,O16,((P16*2.2046*S16)+(Q16+R16+T16)/G16)+V16+W16)</f>
        <v>30.79437551883791</v>
      </c>
      <c r="Z16" s="3">
        <f>Y16*F16</f>
        <v>569600.50916989334</v>
      </c>
      <c r="AA16" s="34">
        <v>43495</v>
      </c>
      <c r="AB16" s="3"/>
      <c r="AC16" s="35"/>
    </row>
    <row r="17" spans="1:29" x14ac:dyDescent="0.25">
      <c r="A17" s="144"/>
      <c r="B17" s="27" t="s">
        <v>30</v>
      </c>
      <c r="C17" s="28" t="s">
        <v>31</v>
      </c>
      <c r="D17" s="28" t="s">
        <v>31</v>
      </c>
      <c r="E17" t="s">
        <v>32</v>
      </c>
      <c r="F17" s="29">
        <f>40911*0.4536</f>
        <v>18557.229599999999</v>
      </c>
      <c r="G17" s="30">
        <v>18529.96</v>
      </c>
      <c r="H17" s="30">
        <f t="shared" si="5"/>
        <v>-27.269599999999627</v>
      </c>
      <c r="I17" s="28" t="s">
        <v>1658</v>
      </c>
      <c r="J17" s="52" t="s">
        <v>196</v>
      </c>
      <c r="K17" s="31">
        <v>43501</v>
      </c>
      <c r="L17" s="31">
        <v>43502</v>
      </c>
      <c r="M17" s="28" t="s">
        <v>33</v>
      </c>
      <c r="N17" s="28" t="s">
        <v>2090</v>
      </c>
      <c r="O17" s="2"/>
      <c r="P17" s="32">
        <f t="shared" si="6"/>
        <v>0.57040000000000002</v>
      </c>
      <c r="Q17" s="140">
        <v>26000</v>
      </c>
      <c r="R17" s="2">
        <v>89084</v>
      </c>
      <c r="S17" s="68">
        <v>19.116</v>
      </c>
      <c r="T17" s="141">
        <f t="shared" si="7"/>
        <v>2817.8357216242894</v>
      </c>
      <c r="V17" s="2">
        <v>0.12</v>
      </c>
      <c r="W17" s="2">
        <v>0.3</v>
      </c>
      <c r="X17" s="2">
        <f t="shared" ref="X17" si="8">IF(O17&gt;0,O17,((P17*2.2046*S17)+(Q17+R17)/G17)+V17)</f>
        <v>30.369142187304615</v>
      </c>
      <c r="Y17" s="2">
        <f t="shared" ref="Y17" si="9">IF(O17&gt;0,O17,((P17*2.2046*S17)+(Q17+R17+T17)/G17)+V17+W17)</f>
        <v>30.821211361853521</v>
      </c>
      <c r="Z17" s="3">
        <f t="shared" ref="Z17" si="10">Y17*F17</f>
        <v>571956.29579204449</v>
      </c>
      <c r="AA17" s="34">
        <v>43495</v>
      </c>
      <c r="AB17" s="3"/>
      <c r="AC17" s="35"/>
    </row>
    <row r="18" spans="1:29" x14ac:dyDescent="0.25">
      <c r="A18" s="144"/>
      <c r="B18" s="27" t="s">
        <v>30</v>
      </c>
      <c r="C18" s="28" t="s">
        <v>35</v>
      </c>
      <c r="D18" s="28" t="s">
        <v>36</v>
      </c>
      <c r="E18" t="s">
        <v>37</v>
      </c>
      <c r="F18" s="29">
        <f>41302*0.4536</f>
        <v>18734.587200000002</v>
      </c>
      <c r="G18" s="30">
        <v>18570.07</v>
      </c>
      <c r="H18" s="30">
        <f>G18-F18</f>
        <v>-164.51720000000205</v>
      </c>
      <c r="I18" t="s">
        <v>1969</v>
      </c>
      <c r="J18" s="52" t="s">
        <v>196</v>
      </c>
      <c r="K18" s="31">
        <v>43501</v>
      </c>
      <c r="L18" s="31">
        <v>43502</v>
      </c>
      <c r="M18" s="28" t="s">
        <v>33</v>
      </c>
      <c r="N18" s="28" t="s">
        <v>2090</v>
      </c>
      <c r="O18" s="2"/>
      <c r="P18" s="32">
        <f>0.4704+0.1</f>
        <v>0.57040000000000002</v>
      </c>
      <c r="Q18" s="140">
        <v>26000</v>
      </c>
      <c r="R18" s="2">
        <v>94145</v>
      </c>
      <c r="S18" s="68">
        <v>19.09</v>
      </c>
      <c r="T18" s="141">
        <f>X18*F18*0.005</f>
        <v>2865.976659881404</v>
      </c>
      <c r="V18" s="2">
        <v>0.12</v>
      </c>
      <c r="W18" s="2">
        <v>0.3</v>
      </c>
      <c r="X18" s="2">
        <f>IF(O18&gt;0,O18,((P18*2.2046*S18)+(Q18+R18)/G18)+V18)</f>
        <v>30.595567751622553</v>
      </c>
      <c r="Y18" s="2">
        <f>IF(O18&gt;0,O18,((P18*2.2046*S18)+(Q18+R18+T18)/G18)+V18+W18)</f>
        <v>31.049900861830615</v>
      </c>
      <c r="Z18" s="3">
        <f>Y18*F18</f>
        <v>581707.07524732081</v>
      </c>
      <c r="AA18" s="34">
        <v>43502</v>
      </c>
      <c r="AB18" s="3"/>
      <c r="AC18" s="35"/>
    </row>
    <row r="19" spans="1:29" x14ac:dyDescent="0.25">
      <c r="A19" s="144"/>
      <c r="B19" s="27" t="s">
        <v>30</v>
      </c>
      <c r="C19" s="28" t="s">
        <v>35</v>
      </c>
      <c r="D19" s="28" t="s">
        <v>36</v>
      </c>
      <c r="E19" t="s">
        <v>37</v>
      </c>
      <c r="F19" s="29">
        <f>41055*0.4536</f>
        <v>18622.547999999999</v>
      </c>
      <c r="G19" s="30">
        <v>18489.87</v>
      </c>
      <c r="H19" s="30">
        <f>G19-F19</f>
        <v>-132.67799999999988</v>
      </c>
      <c r="I19" t="s">
        <v>2108</v>
      </c>
      <c r="J19" s="52" t="s">
        <v>1690</v>
      </c>
      <c r="K19" s="31">
        <v>43501</v>
      </c>
      <c r="L19" s="31">
        <v>43502</v>
      </c>
      <c r="M19" s="28" t="s">
        <v>33</v>
      </c>
      <c r="N19" s="28" t="s">
        <v>2090</v>
      </c>
      <c r="O19" s="2"/>
      <c r="P19" s="32">
        <v>0.57040000000000002</v>
      </c>
      <c r="Q19" s="140">
        <v>26000</v>
      </c>
      <c r="R19" s="2">
        <v>92664</v>
      </c>
      <c r="S19" s="68">
        <v>19.122</v>
      </c>
      <c r="T19" s="141">
        <f>X19*F19*0.005</f>
        <v>2847.7388914043063</v>
      </c>
      <c r="V19" s="2">
        <v>0.12</v>
      </c>
      <c r="W19" s="2">
        <v>0.3</v>
      </c>
      <c r="X19" s="2">
        <f>IF(O19&gt;0,O19,((P19*2.2046*S19)+(Q19+R19)/G19)+V19)</f>
        <v>30.583772869365742</v>
      </c>
      <c r="Y19" s="2">
        <f>IF(O19&gt;0,O19,((P19*2.2046*S19)+(Q19+R19+T19)/G19)+V19+W19)</f>
        <v>31.03778903559105</v>
      </c>
      <c r="Z19" s="3">
        <f>Y19*F19</f>
        <v>578002.71612916805</v>
      </c>
      <c r="AA19" s="34">
        <v>43503</v>
      </c>
      <c r="AB19" s="3">
        <v>30.93</v>
      </c>
      <c r="AC19" s="35"/>
    </row>
    <row r="20" spans="1:29" x14ac:dyDescent="0.25">
      <c r="A20" s="144"/>
      <c r="B20" s="27" t="s">
        <v>26</v>
      </c>
      <c r="C20" t="s">
        <v>27</v>
      </c>
      <c r="D20" s="28" t="s">
        <v>2313</v>
      </c>
      <c r="E20">
        <f>220+30</f>
        <v>250</v>
      </c>
      <c r="F20" s="29">
        <f>25270+3395</f>
        <v>28665</v>
      </c>
      <c r="G20" s="30">
        <f>16180+6420</f>
        <v>22600</v>
      </c>
      <c r="H20" s="30">
        <f t="shared" ref="H20" si="11">G20-F20</f>
        <v>-6065</v>
      </c>
      <c r="I20" s="28" t="s">
        <v>2216</v>
      </c>
      <c r="K20" s="55">
        <v>249</v>
      </c>
      <c r="L20" s="31">
        <v>43502</v>
      </c>
      <c r="M20" s="28" t="s">
        <v>33</v>
      </c>
      <c r="O20" s="2">
        <v>26.5</v>
      </c>
      <c r="P20" s="32"/>
      <c r="Q20" s="138">
        <v>21300</v>
      </c>
      <c r="R20" s="2">
        <f>72*E20</f>
        <v>18000</v>
      </c>
      <c r="S20" s="33">
        <f>-38*E20</f>
        <v>-9500</v>
      </c>
      <c r="T20" s="141">
        <f t="shared" ref="T20" si="12">X20*F20*0.005</f>
        <v>5014.2980558628315</v>
      </c>
      <c r="U20" s="2">
        <f>E20*5</f>
        <v>1250</v>
      </c>
      <c r="W20" s="2">
        <v>0.3</v>
      </c>
      <c r="X20" s="2">
        <f t="shared" ref="X20" si="13">((O20*F20)+Q20+R20+S20+U20)/G20</f>
        <v>34.985508849557519</v>
      </c>
      <c r="Y20" s="2">
        <f>((O20*F20)+Q20+R20+S20+T20+U20)/G20+W20</f>
        <v>35.507380444949675</v>
      </c>
      <c r="Z20" s="3">
        <f>Y20*G20</f>
        <v>802466.79805586266</v>
      </c>
      <c r="AA20" s="34">
        <v>43515</v>
      </c>
      <c r="AB20" s="3"/>
      <c r="AC20" s="35" t="s">
        <v>2219</v>
      </c>
    </row>
    <row r="21" spans="1:29" x14ac:dyDescent="0.25">
      <c r="A21" s="144"/>
      <c r="B21" s="27" t="s">
        <v>30</v>
      </c>
      <c r="C21" s="28" t="s">
        <v>40</v>
      </c>
      <c r="D21" s="28" t="s">
        <v>40</v>
      </c>
      <c r="E21" t="s">
        <v>37</v>
      </c>
      <c r="F21" s="29">
        <f>42625*0.4536</f>
        <v>19334.7</v>
      </c>
      <c r="G21" s="30">
        <v>19214.72</v>
      </c>
      <c r="H21" s="30">
        <f>G21-F21</f>
        <v>-119.97999999999956</v>
      </c>
      <c r="I21" t="s">
        <v>2109</v>
      </c>
      <c r="J21" s="52" t="s">
        <v>196</v>
      </c>
      <c r="K21" s="31">
        <v>43502</v>
      </c>
      <c r="L21" s="31">
        <v>43503</v>
      </c>
      <c r="M21" s="28" t="s">
        <v>41</v>
      </c>
      <c r="N21" s="28" t="s">
        <v>2091</v>
      </c>
      <c r="O21" s="2"/>
      <c r="P21" s="32">
        <f>0.4627+0.105</f>
        <v>0.56769999999999998</v>
      </c>
      <c r="Q21" s="140">
        <v>26000</v>
      </c>
      <c r="R21" s="2">
        <v>93224</v>
      </c>
      <c r="S21" s="68">
        <v>19.038</v>
      </c>
      <c r="T21" s="141">
        <f>X21*F21*0.005</f>
        <v>2914.8860536589546</v>
      </c>
      <c r="V21" s="2">
        <v>0.12</v>
      </c>
      <c r="W21" s="2">
        <v>0.3</v>
      </c>
      <c r="X21" s="2">
        <f>IF(O21&gt;0,O21,((P21*2.2046*S21)+(Q21+R21)/G21)+V21)</f>
        <v>30.151862233796795</v>
      </c>
      <c r="Y21" s="2">
        <f>IF(O21&gt;0,O21,((P21*2.2046*S21)+(Q21+R21+T21)/G21)+V21+W21)</f>
        <v>30.60356291190498</v>
      </c>
      <c r="Z21" s="3">
        <f>Y21*F21</f>
        <v>591710.70783280919</v>
      </c>
      <c r="AA21" s="34">
        <v>43496</v>
      </c>
      <c r="AB21" s="3"/>
      <c r="AC21" s="35"/>
    </row>
    <row r="22" spans="1:29" x14ac:dyDescent="0.25">
      <c r="A22" s="144"/>
      <c r="B22" s="27" t="s">
        <v>26</v>
      </c>
      <c r="C22" t="s">
        <v>27</v>
      </c>
      <c r="D22" s="28" t="s">
        <v>1829</v>
      </c>
      <c r="E22">
        <v>251</v>
      </c>
      <c r="F22" s="29">
        <v>28115</v>
      </c>
      <c r="G22" s="30">
        <v>23620</v>
      </c>
      <c r="H22" s="30">
        <f t="shared" ref="H22:H25" si="14">G22-F22</f>
        <v>-4495</v>
      </c>
      <c r="I22" t="s">
        <v>2220</v>
      </c>
      <c r="J22" s="55">
        <v>250</v>
      </c>
      <c r="K22" s="31"/>
      <c r="L22" s="31">
        <v>43503</v>
      </c>
      <c r="M22" s="28" t="s">
        <v>41</v>
      </c>
      <c r="O22" s="2">
        <v>26.5</v>
      </c>
      <c r="P22" s="32"/>
      <c r="Q22" s="138">
        <v>21300</v>
      </c>
      <c r="R22" s="2">
        <f>72*E22</f>
        <v>18072</v>
      </c>
      <c r="S22" s="33">
        <f>-38*E22</f>
        <v>-9538</v>
      </c>
      <c r="T22" s="141">
        <f>X22*F22*0.0045</f>
        <v>4157.275598592294</v>
      </c>
      <c r="U22" s="2">
        <f>E22*5</f>
        <v>1255</v>
      </c>
      <c r="W22" s="2">
        <v>0.3</v>
      </c>
      <c r="X22" s="2">
        <f t="shared" ref="X22" si="15">((O22*F22)+Q22+R22+S22+U22)/G22</f>
        <v>32.859292972057581</v>
      </c>
      <c r="Y22" s="2">
        <f>((O22*F22)+Q22+R22+S22+T22+U22)/G22+W22</f>
        <v>33.335299559635573</v>
      </c>
      <c r="Z22" s="3">
        <f>Y22*G22</f>
        <v>787379.77559859224</v>
      </c>
      <c r="AA22" s="34">
        <v>43516</v>
      </c>
      <c r="AB22" s="3"/>
      <c r="AC22" s="35"/>
    </row>
    <row r="23" spans="1:29" x14ac:dyDescent="0.25">
      <c r="A23" s="144"/>
      <c r="B23" s="27" t="s">
        <v>26</v>
      </c>
      <c r="C23" t="s">
        <v>27</v>
      </c>
      <c r="D23" s="28" t="s">
        <v>1682</v>
      </c>
      <c r="E23">
        <v>130</v>
      </c>
      <c r="F23" s="29">
        <v>16430</v>
      </c>
      <c r="G23" s="30">
        <v>11390</v>
      </c>
      <c r="H23" s="30">
        <f t="shared" si="14"/>
        <v>-5040</v>
      </c>
      <c r="I23" t="s">
        <v>2221</v>
      </c>
      <c r="J23" s="55">
        <v>131</v>
      </c>
      <c r="K23" s="31"/>
      <c r="L23" s="31">
        <v>43503</v>
      </c>
      <c r="M23" s="28" t="s">
        <v>41</v>
      </c>
      <c r="O23" s="2">
        <v>26.5</v>
      </c>
      <c r="P23" s="32"/>
      <c r="Q23" s="140">
        <v>16900</v>
      </c>
      <c r="R23" s="2">
        <f>72*E23</f>
        <v>9360</v>
      </c>
      <c r="S23" s="33">
        <f>-38*E23</f>
        <v>-4940</v>
      </c>
      <c r="T23" s="141">
        <f>X23*F23*0.0045</f>
        <v>2968.857003950834</v>
      </c>
      <c r="U23" s="2">
        <f>E23*5</f>
        <v>650</v>
      </c>
      <c r="W23" s="2">
        <v>0.3</v>
      </c>
      <c r="X23" s="2">
        <f>((O23*F23)+Q23+R23+S23+U23)/G23</f>
        <v>40.154960491659352</v>
      </c>
      <c r="Y23" s="2">
        <f>((O23*F23)+Q23+R23+S23+T23+U23)/G23+W23</f>
        <v>40.715615189108938</v>
      </c>
      <c r="Z23" s="3">
        <f>Y23*G23</f>
        <v>463750.8570039508</v>
      </c>
      <c r="AA23" s="34">
        <v>43516</v>
      </c>
      <c r="AB23" s="3">
        <v>35.729999999999997</v>
      </c>
      <c r="AC23" s="35" t="s">
        <v>2245</v>
      </c>
    </row>
    <row r="24" spans="1:29" x14ac:dyDescent="0.25">
      <c r="A24" s="144"/>
      <c r="B24" s="27" t="s">
        <v>2225</v>
      </c>
      <c r="C24" t="s">
        <v>2006</v>
      </c>
      <c r="D24" s="28" t="s">
        <v>1806</v>
      </c>
      <c r="E24" t="s">
        <v>2311</v>
      </c>
      <c r="F24" s="29">
        <v>408.6</v>
      </c>
      <c r="G24" s="30">
        <v>408.6</v>
      </c>
      <c r="H24" s="30">
        <f t="shared" si="14"/>
        <v>0</v>
      </c>
      <c r="I24" t="s">
        <v>2312</v>
      </c>
      <c r="K24" s="31"/>
      <c r="L24" s="31">
        <v>43503</v>
      </c>
      <c r="M24" s="28" t="s">
        <v>41</v>
      </c>
      <c r="O24" s="2">
        <v>26</v>
      </c>
      <c r="P24" s="32"/>
      <c r="Q24" s="2"/>
      <c r="R24" s="2"/>
      <c r="S24" s="33"/>
      <c r="T24" s="33"/>
      <c r="U24" s="2"/>
      <c r="W24" s="2"/>
      <c r="X24" s="2">
        <f>IF(O24&gt;0,O24,((P24*2.2046*S24)+(Q24+R24)/G24)+V24)</f>
        <v>26</v>
      </c>
      <c r="Y24" s="2">
        <f>IF(O24&gt;0,O24,((P24*2.2046*S24)+(Q24+R24+T24)/G24)+V24+W24)</f>
        <v>26</v>
      </c>
      <c r="Z24" s="3">
        <f>Y24*F24</f>
        <v>10623.6</v>
      </c>
      <c r="AA24" s="34">
        <v>43510</v>
      </c>
      <c r="AB24" s="3"/>
      <c r="AC24" s="35"/>
    </row>
    <row r="25" spans="1:29" x14ac:dyDescent="0.25">
      <c r="A25" s="144"/>
      <c r="B25" s="27" t="s">
        <v>1909</v>
      </c>
      <c r="C25" t="s">
        <v>2006</v>
      </c>
      <c r="D25" s="28" t="s">
        <v>1806</v>
      </c>
      <c r="E25" t="s">
        <v>1815</v>
      </c>
      <c r="F25" s="29">
        <v>2619</v>
      </c>
      <c r="G25" s="30">
        <v>2619</v>
      </c>
      <c r="H25" s="30">
        <f t="shared" si="14"/>
        <v>0</v>
      </c>
      <c r="I25" t="s">
        <v>2354</v>
      </c>
      <c r="K25" s="31"/>
      <c r="L25" s="31">
        <v>43503</v>
      </c>
      <c r="M25" s="28" t="s">
        <v>41</v>
      </c>
      <c r="O25" s="2">
        <v>18.3</v>
      </c>
      <c r="P25" s="32"/>
      <c r="Q25" s="2"/>
      <c r="R25" s="2"/>
      <c r="S25" s="33"/>
      <c r="T25" s="33"/>
      <c r="U25" s="2"/>
      <c r="W25" s="2"/>
      <c r="X25" s="2">
        <f>IF(O25&gt;0,O25,((P25*2.2046*S25)+(Q25+R25)/G25)+V25)</f>
        <v>18.3</v>
      </c>
      <c r="Y25" s="2">
        <f>IF(O25&gt;0,O25,((P25*2.2046*S25)+(Q25+R25+T25)/G25)+V25+W25)</f>
        <v>18.3</v>
      </c>
      <c r="Z25" s="3">
        <f>Y25*F25</f>
        <v>47927.700000000004</v>
      </c>
      <c r="AA25" s="34">
        <v>43510</v>
      </c>
      <c r="AB25" s="3"/>
      <c r="AC25" s="35"/>
    </row>
    <row r="26" spans="1:29" x14ac:dyDescent="0.25">
      <c r="A26" s="144"/>
      <c r="B26" s="27" t="s">
        <v>30</v>
      </c>
      <c r="C26" s="28" t="s">
        <v>1790</v>
      </c>
      <c r="D26" s="28" t="s">
        <v>1790</v>
      </c>
      <c r="E26" t="s">
        <v>32</v>
      </c>
      <c r="F26" s="29">
        <f>42446*0.4536</f>
        <v>19253.5056</v>
      </c>
      <c r="G26" s="30">
        <v>19223.96</v>
      </c>
      <c r="H26" s="30">
        <f>G26-F26</f>
        <v>-29.545600000001286</v>
      </c>
      <c r="I26" s="28" t="s">
        <v>2110</v>
      </c>
      <c r="J26" s="52" t="s">
        <v>196</v>
      </c>
      <c r="K26" s="31">
        <v>43503</v>
      </c>
      <c r="L26" s="31">
        <v>43504</v>
      </c>
      <c r="M26" s="28" t="s">
        <v>45</v>
      </c>
      <c r="N26" s="28" t="s">
        <v>2092</v>
      </c>
      <c r="O26" s="2"/>
      <c r="P26" s="32">
        <f>0.4627+0.095</f>
        <v>0.55769999999999997</v>
      </c>
      <c r="Q26" s="140">
        <v>26000</v>
      </c>
      <c r="R26" s="2">
        <v>91147</v>
      </c>
      <c r="S26" s="68">
        <v>19.135000000000002</v>
      </c>
      <c r="T26" s="141">
        <f>X26*F26*0.005</f>
        <v>2863.0336253757919</v>
      </c>
      <c r="V26" s="2">
        <v>0.12</v>
      </c>
      <c r="W26" s="2">
        <v>0.3</v>
      </c>
      <c r="X26" s="2">
        <f>IF(O26&gt;0,O26,((P26*2.2046*S26)+(Q26+R26)/G26)+V26)</f>
        <v>29.740387905003566</v>
      </c>
      <c r="Y26" s="2">
        <f>IF(O26&gt;0,O26,((P26*2.2046*S26)+(Q26+R26+T26)/G26)+V26+W26)</f>
        <v>30.189318386828113</v>
      </c>
      <c r="Z26" s="3">
        <f>Y26*F26</f>
        <v>581250.21062097803</v>
      </c>
      <c r="AA26" s="34">
        <v>43504</v>
      </c>
      <c r="AB26" s="3"/>
      <c r="AC26" s="35"/>
    </row>
    <row r="27" spans="1:29" x14ac:dyDescent="0.25">
      <c r="A27" s="144"/>
      <c r="B27" s="27" t="s">
        <v>30</v>
      </c>
      <c r="C27" s="28" t="s">
        <v>35</v>
      </c>
      <c r="D27" s="28" t="s">
        <v>36</v>
      </c>
      <c r="E27" t="s">
        <v>37</v>
      </c>
      <c r="F27" s="29">
        <f>41711*0.4536</f>
        <v>18920.1096</v>
      </c>
      <c r="G27" s="30">
        <v>18731.27</v>
      </c>
      <c r="H27" s="30">
        <f>G27-F27</f>
        <v>-188.83959999999934</v>
      </c>
      <c r="I27" t="s">
        <v>2111</v>
      </c>
      <c r="J27" s="52" t="s">
        <v>196</v>
      </c>
      <c r="K27" s="31">
        <v>43503</v>
      </c>
      <c r="L27" s="31">
        <v>43504</v>
      </c>
      <c r="M27" s="28" t="s">
        <v>45</v>
      </c>
      <c r="N27" s="28" t="s">
        <v>2093</v>
      </c>
      <c r="O27" s="2"/>
      <c r="P27" s="32">
        <f>0.4627+0.1-0.0027</f>
        <v>0.55999999999999994</v>
      </c>
      <c r="Q27" s="140">
        <v>26000</v>
      </c>
      <c r="R27" s="2">
        <v>89169</v>
      </c>
      <c r="S27" s="68">
        <v>19.097999999999999</v>
      </c>
      <c r="T27" s="141">
        <f>X27*F27*0.005</f>
        <v>2823.4877866839738</v>
      </c>
      <c r="V27" s="2">
        <v>0.12</v>
      </c>
      <c r="W27" s="2">
        <v>0.3</v>
      </c>
      <c r="X27" s="2">
        <f>IF(O27&gt;0,O27,((P27*2.2046*S27)+(Q27+R27)/G27)+V27)</f>
        <v>29.846421044875701</v>
      </c>
      <c r="Y27" s="2">
        <f>IF(O27&gt;0,O27,((P27*2.2046*S27)+(Q27+R27+T27)/G27)+V27+W27)</f>
        <v>30.297157635970912</v>
      </c>
      <c r="Z27" s="3">
        <f>Y27*F27</f>
        <v>573225.54304104659</v>
      </c>
      <c r="AA27" s="34">
        <v>43507</v>
      </c>
      <c r="AB27" s="3">
        <v>30.8</v>
      </c>
      <c r="AC27" s="35"/>
    </row>
    <row r="28" spans="1:29" x14ac:dyDescent="0.25">
      <c r="A28" s="144"/>
      <c r="B28" s="27" t="s">
        <v>26</v>
      </c>
      <c r="C28" t="s">
        <v>27</v>
      </c>
      <c r="D28" s="28" t="s">
        <v>44</v>
      </c>
      <c r="E28">
        <v>250</v>
      </c>
      <c r="F28" s="29">
        <v>22080</v>
      </c>
      <c r="G28" s="30">
        <v>22090</v>
      </c>
      <c r="H28" s="30">
        <f t="shared" ref="H28:H31" si="16">G28-F28</f>
        <v>10</v>
      </c>
      <c r="I28" t="s">
        <v>2328</v>
      </c>
      <c r="K28" s="31"/>
      <c r="L28" s="31">
        <v>43504</v>
      </c>
      <c r="M28" s="28" t="s">
        <v>45</v>
      </c>
      <c r="O28" s="2">
        <v>34.200000000000003</v>
      </c>
      <c r="P28" s="32"/>
      <c r="Q28" s="138">
        <v>21300</v>
      </c>
      <c r="R28" s="2"/>
      <c r="S28" s="33"/>
      <c r="T28" s="141">
        <f>X28*F28*0.0045</f>
        <v>3498.0027596197374</v>
      </c>
      <c r="U28" s="2">
        <f>E28*5</f>
        <v>1250</v>
      </c>
      <c r="W28" s="2">
        <v>0.3</v>
      </c>
      <c r="X28" s="2">
        <f>((O28*F28)+Q28+R28+S28+U28)/G28</f>
        <v>35.205341783612496</v>
      </c>
      <c r="Y28" s="2">
        <f>((O28*F28)+Q28+R28+S28+T28+U28)/G28+W28</f>
        <v>35.663694104102298</v>
      </c>
      <c r="Z28" s="3">
        <f>Y28*G28</f>
        <v>787811.00275961973</v>
      </c>
      <c r="AA28" s="34">
        <v>43509</v>
      </c>
      <c r="AB28" s="3"/>
      <c r="AC28" s="35"/>
    </row>
    <row r="29" spans="1:29" x14ac:dyDescent="0.25">
      <c r="A29" s="144"/>
      <c r="B29" s="27" t="s">
        <v>26</v>
      </c>
      <c r="C29" t="s">
        <v>27</v>
      </c>
      <c r="D29" s="28" t="s">
        <v>1829</v>
      </c>
      <c r="E29">
        <v>129</v>
      </c>
      <c r="F29" s="29">
        <v>14195</v>
      </c>
      <c r="G29" s="30">
        <v>11130</v>
      </c>
      <c r="H29" s="30">
        <f t="shared" si="16"/>
        <v>-3065</v>
      </c>
      <c r="I29" s="28" t="s">
        <v>2231</v>
      </c>
      <c r="J29" s="55">
        <v>128</v>
      </c>
      <c r="K29" s="31"/>
      <c r="L29" s="31">
        <v>43504</v>
      </c>
      <c r="M29" s="28" t="s">
        <v>45</v>
      </c>
      <c r="O29" s="2">
        <v>26.5</v>
      </c>
      <c r="P29" s="32"/>
      <c r="Q29" s="140">
        <v>16900</v>
      </c>
      <c r="R29" s="2">
        <f>72*E29</f>
        <v>9288</v>
      </c>
      <c r="S29" s="33">
        <f>-38*E29</f>
        <v>-4902</v>
      </c>
      <c r="T29" s="141">
        <f>X29*F29*0.0045</f>
        <v>2284.7742078840965</v>
      </c>
      <c r="U29" s="2">
        <f>E29*5</f>
        <v>645</v>
      </c>
      <c r="W29" s="2">
        <v>0.3</v>
      </c>
      <c r="X29" s="2">
        <f>((O29*F29)+Q29+R29+S29+U29)/G29</f>
        <v>35.768059299191371</v>
      </c>
      <c r="Y29" s="2">
        <f>((O29*F29)+Q29+R29+S29+T29+U29)/G29+W29</f>
        <v>36.273340000708359</v>
      </c>
      <c r="Z29" s="3">
        <f>Y29*G29</f>
        <v>403722.27420788404</v>
      </c>
      <c r="AA29" s="34">
        <v>43517</v>
      </c>
      <c r="AB29" s="3"/>
      <c r="AC29" s="35" t="s">
        <v>2252</v>
      </c>
    </row>
    <row r="30" spans="1:29" x14ac:dyDescent="0.25">
      <c r="A30" s="144"/>
      <c r="B30" s="27" t="s">
        <v>1909</v>
      </c>
      <c r="C30" t="s">
        <v>2006</v>
      </c>
      <c r="D30" s="28" t="s">
        <v>1806</v>
      </c>
      <c r="E30" t="s">
        <v>2007</v>
      </c>
      <c r="F30" s="29">
        <f>840+884</f>
        <v>1724</v>
      </c>
      <c r="G30" s="30">
        <v>1724</v>
      </c>
      <c r="H30" s="30">
        <f t="shared" si="16"/>
        <v>0</v>
      </c>
      <c r="I30" t="s">
        <v>2356</v>
      </c>
      <c r="K30" s="31"/>
      <c r="L30" s="31">
        <v>43505</v>
      </c>
      <c r="M30" s="28" t="s">
        <v>46</v>
      </c>
      <c r="O30" s="2">
        <v>18.3</v>
      </c>
      <c r="P30" s="32"/>
      <c r="Q30" s="2"/>
      <c r="R30" s="2"/>
      <c r="S30" s="33"/>
      <c r="T30" s="33"/>
      <c r="U30" s="2"/>
      <c r="W30" s="2"/>
      <c r="X30" s="2">
        <f>IF(O30&gt;0,O30,((P30*2.2046*S30)+(Q30+R30)/G30)+V30)</f>
        <v>18.3</v>
      </c>
      <c r="Y30" s="2">
        <f>IF(O30&gt;0,O30,((P30*2.2046*S30)+(Q30+R30+T30)/G30)+V30+W30)</f>
        <v>18.3</v>
      </c>
      <c r="Z30" s="3">
        <f>Y30*F30</f>
        <v>31549.200000000001</v>
      </c>
      <c r="AA30" s="34">
        <v>43514</v>
      </c>
      <c r="AB30" s="3"/>
      <c r="AC30" s="35"/>
    </row>
    <row r="31" spans="1:29" x14ac:dyDescent="0.25">
      <c r="A31" s="144"/>
      <c r="B31" s="27" t="s">
        <v>30</v>
      </c>
      <c r="C31" t="s">
        <v>40</v>
      </c>
      <c r="D31" s="28" t="s">
        <v>40</v>
      </c>
      <c r="E31" t="s">
        <v>37</v>
      </c>
      <c r="F31" s="29">
        <f>42967*0.4536</f>
        <v>19489.831200000001</v>
      </c>
      <c r="G31" s="30">
        <v>19522.61</v>
      </c>
      <c r="H31" s="30">
        <f t="shared" si="16"/>
        <v>32.778800000000047</v>
      </c>
      <c r="I31" s="28" t="s">
        <v>2112</v>
      </c>
      <c r="J31" s="52" t="s">
        <v>196</v>
      </c>
      <c r="K31" s="31">
        <v>43504</v>
      </c>
      <c r="L31" s="31">
        <v>43505</v>
      </c>
      <c r="M31" s="28" t="s">
        <v>46</v>
      </c>
      <c r="N31" s="28" t="s">
        <v>2094</v>
      </c>
      <c r="O31" s="2"/>
      <c r="P31" s="32">
        <f>0.4346+0.105</f>
        <v>0.53959999999999997</v>
      </c>
      <c r="Q31" s="140">
        <v>26000</v>
      </c>
      <c r="R31" s="2">
        <v>89243</v>
      </c>
      <c r="S31" s="68">
        <v>19.13</v>
      </c>
      <c r="T31" s="141">
        <f>X31*F31*0.005</f>
        <v>2804.6005710930222</v>
      </c>
      <c r="V31" s="2">
        <v>0.12</v>
      </c>
      <c r="W31" s="2">
        <v>0.3</v>
      </c>
      <c r="X31" s="2">
        <f>IF(O31&gt;0,O31,((P31*2.2046*S31)+(Q31+R31)/G31)+V31)</f>
        <v>28.780142242514874</v>
      </c>
      <c r="Y31" s="2">
        <f>IF(O31&gt;0,O31,((P31*2.2046*S31)+(Q31+R31+T31)/G31)+V31+W31)</f>
        <v>29.223801341943332</v>
      </c>
      <c r="Z31" s="3">
        <f>Y31*F31</f>
        <v>569566.95517680899</v>
      </c>
      <c r="AA31" s="34">
        <v>43501</v>
      </c>
      <c r="AB31" s="3">
        <v>30.62</v>
      </c>
      <c r="AC31" s="35"/>
    </row>
    <row r="32" spans="1:29" ht="15.75" thickBot="1" x14ac:dyDescent="0.3">
      <c r="A32" s="145"/>
      <c r="B32" s="41"/>
      <c r="C32" s="4"/>
      <c r="D32" s="4"/>
      <c r="E32" s="4"/>
      <c r="F32" s="42"/>
      <c r="G32" s="42"/>
      <c r="H32" s="42"/>
      <c r="I32" s="7"/>
      <c r="J32" s="4"/>
      <c r="K32" s="8"/>
      <c r="L32" s="8"/>
      <c r="M32" s="4"/>
      <c r="N32" s="4"/>
      <c r="O32" s="9"/>
      <c r="P32" s="10"/>
      <c r="Q32" s="9"/>
      <c r="R32" s="9"/>
      <c r="S32" s="9"/>
      <c r="T32" s="9"/>
      <c r="U32" s="9"/>
      <c r="V32" s="9"/>
      <c r="W32" s="9"/>
      <c r="X32" s="9"/>
      <c r="Y32" s="9"/>
      <c r="Z32" s="13"/>
      <c r="AA32" s="43"/>
      <c r="AB32" s="3"/>
      <c r="AC32" s="35"/>
    </row>
    <row r="33" spans="1:32" ht="15.75" thickTop="1" x14ac:dyDescent="0.25">
      <c r="A33" s="146"/>
      <c r="B33" s="14" t="s">
        <v>26</v>
      </c>
      <c r="C33" s="14" t="s">
        <v>27</v>
      </c>
      <c r="D33" s="15" t="s">
        <v>1871</v>
      </c>
      <c r="E33" s="14">
        <v>250</v>
      </c>
      <c r="F33" s="16">
        <v>30955</v>
      </c>
      <c r="G33" s="17">
        <v>24550</v>
      </c>
      <c r="H33" s="18">
        <f t="shared" ref="H33:H36" si="17">G33-F33</f>
        <v>-6405</v>
      </c>
      <c r="I33" s="19" t="s">
        <v>2281</v>
      </c>
      <c r="J33" s="14"/>
      <c r="K33" s="20"/>
      <c r="L33" s="20">
        <v>43506</v>
      </c>
      <c r="M33" s="15" t="s">
        <v>28</v>
      </c>
      <c r="N33" s="14"/>
      <c r="O33" s="21">
        <v>26.5</v>
      </c>
      <c r="P33" s="22"/>
      <c r="Q33" s="139">
        <v>21300</v>
      </c>
      <c r="R33" s="2">
        <f>72*E33</f>
        <v>18000</v>
      </c>
      <c r="S33" s="21">
        <f>-38*E33</f>
        <v>-9500</v>
      </c>
      <c r="T33" s="157">
        <f>X33*F33*0.0045</f>
        <v>4830.6301978105903</v>
      </c>
      <c r="U33" s="21">
        <f>E33*5</f>
        <v>1250</v>
      </c>
      <c r="V33" s="14"/>
      <c r="W33" s="21">
        <v>0.3</v>
      </c>
      <c r="X33" s="21">
        <f>((O33*F33)+Q33+R33+S33+U33)/G33</f>
        <v>34.678513238289206</v>
      </c>
      <c r="Y33" s="24">
        <f>((O33*F33)+Q33+R33+S33+T33+U33)/G33+W33</f>
        <v>35.175280252456638</v>
      </c>
      <c r="Z33" s="24">
        <f>Y33*G33</f>
        <v>863553.13019781047</v>
      </c>
      <c r="AA33" s="25">
        <v>43521</v>
      </c>
      <c r="AB33" s="3"/>
      <c r="AC33" s="3"/>
    </row>
    <row r="34" spans="1:32" x14ac:dyDescent="0.25">
      <c r="A34" s="147"/>
      <c r="B34" s="27" t="s">
        <v>26</v>
      </c>
      <c r="C34" t="s">
        <v>27</v>
      </c>
      <c r="D34" s="28" t="s">
        <v>1718</v>
      </c>
      <c r="E34">
        <v>130</v>
      </c>
      <c r="F34" s="29">
        <v>15935</v>
      </c>
      <c r="G34" s="30">
        <v>12700</v>
      </c>
      <c r="H34" s="30">
        <f t="shared" si="17"/>
        <v>-3235</v>
      </c>
      <c r="I34" s="28" t="s">
        <v>2282</v>
      </c>
      <c r="K34" s="31"/>
      <c r="L34" s="31">
        <v>43506</v>
      </c>
      <c r="M34" s="28" t="s">
        <v>28</v>
      </c>
      <c r="O34" s="2">
        <v>26.5</v>
      </c>
      <c r="P34" s="32"/>
      <c r="Q34" s="140">
        <v>16900</v>
      </c>
      <c r="R34" s="2">
        <f>72*E34</f>
        <v>9360</v>
      </c>
      <c r="S34" s="33">
        <f>-38*E34</f>
        <v>-4940</v>
      </c>
      <c r="T34" s="141">
        <f>X34*F34*0.0045</f>
        <v>2508.3368193897636</v>
      </c>
      <c r="U34" s="2">
        <f>E34*5</f>
        <v>650</v>
      </c>
      <c r="W34" s="2">
        <v>0.3</v>
      </c>
      <c r="X34" s="2">
        <f>((O34*F34)+Q34+R34+S34+U34)/G34</f>
        <v>34.980118110236219</v>
      </c>
      <c r="Y34" s="2">
        <f>((O34*F34)+Q34+R34+S34+T34+U34)/G34+W34</f>
        <v>35.477624946408639</v>
      </c>
      <c r="Z34" s="3">
        <f>Y34*G34</f>
        <v>450565.83681938972</v>
      </c>
      <c r="AA34" s="34">
        <v>43521</v>
      </c>
      <c r="AB34" s="3"/>
      <c r="AC34" s="35" t="s">
        <v>2287</v>
      </c>
    </row>
    <row r="35" spans="1:32" x14ac:dyDescent="0.25">
      <c r="A35" s="147"/>
      <c r="B35" s="27" t="s">
        <v>26</v>
      </c>
      <c r="C35" t="s">
        <v>27</v>
      </c>
      <c r="D35" s="28" t="s">
        <v>1871</v>
      </c>
      <c r="E35">
        <v>249</v>
      </c>
      <c r="F35" s="29">
        <v>27630</v>
      </c>
      <c r="G35" s="30">
        <f>15520+6110</f>
        <v>21630</v>
      </c>
      <c r="H35" s="30">
        <f t="shared" si="17"/>
        <v>-6000</v>
      </c>
      <c r="I35" s="28" t="s">
        <v>2330</v>
      </c>
      <c r="K35" s="31"/>
      <c r="L35" s="31">
        <v>43507</v>
      </c>
      <c r="M35" s="28" t="s">
        <v>29</v>
      </c>
      <c r="O35" s="2">
        <v>26.5</v>
      </c>
      <c r="P35" s="32"/>
      <c r="Q35" s="138">
        <v>21300</v>
      </c>
      <c r="R35" s="2">
        <f>72*E35</f>
        <v>17928</v>
      </c>
      <c r="S35" s="33">
        <f>-38*E35</f>
        <v>-9462</v>
      </c>
      <c r="T35" s="141">
        <f>X35*F35*0.0045</f>
        <v>4387.1113273231622</v>
      </c>
      <c r="U35" s="2">
        <f>E35*5</f>
        <v>1245</v>
      </c>
      <c r="W35" s="2">
        <v>0.3</v>
      </c>
      <c r="X35" s="2">
        <f>((O35*F35)+Q35+R35+S35+U35)/G35</f>
        <v>35.284604715672678</v>
      </c>
      <c r="Y35" s="2">
        <f>((O35*F35)+Q35+R35+S35+T35+U35)/G35+W35</f>
        <v>35.787430019756037</v>
      </c>
      <c r="Z35" s="3">
        <f>Y35*G35</f>
        <v>774082.11132732313</v>
      </c>
      <c r="AA35" s="34">
        <v>43521</v>
      </c>
      <c r="AB35" s="3"/>
      <c r="AC35" s="35" t="s">
        <v>2298</v>
      </c>
    </row>
    <row r="36" spans="1:32" x14ac:dyDescent="0.25">
      <c r="A36" s="147"/>
      <c r="B36" s="27" t="s">
        <v>30</v>
      </c>
      <c r="C36" s="28" t="s">
        <v>1790</v>
      </c>
      <c r="D36" s="28" t="s">
        <v>1790</v>
      </c>
      <c r="E36" t="s">
        <v>32</v>
      </c>
      <c r="F36" s="29">
        <f>41136*0.4536</f>
        <v>18659.2896</v>
      </c>
      <c r="G36" s="30">
        <v>18678.97</v>
      </c>
      <c r="H36" s="30">
        <f t="shared" si="17"/>
        <v>19.6804000000011</v>
      </c>
      <c r="I36" s="28" t="s">
        <v>2168</v>
      </c>
      <c r="J36" s="52" t="s">
        <v>196</v>
      </c>
      <c r="K36" s="31">
        <v>43507</v>
      </c>
      <c r="L36" s="31">
        <v>43508</v>
      </c>
      <c r="M36" s="28" t="s">
        <v>48</v>
      </c>
      <c r="N36" s="28" t="s">
        <v>2162</v>
      </c>
      <c r="O36" s="2"/>
      <c r="P36" s="32">
        <f>0.4304+0.095</f>
        <v>0.52539999999999998</v>
      </c>
      <c r="Q36" s="140">
        <v>26000</v>
      </c>
      <c r="R36" s="2">
        <v>87109</v>
      </c>
      <c r="S36" s="68">
        <v>19.425000000000001</v>
      </c>
      <c r="T36" s="141">
        <f t="shared" ref="T36" si="18">X36*F36*0.005</f>
        <v>2675.3069623800834</v>
      </c>
      <c r="V36" s="2">
        <v>0.12</v>
      </c>
      <c r="W36" s="2">
        <v>0.3</v>
      </c>
      <c r="X36" s="2">
        <f>IF(O36&gt;0,O36,((P36*2.2046*S36)+(Q36+R36)/G36)+V36)</f>
        <v>28.675335661011264</v>
      </c>
      <c r="Y36" s="2">
        <f>IF(O36&gt;0,O36,((P36*2.2046*S36)+(Q36+R36+T36)/G36)+V36+W36)</f>
        <v>29.11856127582729</v>
      </c>
      <c r="Z36" s="3">
        <f>Y36*F36</f>
        <v>543331.66758100688</v>
      </c>
      <c r="AA36" s="34">
        <v>43510</v>
      </c>
      <c r="AB36" s="3"/>
      <c r="AC36" s="35"/>
    </row>
    <row r="37" spans="1:32" x14ac:dyDescent="0.25">
      <c r="A37" s="147"/>
      <c r="B37" s="27" t="s">
        <v>30</v>
      </c>
      <c r="C37" s="28" t="s">
        <v>35</v>
      </c>
      <c r="D37" s="28" t="s">
        <v>36</v>
      </c>
      <c r="E37" t="s">
        <v>32</v>
      </c>
      <c r="F37" s="29">
        <f>39511*0.4536</f>
        <v>17922.189600000002</v>
      </c>
      <c r="G37" s="30">
        <v>17910.060000000001</v>
      </c>
      <c r="H37" s="30">
        <f>G37-F37</f>
        <v>-12.12960000000021</v>
      </c>
      <c r="I37" t="s">
        <v>2169</v>
      </c>
      <c r="J37" s="52" t="s">
        <v>196</v>
      </c>
      <c r="K37" s="31">
        <v>43507</v>
      </c>
      <c r="L37" s="31">
        <v>43508</v>
      </c>
      <c r="M37" s="28" t="s">
        <v>48</v>
      </c>
      <c r="N37" s="28" t="s">
        <v>2163</v>
      </c>
      <c r="O37" s="2"/>
      <c r="P37" s="32">
        <f>0.4304+0.1</f>
        <v>0.53039999999999998</v>
      </c>
      <c r="Q37" s="140">
        <v>26000</v>
      </c>
      <c r="R37" s="2">
        <v>88519</v>
      </c>
      <c r="S37" s="68">
        <v>19.303000000000001</v>
      </c>
      <c r="T37" s="141">
        <f>X37*F37*0.005</f>
        <v>2606.3789416690547</v>
      </c>
      <c r="V37" s="2">
        <v>0.12</v>
      </c>
      <c r="W37" s="2">
        <v>0.3</v>
      </c>
      <c r="X37" s="2">
        <f>IF(O37&gt;0,O37,((P37*2.2046*S37)+(Q37+R37)/G37)+V37)</f>
        <v>29.085496804129942</v>
      </c>
      <c r="Y37" s="2">
        <f>IF(O37&gt;0,O37,((P37*2.2046*S37)+(Q37+R37+T37)/G37)+V37+W37)</f>
        <v>29.531022779010492</v>
      </c>
      <c r="Z37" s="3">
        <f>Y37*F37</f>
        <v>529260.58932734502</v>
      </c>
      <c r="AA37" s="34">
        <v>43507</v>
      </c>
      <c r="AB37" s="3"/>
      <c r="AC37" s="35"/>
    </row>
    <row r="38" spans="1:32" x14ac:dyDescent="0.25">
      <c r="A38" s="147"/>
      <c r="B38" s="27" t="s">
        <v>26</v>
      </c>
      <c r="C38" t="s">
        <v>27</v>
      </c>
      <c r="D38" s="28" t="s">
        <v>1682</v>
      </c>
      <c r="E38">
        <v>200</v>
      </c>
      <c r="F38" s="29">
        <v>23760</v>
      </c>
      <c r="G38" s="30">
        <v>19150</v>
      </c>
      <c r="H38" s="30">
        <f>G38-F38</f>
        <v>-4610</v>
      </c>
      <c r="I38" s="28" t="s">
        <v>2329</v>
      </c>
      <c r="K38" s="31"/>
      <c r="L38" s="31">
        <v>43508</v>
      </c>
      <c r="M38" s="28" t="s">
        <v>48</v>
      </c>
      <c r="O38" s="2">
        <v>26.5</v>
      </c>
      <c r="P38" s="32"/>
      <c r="Q38" s="138">
        <v>21300</v>
      </c>
      <c r="R38" s="2">
        <f>72*E38</f>
        <v>14400</v>
      </c>
      <c r="S38" s="33">
        <f>-38*E38</f>
        <v>-7600</v>
      </c>
      <c r="T38" s="141">
        <f>X38*F38*0.005</f>
        <v>4086.59592689295</v>
      </c>
      <c r="U38" s="2">
        <f>E38*5</f>
        <v>1000</v>
      </c>
      <c r="W38" s="2">
        <v>0.3</v>
      </c>
      <c r="X38" s="2">
        <f>((O38*F38)+Q38+R38+S38+U38)/G38</f>
        <v>34.398955613577023</v>
      </c>
      <c r="Y38" s="2">
        <f>((O38*F38)+Q38+R38+S38+T38+U38)/G38+W38</f>
        <v>34.912354878688923</v>
      </c>
      <c r="Z38" s="3">
        <f>Y38*G38</f>
        <v>668571.59592689283</v>
      </c>
      <c r="AA38" s="34">
        <v>43522</v>
      </c>
      <c r="AB38" s="3"/>
      <c r="AC38" s="35"/>
      <c r="AF38" s="30"/>
    </row>
    <row r="39" spans="1:32" x14ac:dyDescent="0.25">
      <c r="A39" s="147"/>
      <c r="B39" s="27" t="s">
        <v>26</v>
      </c>
      <c r="C39" t="s">
        <v>27</v>
      </c>
      <c r="D39" s="28" t="s">
        <v>1829</v>
      </c>
      <c r="E39">
        <v>130</v>
      </c>
      <c r="F39" s="29">
        <v>14260</v>
      </c>
      <c r="G39" s="30">
        <v>11060</v>
      </c>
      <c r="H39" s="30">
        <f>G39-F39</f>
        <v>-3200</v>
      </c>
      <c r="I39" s="28" t="s">
        <v>2331</v>
      </c>
      <c r="K39" s="31"/>
      <c r="L39" s="31">
        <v>43508</v>
      </c>
      <c r="M39" s="28" t="s">
        <v>48</v>
      </c>
      <c r="O39" s="2">
        <v>26.5</v>
      </c>
      <c r="P39" s="32"/>
      <c r="Q39" s="140">
        <v>16900</v>
      </c>
      <c r="R39" s="2">
        <f>72*E39</f>
        <v>9360</v>
      </c>
      <c r="S39" s="33">
        <f>-38*E39</f>
        <v>-4940</v>
      </c>
      <c r="T39" s="141">
        <f>X39*F39*0.005</f>
        <v>2577.7593128390595</v>
      </c>
      <c r="U39" s="2">
        <f>E39*5</f>
        <v>650</v>
      </c>
      <c r="W39" s="2">
        <v>0.3</v>
      </c>
      <c r="X39" s="2">
        <f>((O39*F39)+Q39+R39+S39+U39)/G39</f>
        <v>36.153707052441227</v>
      </c>
      <c r="Y39" s="2">
        <f>((O39*F39)+Q39+R39+S39+T39+U39)/G39+W39</f>
        <v>36.686777514723239</v>
      </c>
      <c r="Z39" s="3">
        <f>Y39*G39</f>
        <v>405755.75931283901</v>
      </c>
      <c r="AA39" s="34">
        <v>43522</v>
      </c>
      <c r="AB39" s="3">
        <v>35.56</v>
      </c>
      <c r="AC39" s="35" t="s">
        <v>2307</v>
      </c>
      <c r="AF39" s="30"/>
    </row>
    <row r="40" spans="1:32" x14ac:dyDescent="0.25">
      <c r="A40" s="147"/>
      <c r="B40" s="27" t="s">
        <v>2358</v>
      </c>
      <c r="C40" t="s">
        <v>2360</v>
      </c>
      <c r="D40" s="28" t="s">
        <v>1734</v>
      </c>
      <c r="E40" t="s">
        <v>2362</v>
      </c>
      <c r="F40" s="29">
        <v>2002.7</v>
      </c>
      <c r="G40" s="30">
        <v>2002.7</v>
      </c>
      <c r="H40" s="30">
        <f t="shared" ref="H40:H41" si="19">G40-F40</f>
        <v>0</v>
      </c>
      <c r="I40" t="s">
        <v>2386</v>
      </c>
      <c r="K40" s="31"/>
      <c r="L40" s="31">
        <v>43508</v>
      </c>
      <c r="M40" s="28" t="s">
        <v>48</v>
      </c>
      <c r="O40" s="2">
        <v>17</v>
      </c>
      <c r="P40" s="32"/>
      <c r="Q40" s="2"/>
      <c r="R40" s="2"/>
      <c r="S40" s="33"/>
      <c r="T40" s="33"/>
      <c r="U40" s="2"/>
      <c r="W40" s="2"/>
      <c r="X40" s="2">
        <f t="shared" ref="X40:X41" si="20">IF(O40&gt;0,O40,((P40*2.2046*S40)+(Q40+R40)/G40)+V40)</f>
        <v>17</v>
      </c>
      <c r="Y40" s="2">
        <f t="shared" ref="Y40:Y41" si="21">IF(O40&gt;0,O40,((P40*2.2046*S40)+(Q40+R40+T40)/G40)+V40+W40)</f>
        <v>17</v>
      </c>
      <c r="Z40" s="3">
        <f t="shared" ref="Z40:Z41" si="22">Y40*F40</f>
        <v>34045.9</v>
      </c>
      <c r="AA40" s="34">
        <v>43515</v>
      </c>
      <c r="AB40" s="3"/>
      <c r="AC40" s="35"/>
    </row>
    <row r="41" spans="1:32" x14ac:dyDescent="0.25">
      <c r="A41" s="147"/>
      <c r="B41" s="27" t="s">
        <v>2359</v>
      </c>
      <c r="C41" t="s">
        <v>2360</v>
      </c>
      <c r="D41" s="28" t="s">
        <v>1734</v>
      </c>
      <c r="E41" t="s">
        <v>2361</v>
      </c>
      <c r="F41" s="29">
        <v>267</v>
      </c>
      <c r="G41" s="30">
        <v>267</v>
      </c>
      <c r="H41" s="30">
        <f t="shared" si="19"/>
        <v>0</v>
      </c>
      <c r="I41" t="s">
        <v>2386</v>
      </c>
      <c r="K41" s="31"/>
      <c r="L41" s="31">
        <v>43508</v>
      </c>
      <c r="M41" s="28" t="s">
        <v>48</v>
      </c>
      <c r="O41" s="2">
        <v>20.5</v>
      </c>
      <c r="P41" s="32"/>
      <c r="Q41" s="2"/>
      <c r="R41" s="2"/>
      <c r="S41" s="33"/>
      <c r="T41" s="33"/>
      <c r="U41" s="2"/>
      <c r="W41" s="2"/>
      <c r="X41" s="2">
        <f t="shared" si="20"/>
        <v>20.5</v>
      </c>
      <c r="Y41" s="2">
        <f t="shared" si="21"/>
        <v>20.5</v>
      </c>
      <c r="Z41" s="3">
        <f t="shared" si="22"/>
        <v>5473.5</v>
      </c>
      <c r="AA41" s="34">
        <v>43515</v>
      </c>
      <c r="AB41" s="3"/>
      <c r="AC41" s="35"/>
    </row>
    <row r="42" spans="1:32" x14ac:dyDescent="0.25">
      <c r="A42" s="147"/>
      <c r="B42" s="27" t="s">
        <v>30</v>
      </c>
      <c r="C42" s="28" t="s">
        <v>31</v>
      </c>
      <c r="D42" s="28" t="s">
        <v>31</v>
      </c>
      <c r="E42" t="s">
        <v>32</v>
      </c>
      <c r="F42" s="29">
        <f>40823*0.4536</f>
        <v>18517.3128</v>
      </c>
      <c r="G42" s="30">
        <v>18484.310000000001</v>
      </c>
      <c r="H42" s="30">
        <f t="shared" ref="H42:H44" si="23">G42-F42</f>
        <v>-33.002799999998388</v>
      </c>
      <c r="I42" s="28" t="s">
        <v>2157</v>
      </c>
      <c r="J42" s="52" t="s">
        <v>1690</v>
      </c>
      <c r="K42" s="31">
        <v>43508</v>
      </c>
      <c r="L42" s="31">
        <v>43509</v>
      </c>
      <c r="M42" s="28" t="s">
        <v>33</v>
      </c>
      <c r="N42" s="28" t="s">
        <v>2163</v>
      </c>
      <c r="O42" s="2"/>
      <c r="P42" s="32">
        <f>0.4304+0.1</f>
        <v>0.53039999999999998</v>
      </c>
      <c r="Q42" s="140">
        <v>26000</v>
      </c>
      <c r="R42" s="2">
        <v>83899</v>
      </c>
      <c r="S42" s="68">
        <v>19.116</v>
      </c>
      <c r="T42" s="141">
        <f t="shared" ref="T42:T44" si="24">X42*F42*0.005</f>
        <v>2631.1478445616103</v>
      </c>
      <c r="V42" s="2">
        <v>0.12</v>
      </c>
      <c r="W42" s="2">
        <v>0.3</v>
      </c>
      <c r="X42" s="2">
        <f>IF(O42&gt;0,O42,((P42*2.2046*S42)+(Q42+R42)/G42)+V42)</f>
        <v>28.418246999225616</v>
      </c>
      <c r="Y42" s="2">
        <f>IF(O42&gt;0,O42,((P42*2.2046*S42)+(Q42+R42+T42)/G42)+V42+W42)</f>
        <v>28.860591930930482</v>
      </c>
      <c r="Z42" s="3">
        <f>Y42*F42</f>
        <v>534420.60837819579</v>
      </c>
      <c r="AA42" s="34">
        <v>43502</v>
      </c>
      <c r="AB42" s="3"/>
      <c r="AC42" s="35"/>
    </row>
    <row r="43" spans="1:32" x14ac:dyDescent="0.25">
      <c r="A43" s="147"/>
      <c r="B43" s="27" t="s">
        <v>30</v>
      </c>
      <c r="C43" s="28" t="s">
        <v>1790</v>
      </c>
      <c r="D43" s="28" t="s">
        <v>1790</v>
      </c>
      <c r="E43" t="s">
        <v>32</v>
      </c>
      <c r="F43" s="29">
        <f>39898*0.4536</f>
        <v>18097.732800000002</v>
      </c>
      <c r="G43" s="30">
        <v>18059.59</v>
      </c>
      <c r="H43" s="30">
        <f t="shared" si="23"/>
        <v>-38.142800000001444</v>
      </c>
      <c r="I43" s="28" t="s">
        <v>2170</v>
      </c>
      <c r="J43" s="52" t="s">
        <v>196</v>
      </c>
      <c r="K43" s="31">
        <v>43508</v>
      </c>
      <c r="L43" s="31">
        <v>43509</v>
      </c>
      <c r="M43" s="28" t="s">
        <v>33</v>
      </c>
      <c r="N43" s="28" t="s">
        <v>2162</v>
      </c>
      <c r="O43" s="2"/>
      <c r="P43" s="32">
        <f>0.4304+0.095</f>
        <v>0.52539999999999998</v>
      </c>
      <c r="Q43" s="140">
        <v>26000</v>
      </c>
      <c r="R43" s="2">
        <v>81511</v>
      </c>
      <c r="S43" s="68">
        <v>19.379000000000001</v>
      </c>
      <c r="T43" s="141">
        <f t="shared" si="24"/>
        <v>2580.7149477912162</v>
      </c>
      <c r="V43" s="2">
        <v>0.12</v>
      </c>
      <c r="W43" s="2">
        <v>0.3</v>
      </c>
      <c r="X43" s="2">
        <f t="shared" ref="X43" si="25">IF(O43&gt;0,O43,((P43*2.2046*S43)+(Q43+R43)/G43)+V43)</f>
        <v>28.519759644050175</v>
      </c>
      <c r="Y43" s="2">
        <f t="shared" ref="Y43" si="26">IF(O43&gt;0,O43,((P43*2.2046*S43)+(Q43+R43+T43)/G43)+V43+W43)</f>
        <v>28.962659618401265</v>
      </c>
      <c r="Z43" s="3">
        <f t="shared" ref="Z43" si="27">Y43*F43</f>
        <v>524158.47495117609</v>
      </c>
      <c r="AA43" s="34">
        <v>43511</v>
      </c>
      <c r="AB43" s="3"/>
      <c r="AC43" s="35"/>
    </row>
    <row r="44" spans="1:32" x14ac:dyDescent="0.25">
      <c r="A44" s="147"/>
      <c r="B44" s="27" t="s">
        <v>26</v>
      </c>
      <c r="C44" t="s">
        <v>27</v>
      </c>
      <c r="D44" s="28" t="s">
        <v>1871</v>
      </c>
      <c r="E44">
        <v>249</v>
      </c>
      <c r="F44" s="29">
        <v>29660</v>
      </c>
      <c r="G44" s="30">
        <f>6790+16790</f>
        <v>23580</v>
      </c>
      <c r="H44" s="30">
        <f t="shared" si="23"/>
        <v>-6080</v>
      </c>
      <c r="I44" s="28" t="s">
        <v>2332</v>
      </c>
      <c r="K44" s="31"/>
      <c r="L44" s="31">
        <v>43509</v>
      </c>
      <c r="M44" s="28" t="s">
        <v>33</v>
      </c>
      <c r="O44" s="2">
        <v>26.5</v>
      </c>
      <c r="P44" s="32"/>
      <c r="Q44" s="138">
        <v>21300</v>
      </c>
      <c r="R44" s="2">
        <f>72*E44</f>
        <v>17928</v>
      </c>
      <c r="S44" s="33">
        <f>-38*E44</f>
        <v>-9462</v>
      </c>
      <c r="T44" s="141">
        <f t="shared" si="24"/>
        <v>5138.305695504665</v>
      </c>
      <c r="U44" s="2">
        <f>E44*5</f>
        <v>1245</v>
      </c>
      <c r="W44" s="2">
        <v>0.3</v>
      </c>
      <c r="X44" s="2">
        <f t="shared" ref="X44" si="28">((O44*F44)+Q44+R44+S44+U44)/G44</f>
        <v>34.648049194232399</v>
      </c>
      <c r="Y44" s="2">
        <f>((O44*F44)+Q44+R44+S44+T44+U44)/G44+W44</f>
        <v>35.165958680895024</v>
      </c>
      <c r="Z44" s="3">
        <f>Y44*G44</f>
        <v>829213.30569550465</v>
      </c>
      <c r="AA44" s="34">
        <v>43523</v>
      </c>
      <c r="AB44" s="3"/>
      <c r="AC44" s="35" t="s">
        <v>2314</v>
      </c>
    </row>
    <row r="45" spans="1:32" x14ac:dyDescent="0.25">
      <c r="A45" s="147"/>
      <c r="B45" s="27" t="s">
        <v>30</v>
      </c>
      <c r="C45" s="28" t="s">
        <v>40</v>
      </c>
      <c r="D45" s="28" t="s">
        <v>40</v>
      </c>
      <c r="E45" t="s">
        <v>37</v>
      </c>
      <c r="F45" s="29">
        <f>42072*0.4536</f>
        <v>19083.859199999999</v>
      </c>
      <c r="G45" s="30">
        <v>19029.11</v>
      </c>
      <c r="H45" s="30">
        <f>G45-F45</f>
        <v>-54.749199999998382</v>
      </c>
      <c r="I45" t="s">
        <v>2171</v>
      </c>
      <c r="J45" s="52" t="s">
        <v>196</v>
      </c>
      <c r="K45" s="31">
        <v>43509</v>
      </c>
      <c r="L45" s="31">
        <v>43510</v>
      </c>
      <c r="M45" s="28" t="s">
        <v>41</v>
      </c>
      <c r="N45" s="28" t="s">
        <v>2164</v>
      </c>
      <c r="O45" s="2"/>
      <c r="P45" s="32">
        <f>0.4307+0.105</f>
        <v>0.53570000000000007</v>
      </c>
      <c r="Q45" s="140">
        <v>26000</v>
      </c>
      <c r="R45" s="2">
        <v>87587</v>
      </c>
      <c r="S45" s="68">
        <v>19.149000000000001</v>
      </c>
      <c r="T45" s="141">
        <f>X45*F45*0.005</f>
        <v>2738.931469411234</v>
      </c>
      <c r="V45" s="2">
        <v>0.12</v>
      </c>
      <c r="W45" s="2">
        <v>0.3</v>
      </c>
      <c r="X45" s="2">
        <f>IF(O45&gt;0,O45,((P45*2.2046*S45)+(Q45+R45)/G45)+V45)</f>
        <v>28.704167649814085</v>
      </c>
      <c r="Y45" s="2">
        <f>IF(O45&gt;0,O45,((P45*2.2046*S45)+(Q45+R45+T45)/G45)+V45+W45)</f>
        <v>29.148101415997118</v>
      </c>
      <c r="Z45" s="3">
        <f>Y45*F45</f>
        <v>556258.26337020961</v>
      </c>
      <c r="AA45" s="34">
        <v>43503</v>
      </c>
      <c r="AB45" s="3"/>
      <c r="AC45" s="35"/>
    </row>
    <row r="46" spans="1:32" x14ac:dyDescent="0.25">
      <c r="A46" s="147"/>
      <c r="B46" s="27" t="s">
        <v>26</v>
      </c>
      <c r="C46" t="s">
        <v>27</v>
      </c>
      <c r="D46" s="28" t="s">
        <v>1871</v>
      </c>
      <c r="E46">
        <v>249</v>
      </c>
      <c r="F46" s="29">
        <v>28800</v>
      </c>
      <c r="G46" s="30">
        <v>22950</v>
      </c>
      <c r="H46" s="30">
        <f t="shared" ref="H46:H48" si="29">G46-F46</f>
        <v>-5850</v>
      </c>
      <c r="I46" s="28" t="s">
        <v>2341</v>
      </c>
      <c r="J46" s="55">
        <v>250</v>
      </c>
      <c r="K46" s="31"/>
      <c r="L46" s="31">
        <v>43510</v>
      </c>
      <c r="M46" s="28" t="s">
        <v>41</v>
      </c>
      <c r="O46" s="2">
        <v>26.5</v>
      </c>
      <c r="P46" s="32"/>
      <c r="Q46" s="140">
        <v>21300</v>
      </c>
      <c r="R46" s="2">
        <f>72*E46</f>
        <v>17928</v>
      </c>
      <c r="S46" s="33">
        <f>-38*E46</f>
        <v>-9462</v>
      </c>
      <c r="T46" s="141">
        <f>X46*F46*0.0045</f>
        <v>4484.9562352941166</v>
      </c>
      <c r="U46" s="2">
        <f>E46*5</f>
        <v>1245</v>
      </c>
      <c r="W46" s="2">
        <v>0.3</v>
      </c>
      <c r="X46" s="2">
        <f t="shared" ref="X46" si="30">((O46*F46)+Q46+R46+S46+U46)/G46</f>
        <v>34.606143790849671</v>
      </c>
      <c r="Y46" s="2">
        <f>((O46*F46)+Q46+R46+S46+T46+U46)/G46+W46</f>
        <v>35.101566720492116</v>
      </c>
      <c r="Z46" s="3">
        <f>Y46*G46</f>
        <v>805580.95623529411</v>
      </c>
      <c r="AA46" s="34">
        <v>43523</v>
      </c>
      <c r="AB46" s="3"/>
      <c r="AC46" s="35"/>
    </row>
    <row r="47" spans="1:32" x14ac:dyDescent="0.25">
      <c r="A47" s="147"/>
      <c r="B47" s="27" t="s">
        <v>26</v>
      </c>
      <c r="C47" t="s">
        <v>27</v>
      </c>
      <c r="D47" s="28" t="s">
        <v>1682</v>
      </c>
      <c r="E47">
        <v>130</v>
      </c>
      <c r="F47" s="29">
        <v>16235</v>
      </c>
      <c r="G47" s="30">
        <v>12820</v>
      </c>
      <c r="H47" s="30">
        <f t="shared" si="29"/>
        <v>-3415</v>
      </c>
      <c r="I47" s="28" t="s">
        <v>2333</v>
      </c>
      <c r="J47" s="55">
        <v>129</v>
      </c>
      <c r="K47" s="31"/>
      <c r="L47" s="31">
        <v>43510</v>
      </c>
      <c r="M47" s="28" t="s">
        <v>41</v>
      </c>
      <c r="O47" s="2">
        <v>26.5</v>
      </c>
      <c r="P47" s="32"/>
      <c r="Q47" s="140">
        <v>16900</v>
      </c>
      <c r="R47" s="2">
        <f>72*E47</f>
        <v>9360</v>
      </c>
      <c r="S47" s="33">
        <f>-38*E47</f>
        <v>-4940</v>
      </c>
      <c r="T47" s="141">
        <f>X47*F47*0.0045</f>
        <v>2576.9437485374415</v>
      </c>
      <c r="U47" s="2">
        <f>E47*5</f>
        <v>650</v>
      </c>
      <c r="W47" s="2">
        <v>0.3</v>
      </c>
      <c r="X47" s="2">
        <f>((O47*F47)+Q47+R47+S47+U47)/G47</f>
        <v>35.272815912636503</v>
      </c>
      <c r="Y47" s="2">
        <f>((O47*F47)+Q47+R47+S47+T47+U47)/G47+W47</f>
        <v>35.773825565408536</v>
      </c>
      <c r="Z47" s="3">
        <f>Y47*G47</f>
        <v>458620.44374853745</v>
      </c>
      <c r="AA47" s="34">
        <v>43523</v>
      </c>
      <c r="AB47" s="3"/>
      <c r="AC47" s="35" t="s">
        <v>2326</v>
      </c>
    </row>
    <row r="48" spans="1:32" x14ac:dyDescent="0.25">
      <c r="A48" s="147"/>
      <c r="B48" s="27" t="s">
        <v>2321</v>
      </c>
      <c r="C48" t="s">
        <v>2322</v>
      </c>
      <c r="D48" s="28" t="s">
        <v>2044</v>
      </c>
      <c r="E48" t="s">
        <v>2320</v>
      </c>
      <c r="F48" s="29">
        <v>1003.34</v>
      </c>
      <c r="G48" s="30">
        <v>1003.34</v>
      </c>
      <c r="H48" s="30">
        <f t="shared" si="29"/>
        <v>0</v>
      </c>
      <c r="I48" t="s">
        <v>2318</v>
      </c>
      <c r="K48" s="31"/>
      <c r="L48" s="31">
        <v>43510</v>
      </c>
      <c r="M48" s="28" t="s">
        <v>41</v>
      </c>
      <c r="O48" s="2">
        <v>53</v>
      </c>
      <c r="P48" s="32"/>
      <c r="Q48" s="2"/>
      <c r="R48" s="2"/>
      <c r="S48" s="33"/>
      <c r="T48" s="33"/>
      <c r="U48" s="2"/>
      <c r="W48" s="2"/>
      <c r="X48" s="2">
        <f>IF(O48&gt;0,O48,((P48*2.2046*S48)+(Q48+R48)/G48)+V48)</f>
        <v>53</v>
      </c>
      <c r="Y48" s="2">
        <f>IF(O48&gt;0,O48,((P48*2.2046*S48)+(Q48+R48+T48)/G48)+V48+W48)</f>
        <v>53</v>
      </c>
      <c r="Z48" s="3">
        <f>Y48*F48</f>
        <v>53177.020000000004</v>
      </c>
      <c r="AA48" s="34">
        <v>43510</v>
      </c>
      <c r="AB48" s="3"/>
      <c r="AC48" s="35"/>
    </row>
    <row r="49" spans="1:32" x14ac:dyDescent="0.25">
      <c r="A49" s="147"/>
      <c r="B49" s="27" t="s">
        <v>30</v>
      </c>
      <c r="C49" s="28" t="s">
        <v>1790</v>
      </c>
      <c r="D49" s="28" t="s">
        <v>1790</v>
      </c>
      <c r="E49" t="s">
        <v>32</v>
      </c>
      <c r="F49" s="29">
        <f>41937*0.4536</f>
        <v>19022.623200000002</v>
      </c>
      <c r="G49" s="30">
        <v>18990.689999999999</v>
      </c>
      <c r="H49" s="30">
        <f>G49-F49</f>
        <v>-31.933200000003126</v>
      </c>
      <c r="I49" s="28" t="s">
        <v>2172</v>
      </c>
      <c r="J49" s="52" t="s">
        <v>196</v>
      </c>
      <c r="K49" s="31">
        <v>43510</v>
      </c>
      <c r="L49" s="31">
        <v>43511</v>
      </c>
      <c r="M49" s="28" t="s">
        <v>45</v>
      </c>
      <c r="N49" s="28" t="s">
        <v>2165</v>
      </c>
      <c r="O49" s="2"/>
      <c r="P49" s="32">
        <f>0.4307+0.095</f>
        <v>0.52570000000000006</v>
      </c>
      <c r="Q49" s="140">
        <v>26000</v>
      </c>
      <c r="R49" s="2">
        <v>85731</v>
      </c>
      <c r="S49" s="68">
        <v>19.292999999999999</v>
      </c>
      <c r="T49" s="141">
        <f>X49*F49*0.005</f>
        <v>2697.7164008730674</v>
      </c>
      <c r="V49" s="2">
        <v>0.12</v>
      </c>
      <c r="W49" s="2">
        <v>0.3</v>
      </c>
      <c r="X49" s="2">
        <f>IF(O49&gt;0,O49,((P49*2.2046*S49)+(Q49+R49)/G49)+V49)</f>
        <v>28.363242782131824</v>
      </c>
      <c r="Y49" s="2">
        <f>IF(O49&gt;0,O49,((P49*2.2046*S49)+(Q49+R49+T49)/G49)+V49+W49)</f>
        <v>28.805297462655442</v>
      </c>
      <c r="Z49" s="3">
        <f>Y49*F49</f>
        <v>547952.31979601062</v>
      </c>
      <c r="AA49" s="34">
        <v>43514</v>
      </c>
      <c r="AB49" s="3"/>
      <c r="AC49" s="35"/>
    </row>
    <row r="50" spans="1:32" x14ac:dyDescent="0.25">
      <c r="A50" s="147"/>
      <c r="B50" s="27" t="s">
        <v>30</v>
      </c>
      <c r="C50" s="28" t="s">
        <v>35</v>
      </c>
      <c r="D50" s="28" t="s">
        <v>36</v>
      </c>
      <c r="E50" t="s">
        <v>37</v>
      </c>
      <c r="F50" s="29">
        <f>41760*0.4536</f>
        <v>18942.335999999999</v>
      </c>
      <c r="G50" s="30">
        <v>18083.36</v>
      </c>
      <c r="H50" s="122">
        <f>G50-F50</f>
        <v>-858.97599999999875</v>
      </c>
      <c r="I50" t="s">
        <v>2173</v>
      </c>
      <c r="J50" s="52" t="s">
        <v>196</v>
      </c>
      <c r="K50" s="31">
        <v>43510</v>
      </c>
      <c r="L50" s="31">
        <v>43511</v>
      </c>
      <c r="M50" s="28" t="s">
        <v>45</v>
      </c>
      <c r="N50" s="28" t="s">
        <v>2166</v>
      </c>
      <c r="O50" s="2"/>
      <c r="P50" s="32">
        <f>0.4252+0.1</f>
        <v>0.5252</v>
      </c>
      <c r="Q50" s="140">
        <v>26000</v>
      </c>
      <c r="R50" s="2">
        <v>93671</v>
      </c>
      <c r="S50" s="68">
        <v>19.277999999999999</v>
      </c>
      <c r="T50" s="141">
        <f>X50*F50*0.005</f>
        <v>2752.2160842645185</v>
      </c>
      <c r="V50" s="2">
        <v>0.12</v>
      </c>
      <c r="W50" s="2">
        <v>0.3</v>
      </c>
      <c r="X50" s="2">
        <f>IF(O50&gt;0,O50,((P50*2.2046*S50)+(Q50+R50)/G50)+V50)</f>
        <v>29.058887818952414</v>
      </c>
      <c r="Y50" s="2">
        <f>IF(O50&gt;0,O50,((P50*2.2046*S50)+(Q50+R50+T50)/G50)+V50+W50)</f>
        <v>29.511083875673322</v>
      </c>
      <c r="Z50" s="3">
        <f>Y50*F50</f>
        <v>559008.86649718625</v>
      </c>
      <c r="AA50" s="34">
        <v>43516</v>
      </c>
      <c r="AB50" s="3" t="s">
        <v>2352</v>
      </c>
      <c r="AC50" s="35"/>
    </row>
    <row r="51" spans="1:32" x14ac:dyDescent="0.25">
      <c r="A51" s="147"/>
      <c r="B51" s="27" t="s">
        <v>26</v>
      </c>
      <c r="C51" t="s">
        <v>27</v>
      </c>
      <c r="D51" s="28" t="s">
        <v>44</v>
      </c>
      <c r="E51">
        <v>234</v>
      </c>
      <c r="F51" s="29">
        <v>21346.42</v>
      </c>
      <c r="G51" s="30">
        <v>21550</v>
      </c>
      <c r="H51" s="30">
        <f t="shared" ref="H51:H53" si="31">G51-F51</f>
        <v>203.58000000000175</v>
      </c>
      <c r="I51" t="s">
        <v>2397</v>
      </c>
      <c r="K51" s="31"/>
      <c r="L51" s="31">
        <v>43511</v>
      </c>
      <c r="M51" s="28" t="s">
        <v>45</v>
      </c>
      <c r="O51" s="2">
        <v>35.4</v>
      </c>
      <c r="P51" s="32"/>
      <c r="Q51" s="2"/>
      <c r="R51" s="2"/>
      <c r="S51" s="33"/>
      <c r="T51" s="33"/>
      <c r="U51" s="2">
        <f>E51*5</f>
        <v>1170</v>
      </c>
      <c r="W51" s="2">
        <v>0.3</v>
      </c>
      <c r="X51" s="2">
        <f>((O51*F51)+Q51+R51+S51+U51)/G51</f>
        <v>35.119873225058001</v>
      </c>
      <c r="Y51" s="2">
        <f>((O51*F51)+Q51+R51+S51+T51+U51)/G51+W51</f>
        <v>35.419873225057998</v>
      </c>
      <c r="Z51" s="3">
        <f>Y51*G51</f>
        <v>763298.26799999981</v>
      </c>
      <c r="AA51" s="34">
        <v>43516</v>
      </c>
      <c r="AB51" s="3"/>
      <c r="AC51" s="35"/>
    </row>
    <row r="52" spans="1:32" x14ac:dyDescent="0.25">
      <c r="A52" s="147"/>
      <c r="B52" s="27" t="s">
        <v>26</v>
      </c>
      <c r="C52" t="s">
        <v>27</v>
      </c>
      <c r="D52" s="28" t="s">
        <v>2346</v>
      </c>
      <c r="E52">
        <f>149+110</f>
        <v>259</v>
      </c>
      <c r="F52" s="29">
        <f>16510+11680</f>
        <v>28190</v>
      </c>
      <c r="G52" s="30">
        <f>11380+10930</f>
        <v>22310</v>
      </c>
      <c r="H52" s="30">
        <f t="shared" si="31"/>
        <v>-5880</v>
      </c>
      <c r="I52" s="28" t="s">
        <v>2345</v>
      </c>
      <c r="K52" s="31"/>
      <c r="L52" s="31">
        <v>43511</v>
      </c>
      <c r="M52" s="28" t="s">
        <v>45</v>
      </c>
      <c r="O52" s="2">
        <v>26.5</v>
      </c>
      <c r="P52" s="32"/>
      <c r="Q52" s="140">
        <v>21300</v>
      </c>
      <c r="R52" s="2">
        <f>72*E52</f>
        <v>18648</v>
      </c>
      <c r="S52" s="33">
        <f>-38*E52</f>
        <v>-9842</v>
      </c>
      <c r="T52" s="141">
        <f>X52*F52*0.0045</f>
        <v>4426.1989592111149</v>
      </c>
      <c r="U52" s="2">
        <f>E52*5</f>
        <v>1295</v>
      </c>
      <c r="W52" s="2">
        <v>0.3</v>
      </c>
      <c r="X52" s="2">
        <f>((O52*F52)+Q52+R52+S52+U52)/G52</f>
        <v>34.891797400268935</v>
      </c>
      <c r="Y52" s="2">
        <f>((O52*F52)+Q52+R52+S52+T52+U52)/G52+W52</f>
        <v>35.390192692030972</v>
      </c>
      <c r="Z52" s="3">
        <f>Y52*G52</f>
        <v>789555.198959211</v>
      </c>
      <c r="AA52" s="34">
        <v>43524</v>
      </c>
      <c r="AB52" s="3"/>
      <c r="AC52" s="35" t="s">
        <v>2353</v>
      </c>
    </row>
    <row r="53" spans="1:32" x14ac:dyDescent="0.25">
      <c r="A53" s="147"/>
      <c r="B53" s="27" t="s">
        <v>30</v>
      </c>
      <c r="C53" t="s">
        <v>40</v>
      </c>
      <c r="D53" s="28" t="s">
        <v>40</v>
      </c>
      <c r="E53" t="s">
        <v>37</v>
      </c>
      <c r="F53" s="29">
        <f>42863*0.4536</f>
        <v>19442.656800000001</v>
      </c>
      <c r="G53" s="30">
        <v>19378.97</v>
      </c>
      <c r="H53" s="30">
        <f t="shared" si="31"/>
        <v>-63.686799999999494</v>
      </c>
      <c r="I53" s="28" t="s">
        <v>2174</v>
      </c>
      <c r="J53" s="52" t="s">
        <v>196</v>
      </c>
      <c r="K53" s="31">
        <v>43511</v>
      </c>
      <c r="L53" s="31">
        <v>43512</v>
      </c>
      <c r="M53" s="28" t="s">
        <v>46</v>
      </c>
      <c r="N53" s="28" t="s">
        <v>2167</v>
      </c>
      <c r="O53" s="2"/>
      <c r="P53" s="32">
        <f>0.4489+0.105</f>
        <v>0.55390000000000006</v>
      </c>
      <c r="Q53" s="140">
        <v>26000</v>
      </c>
      <c r="R53" s="2">
        <v>92659</v>
      </c>
      <c r="S53" s="68">
        <v>19.122</v>
      </c>
      <c r="T53" s="141">
        <f>X53*F53*0.005</f>
        <v>2876.8802811875444</v>
      </c>
      <c r="V53" s="2">
        <v>0.12</v>
      </c>
      <c r="W53" s="2">
        <v>0.3</v>
      </c>
      <c r="X53" s="2">
        <f>IF(O53&gt;0,O53,((P53*2.2046*S53)+(Q53+R53)/G53)+V53)</f>
        <v>29.593489313533986</v>
      </c>
      <c r="Y53" s="2">
        <f>IF(O53&gt;0,O53,((P53*2.2046*S53)+(Q53+R53+T53)/G53)+V53+W53)</f>
        <v>30.041943038432034</v>
      </c>
      <c r="Z53" s="3">
        <f>Y53*F53</f>
        <v>584095.18810138328</v>
      </c>
      <c r="AA53" s="34">
        <v>43507</v>
      </c>
      <c r="AB53" s="3"/>
      <c r="AC53" s="35"/>
    </row>
    <row r="54" spans="1:32" ht="15.75" thickBot="1" x14ac:dyDescent="0.3">
      <c r="A54" s="148"/>
      <c r="B54" s="41"/>
      <c r="C54" s="4"/>
      <c r="D54" s="4"/>
      <c r="E54" s="4"/>
      <c r="F54" s="42"/>
      <c r="G54" s="42"/>
      <c r="H54" s="42"/>
      <c r="I54" s="7"/>
      <c r="J54" s="4"/>
      <c r="K54" s="8"/>
      <c r="L54" s="8"/>
      <c r="M54" s="4"/>
      <c r="N54" s="4"/>
      <c r="O54" s="9"/>
      <c r="P54" s="10"/>
      <c r="Q54" s="9"/>
      <c r="R54" s="9"/>
      <c r="S54" s="9"/>
      <c r="T54" s="9"/>
      <c r="U54" s="9"/>
      <c r="V54" s="9"/>
      <c r="W54" s="9"/>
      <c r="X54" s="9"/>
      <c r="Y54" s="9"/>
      <c r="Z54" s="13"/>
      <c r="AA54" s="43"/>
      <c r="AB54" s="3"/>
      <c r="AC54" s="35"/>
    </row>
    <row r="55" spans="1:32" ht="15.75" thickTop="1" x14ac:dyDescent="0.25">
      <c r="A55" s="150"/>
      <c r="B55" s="14" t="s">
        <v>26</v>
      </c>
      <c r="C55" s="14" t="s">
        <v>27</v>
      </c>
      <c r="D55" s="15" t="s">
        <v>1829</v>
      </c>
      <c r="E55" s="14">
        <v>200</v>
      </c>
      <c r="F55" s="16">
        <v>22740</v>
      </c>
      <c r="G55" s="17">
        <v>18110</v>
      </c>
      <c r="H55" s="18">
        <f t="shared" ref="H55:H66" si="32">G55-F55</f>
        <v>-4630</v>
      </c>
      <c r="I55" s="19" t="s">
        <v>2375</v>
      </c>
      <c r="J55" s="121" t="s">
        <v>2394</v>
      </c>
      <c r="K55" s="20"/>
      <c r="L55" s="20">
        <v>43513</v>
      </c>
      <c r="M55" s="15" t="s">
        <v>28</v>
      </c>
      <c r="N55" s="14"/>
      <c r="O55" s="21">
        <v>26.5</v>
      </c>
      <c r="P55" s="22"/>
      <c r="Q55" s="139">
        <v>21300</v>
      </c>
      <c r="R55" s="2">
        <f>72*E55</f>
        <v>14400</v>
      </c>
      <c r="S55" s="21">
        <f>-38*E55</f>
        <v>-7600</v>
      </c>
      <c r="T55" s="157">
        <f>X55*F55*0.0045</f>
        <v>3569.4579955825507</v>
      </c>
      <c r="U55" s="21">
        <f>E55*5</f>
        <v>1000</v>
      </c>
      <c r="V55" s="14"/>
      <c r="W55" s="21">
        <v>0.3</v>
      </c>
      <c r="X55" s="21">
        <f>((O55*F55)+Q55+R55+S55+U55)/G55</f>
        <v>34.881833241303148</v>
      </c>
      <c r="Y55" s="24">
        <f>((O55*F55)+Q55+R55+S55+T55+U55)/G55+W55</f>
        <v>35.378931971042661</v>
      </c>
      <c r="Z55" s="24">
        <f>Y55*G55</f>
        <v>640712.4579955826</v>
      </c>
      <c r="AA55" s="25">
        <v>43528</v>
      </c>
      <c r="AB55" s="3"/>
      <c r="AC55" s="3"/>
    </row>
    <row r="56" spans="1:32" x14ac:dyDescent="0.25">
      <c r="A56" s="151"/>
      <c r="B56" s="27" t="s">
        <v>26</v>
      </c>
      <c r="C56" t="s">
        <v>27</v>
      </c>
      <c r="D56" s="28" t="s">
        <v>1684</v>
      </c>
      <c r="E56">
        <v>130</v>
      </c>
      <c r="F56" s="29">
        <v>15770</v>
      </c>
      <c r="G56" s="30">
        <v>12160</v>
      </c>
      <c r="H56" s="30">
        <f t="shared" si="32"/>
        <v>-3610</v>
      </c>
      <c r="I56" s="28" t="s">
        <v>2376</v>
      </c>
      <c r="K56" s="31"/>
      <c r="L56" s="31">
        <v>43513</v>
      </c>
      <c r="M56" s="28" t="s">
        <v>28</v>
      </c>
      <c r="O56" s="2">
        <v>26.5</v>
      </c>
      <c r="P56" s="32"/>
      <c r="Q56" s="140">
        <v>16900</v>
      </c>
      <c r="R56" s="2">
        <f>72*E56</f>
        <v>9360</v>
      </c>
      <c r="S56" s="33">
        <f>-38*E56</f>
        <v>-4940</v>
      </c>
      <c r="T56" s="141">
        <f>X56*F56*0.0045</f>
        <v>2567.0830078125</v>
      </c>
      <c r="U56" s="2">
        <f>E56*5</f>
        <v>650</v>
      </c>
      <c r="W56" s="2">
        <v>0.3</v>
      </c>
      <c r="X56" s="2">
        <f>((O56*F56)+Q56+R56+S56+U56)/G56</f>
        <v>36.17393092105263</v>
      </c>
      <c r="Y56" s="2">
        <f>((O56*F56)+Q56+R56+S56+T56+U56)/G56+W56</f>
        <v>36.685039721037207</v>
      </c>
      <c r="Z56" s="3">
        <f>Y56*G56</f>
        <v>446090.08300781244</v>
      </c>
      <c r="AA56" s="34">
        <v>43528</v>
      </c>
      <c r="AB56" s="3">
        <v>35.9</v>
      </c>
      <c r="AC56" s="35" t="s">
        <v>2377</v>
      </c>
    </row>
    <row r="57" spans="1:32" x14ac:dyDescent="0.25">
      <c r="A57" s="151"/>
      <c r="B57" s="27" t="s">
        <v>26</v>
      </c>
      <c r="C57" t="s">
        <v>27</v>
      </c>
      <c r="D57" s="28" t="s">
        <v>2382</v>
      </c>
      <c r="E57">
        <f>220+30</f>
        <v>250</v>
      </c>
      <c r="F57" s="227">
        <f>24425+3480</f>
        <v>27905</v>
      </c>
      <c r="G57" s="30">
        <f>15760+6070</f>
        <v>21830</v>
      </c>
      <c r="H57" s="30">
        <f t="shared" si="32"/>
        <v>-6075</v>
      </c>
      <c r="I57" s="28" t="s">
        <v>2383</v>
      </c>
      <c r="K57" s="31"/>
      <c r="L57" s="31">
        <v>43514</v>
      </c>
      <c r="M57" s="28" t="s">
        <v>29</v>
      </c>
      <c r="O57" s="2">
        <v>26.5</v>
      </c>
      <c r="P57" s="32"/>
      <c r="Q57" s="138">
        <v>21300</v>
      </c>
      <c r="R57" s="2">
        <f>72*E57</f>
        <v>18000</v>
      </c>
      <c r="S57" s="33">
        <f>-38*E57</f>
        <v>-9500</v>
      </c>
      <c r="T57" s="141">
        <f>X57*F57*0.0045</f>
        <v>4432.3267226866692</v>
      </c>
      <c r="U57" s="2">
        <f>E57*5</f>
        <v>1250</v>
      </c>
      <c r="W57" s="2">
        <v>0.3</v>
      </c>
      <c r="X57" s="2">
        <f>((O57*F57)+Q57+R57+S57+U57)/G57</f>
        <v>35.29695373339441</v>
      </c>
      <c r="Y57" s="2">
        <f>((O57*F57)+Q57+R57+S57+T57+U57)/G57+W57</f>
        <v>35.799992062422653</v>
      </c>
      <c r="Z57" s="3">
        <f>Y57*G57</f>
        <v>781513.82672268653</v>
      </c>
      <c r="AA57" s="34">
        <v>43528</v>
      </c>
      <c r="AB57" s="3"/>
      <c r="AC57" s="35" t="s">
        <v>2385</v>
      </c>
    </row>
    <row r="58" spans="1:32" x14ac:dyDescent="0.25">
      <c r="A58" s="151"/>
      <c r="B58" s="27" t="s">
        <v>1732</v>
      </c>
      <c r="C58" t="s">
        <v>1733</v>
      </c>
      <c r="D58" s="28" t="s">
        <v>2367</v>
      </c>
      <c r="E58" t="s">
        <v>2368</v>
      </c>
      <c r="F58" s="29">
        <v>18506.55</v>
      </c>
      <c r="G58" s="30">
        <v>18507</v>
      </c>
      <c r="H58" s="30">
        <f t="shared" si="32"/>
        <v>0.4500000000007276</v>
      </c>
      <c r="I58" s="28" t="s">
        <v>2366</v>
      </c>
      <c r="K58" s="31"/>
      <c r="L58" s="31">
        <v>43514</v>
      </c>
      <c r="M58" s="28" t="s">
        <v>29</v>
      </c>
      <c r="O58" s="2">
        <v>59.8</v>
      </c>
      <c r="P58" s="32"/>
      <c r="Q58" s="2"/>
      <c r="R58" s="2"/>
      <c r="S58" s="33"/>
      <c r="T58" s="33"/>
      <c r="U58" s="2"/>
      <c r="W58" s="2"/>
      <c r="X58" s="2">
        <f>IF(O58&gt;0,O58,((P58*2.2046*S58)+(Q58+R58)/G58)+V58)</f>
        <v>59.8</v>
      </c>
      <c r="Y58" s="2">
        <f>IF(O58&gt;0,O58,((P58*2.2046*S58)+(Q58+R58+T58)/G58)+V58+W58)</f>
        <v>59.8</v>
      </c>
      <c r="Z58" s="3">
        <f>Y58*F58</f>
        <v>1106691.69</v>
      </c>
      <c r="AA58" s="34">
        <v>43528</v>
      </c>
      <c r="AB58" s="3"/>
      <c r="AC58" s="35"/>
    </row>
    <row r="59" spans="1:32" x14ac:dyDescent="0.25">
      <c r="A59" s="151"/>
      <c r="B59" s="27" t="s">
        <v>2447</v>
      </c>
      <c r="C59" t="s">
        <v>2448</v>
      </c>
      <c r="D59" s="28" t="s">
        <v>1806</v>
      </c>
      <c r="E59" t="s">
        <v>1914</v>
      </c>
      <c r="F59" s="29">
        <v>1000</v>
      </c>
      <c r="G59" s="30">
        <v>1000</v>
      </c>
      <c r="H59" s="30">
        <f t="shared" si="32"/>
        <v>0</v>
      </c>
      <c r="I59" s="28" t="s">
        <v>2446</v>
      </c>
      <c r="K59" s="31"/>
      <c r="L59" s="31">
        <v>43514</v>
      </c>
      <c r="M59" s="28" t="s">
        <v>29</v>
      </c>
      <c r="O59" s="2">
        <v>29.5</v>
      </c>
      <c r="P59" s="32"/>
      <c r="Q59" s="2"/>
      <c r="R59" s="2"/>
      <c r="S59" s="33"/>
      <c r="T59" s="33"/>
      <c r="U59" s="2"/>
      <c r="W59" s="2"/>
      <c r="X59" s="2">
        <f>IF(O59&gt;0,O59,((P59*2.2046*S59)+(Q59+R59)/G59)+V59)</f>
        <v>29.5</v>
      </c>
      <c r="Y59" s="2">
        <f>IF(O59&gt;0,O59,((P59*2.2046*S59)+(Q59+R59+T59)/G59)+V59+W59)</f>
        <v>29.5</v>
      </c>
      <c r="Z59" s="3">
        <f>Y59*F59</f>
        <v>29500</v>
      </c>
      <c r="AA59" s="34">
        <v>43523</v>
      </c>
      <c r="AB59" s="3"/>
      <c r="AC59" s="35"/>
    </row>
    <row r="60" spans="1:32" x14ac:dyDescent="0.25">
      <c r="A60" s="151"/>
      <c r="B60" s="27" t="s">
        <v>30</v>
      </c>
      <c r="C60" s="28" t="s">
        <v>1790</v>
      </c>
      <c r="D60" s="28" t="s">
        <v>1790</v>
      </c>
      <c r="E60" t="s">
        <v>32</v>
      </c>
      <c r="F60" s="29">
        <f>41699*0.4536</f>
        <v>18914.666400000002</v>
      </c>
      <c r="G60" s="30">
        <v>18781.28</v>
      </c>
      <c r="H60" s="30">
        <f t="shared" si="32"/>
        <v>-133.38640000000305</v>
      </c>
      <c r="I60" s="28" t="s">
        <v>2177</v>
      </c>
      <c r="J60" s="52" t="s">
        <v>196</v>
      </c>
      <c r="K60" s="31">
        <v>43514</v>
      </c>
      <c r="L60" s="31">
        <v>43515</v>
      </c>
      <c r="M60" s="28" t="s">
        <v>48</v>
      </c>
      <c r="N60" s="28" t="s">
        <v>2175</v>
      </c>
      <c r="O60" s="2"/>
      <c r="P60" s="32">
        <f>0.43+0.095</f>
        <v>0.52500000000000002</v>
      </c>
      <c r="Q60" s="140">
        <v>26000</v>
      </c>
      <c r="R60" s="2">
        <v>85599</v>
      </c>
      <c r="S60" s="68">
        <v>19.100999999999999</v>
      </c>
      <c r="T60" s="141">
        <f t="shared" ref="T60" si="33">X60*F60*0.005</f>
        <v>2664.1135202837131</v>
      </c>
      <c r="V60" s="2">
        <v>0.12</v>
      </c>
      <c r="W60" s="2">
        <v>0.3</v>
      </c>
      <c r="X60" s="2">
        <f>IF(O60&gt;0,O60,((P60*2.2046*S60)+(Q60+R60)/G60)+V60)</f>
        <v>28.169817684796307</v>
      </c>
      <c r="Y60" s="2">
        <f>IF(O60&gt;0,O60,((P60*2.2046*S60)+(Q60+R60+T60)/G60)+V60+W60)</f>
        <v>28.611667096566098</v>
      </c>
      <c r="Z60" s="3">
        <f>Y60*F60</f>
        <v>541180.13827940437</v>
      </c>
      <c r="AA60" s="34">
        <v>43507</v>
      </c>
      <c r="AB60" s="3"/>
      <c r="AC60" s="35"/>
    </row>
    <row r="61" spans="1:32" x14ac:dyDescent="0.25">
      <c r="A61" s="151"/>
      <c r="B61" s="27" t="s">
        <v>30</v>
      </c>
      <c r="C61" s="28" t="s">
        <v>35</v>
      </c>
      <c r="D61" s="28" t="s">
        <v>36</v>
      </c>
      <c r="E61" t="s">
        <v>37</v>
      </c>
      <c r="F61" s="29">
        <f>40997*0.4536</f>
        <v>18596.2392</v>
      </c>
      <c r="G61" s="30">
        <v>18923.27</v>
      </c>
      <c r="H61" s="30">
        <f t="shared" si="32"/>
        <v>327.03080000000045</v>
      </c>
      <c r="I61" t="s">
        <v>2178</v>
      </c>
      <c r="J61" s="52" t="s">
        <v>196</v>
      </c>
      <c r="K61" s="31">
        <v>43514</v>
      </c>
      <c r="L61" s="31">
        <v>43515</v>
      </c>
      <c r="M61" s="28" t="s">
        <v>48</v>
      </c>
      <c r="N61" s="28" t="s">
        <v>2176</v>
      </c>
      <c r="O61" s="2"/>
      <c r="P61" s="32">
        <f>0.43+0.1</f>
        <v>0.53</v>
      </c>
      <c r="Q61" s="140">
        <v>26000</v>
      </c>
      <c r="R61" s="2">
        <v>88636</v>
      </c>
      <c r="S61" s="68">
        <v>19.206</v>
      </c>
      <c r="T61" s="141">
        <f>X61*F61*0.005</f>
        <v>2661.0249819175974</v>
      </c>
      <c r="V61" s="2">
        <v>0.12</v>
      </c>
      <c r="W61" s="2">
        <v>0.3</v>
      </c>
      <c r="X61" s="2">
        <f>IF(O61&gt;0,O61,((P61*2.2046*S61)+(Q61+R61)/G61)+V61)</f>
        <v>28.618958417329861</v>
      </c>
      <c r="Y61" s="2">
        <f>IF(O61&gt;0,O61,((P61*2.2046*S61)+(Q61+R61+T61)/G61)+V61+W61)</f>
        <v>29.059580253931969</v>
      </c>
      <c r="Z61" s="3">
        <f>Y61*F61</f>
        <v>540398.90545371559</v>
      </c>
      <c r="AA61" s="34">
        <v>43518</v>
      </c>
      <c r="AB61" s="3"/>
      <c r="AC61" s="35"/>
    </row>
    <row r="62" spans="1:32" x14ac:dyDescent="0.25">
      <c r="A62" s="151"/>
      <c r="B62" s="27" t="s">
        <v>26</v>
      </c>
      <c r="C62" t="s">
        <v>27</v>
      </c>
      <c r="D62" s="28" t="s">
        <v>1871</v>
      </c>
      <c r="E62">
        <v>200</v>
      </c>
      <c r="F62" s="29">
        <v>22850</v>
      </c>
      <c r="G62" s="30">
        <v>18280</v>
      </c>
      <c r="H62" s="30">
        <f t="shared" si="32"/>
        <v>-4570</v>
      </c>
      <c r="I62" s="28" t="s">
        <v>2387</v>
      </c>
      <c r="K62" s="31"/>
      <c r="L62" s="31">
        <v>43515</v>
      </c>
      <c r="M62" s="28" t="s">
        <v>48</v>
      </c>
      <c r="O62" s="2">
        <v>26.5</v>
      </c>
      <c r="P62" s="32"/>
      <c r="Q62" s="138">
        <v>21300</v>
      </c>
      <c r="R62" s="2">
        <f>72*E62</f>
        <v>14400</v>
      </c>
      <c r="S62" s="33">
        <f>-38*E62</f>
        <v>-7600</v>
      </c>
      <c r="T62" s="141">
        <f>X62*F62*0.005</f>
        <v>3966.40625</v>
      </c>
      <c r="U62" s="2">
        <f>E62*5</f>
        <v>1000</v>
      </c>
      <c r="W62" s="2">
        <v>0.3</v>
      </c>
      <c r="X62" s="2">
        <f>((O62*F62)+Q62+R62+S62+U62)/G62</f>
        <v>34.716903719912473</v>
      </c>
      <c r="Y62" s="2">
        <f>((O62*F62)+Q62+R62+S62+T62+U62)/G62+W62</f>
        <v>35.233884368161924</v>
      </c>
      <c r="Z62" s="3">
        <f>Y62*G62</f>
        <v>644075.40625</v>
      </c>
      <c r="AA62" s="34">
        <v>43529</v>
      </c>
      <c r="AB62" s="3"/>
      <c r="AC62" s="35"/>
      <c r="AF62" s="30"/>
    </row>
    <row r="63" spans="1:32" x14ac:dyDescent="0.25">
      <c r="A63" s="151"/>
      <c r="B63" s="27" t="s">
        <v>30</v>
      </c>
      <c r="C63" s="28" t="s">
        <v>31</v>
      </c>
      <c r="D63" s="28" t="s">
        <v>31</v>
      </c>
      <c r="E63" t="s">
        <v>32</v>
      </c>
      <c r="F63" s="29">
        <f>41208*0.4536</f>
        <v>18691.948800000002</v>
      </c>
      <c r="G63" s="30">
        <v>18696.77</v>
      </c>
      <c r="H63" s="30">
        <f t="shared" si="32"/>
        <v>4.8211999999984982</v>
      </c>
      <c r="I63" s="28" t="s">
        <v>2158</v>
      </c>
      <c r="J63" s="52" t="s">
        <v>1690</v>
      </c>
      <c r="K63" s="31">
        <v>43516</v>
      </c>
      <c r="L63" s="31">
        <v>43517</v>
      </c>
      <c r="M63" s="28" t="s">
        <v>41</v>
      </c>
      <c r="N63" s="28" t="s">
        <v>2176</v>
      </c>
      <c r="O63" s="2"/>
      <c r="P63" s="32">
        <f>0.43+0.1</f>
        <v>0.53</v>
      </c>
      <c r="Q63" s="140">
        <v>26000</v>
      </c>
      <c r="R63" s="2">
        <v>83994</v>
      </c>
      <c r="S63" s="68">
        <v>19.323</v>
      </c>
      <c r="T63" s="141">
        <f t="shared" ref="T63:T65" si="34">X63*F63*0.005</f>
        <v>2671.1519823407302</v>
      </c>
      <c r="V63" s="2">
        <v>0.12</v>
      </c>
      <c r="W63" s="2">
        <v>0.3</v>
      </c>
      <c r="X63" s="2">
        <f>IF(O63&gt;0,O63,((P63*2.2046*S63)+(Q63+R63)/G63)+V63)</f>
        <v>28.580775722440777</v>
      </c>
      <c r="Y63" s="2">
        <f>IF(O63&gt;0,O63,((P63*2.2046*S63)+(Q63+R63+T63)/G63)+V63+W63)</f>
        <v>29.023642751469897</v>
      </c>
      <c r="Z63" s="3">
        <f>Y63*F63</f>
        <v>542508.44429996645</v>
      </c>
      <c r="AA63" s="34">
        <v>43509</v>
      </c>
      <c r="AB63" s="3"/>
      <c r="AC63" s="35"/>
    </row>
    <row r="64" spans="1:32" x14ac:dyDescent="0.25">
      <c r="A64" s="151"/>
      <c r="B64" s="27" t="s">
        <v>30</v>
      </c>
      <c r="C64" s="28" t="s">
        <v>40</v>
      </c>
      <c r="D64" s="28" t="s">
        <v>40</v>
      </c>
      <c r="E64" t="s">
        <v>37</v>
      </c>
      <c r="F64" s="29">
        <f>42193*0.4536</f>
        <v>19138.7448</v>
      </c>
      <c r="G64" s="30">
        <v>19145.45</v>
      </c>
      <c r="H64" s="30">
        <f t="shared" si="32"/>
        <v>6.7052000000003318</v>
      </c>
      <c r="I64" s="28" t="s">
        <v>2179</v>
      </c>
      <c r="J64" s="52" t="s">
        <v>196</v>
      </c>
      <c r="K64" s="31">
        <v>43514</v>
      </c>
      <c r="L64" s="31">
        <v>43515</v>
      </c>
      <c r="M64" s="28" t="s">
        <v>48</v>
      </c>
      <c r="N64" s="28" t="s">
        <v>2181</v>
      </c>
      <c r="O64" s="2"/>
      <c r="P64" s="32">
        <f>0.4191+0.105</f>
        <v>0.52410000000000001</v>
      </c>
      <c r="Q64" s="140">
        <v>26000</v>
      </c>
      <c r="R64" s="2">
        <v>86322</v>
      </c>
      <c r="S64" s="68">
        <v>19.321999999999999</v>
      </c>
      <c r="T64" s="141">
        <f t="shared" si="34"/>
        <v>2709.2814411502959</v>
      </c>
      <c r="V64" s="2">
        <v>0.12</v>
      </c>
      <c r="W64" s="2">
        <v>0.3</v>
      </c>
      <c r="X64" s="2">
        <f t="shared" ref="X64" si="35">IF(O64&gt;0,O64,((P64*2.2046*S64)+(Q64+R64)/G64)+V64)</f>
        <v>28.312007599895434</v>
      </c>
      <c r="Y64" s="2">
        <f t="shared" ref="Y64" si="36">IF(O64&gt;0,O64,((P64*2.2046*S64)+(Q64+R64+T64)/G64)+V64+W64)</f>
        <v>28.753518060143183</v>
      </c>
      <c r="Z64" s="3">
        <f t="shared" ref="Z64" si="37">Y64*F64</f>
        <v>550306.24425527139</v>
      </c>
      <c r="AA64" s="34">
        <v>43509</v>
      </c>
      <c r="AB64" s="3"/>
      <c r="AC64" s="35"/>
    </row>
    <row r="65" spans="1:29" x14ac:dyDescent="0.25">
      <c r="A65" s="151"/>
      <c r="B65" s="27" t="s">
        <v>26</v>
      </c>
      <c r="C65" t="s">
        <v>27</v>
      </c>
      <c r="D65" s="28" t="s">
        <v>2193</v>
      </c>
      <c r="E65">
        <f>220+29</f>
        <v>249</v>
      </c>
      <c r="F65" s="29">
        <f>24990+3880</f>
        <v>28870</v>
      </c>
      <c r="G65" s="30">
        <f>15890+6770</f>
        <v>22660</v>
      </c>
      <c r="H65" s="30">
        <f t="shared" si="32"/>
        <v>-6210</v>
      </c>
      <c r="I65" s="28" t="s">
        <v>2402</v>
      </c>
      <c r="J65" s="55">
        <v>248</v>
      </c>
      <c r="K65" s="31"/>
      <c r="L65" s="31">
        <v>43516</v>
      </c>
      <c r="M65" s="28" t="s">
        <v>33</v>
      </c>
      <c r="O65" s="2">
        <v>26.5</v>
      </c>
      <c r="P65" s="32"/>
      <c r="Q65" s="138">
        <v>21300</v>
      </c>
      <c r="R65" s="2">
        <f>72*E65</f>
        <v>17928</v>
      </c>
      <c r="S65" s="33">
        <f>-38*E65</f>
        <v>-9462</v>
      </c>
      <c r="T65" s="141">
        <f t="shared" si="34"/>
        <v>5071.1441791703446</v>
      </c>
      <c r="U65" s="2">
        <f>E65*5</f>
        <v>1245</v>
      </c>
      <c r="W65" s="2">
        <v>0.3</v>
      </c>
      <c r="X65" s="2">
        <f t="shared" ref="X65" si="38">((O65*F65)+Q65+R65+S65+U65)/G65</f>
        <v>35.130891438658431</v>
      </c>
      <c r="Y65" s="2">
        <f>((O65*F65)+Q65+R65+S65+T65+U65)/G65+W65</f>
        <v>35.654684209142559</v>
      </c>
      <c r="Z65" s="3">
        <f>Y65*G65</f>
        <v>807935.14417917037</v>
      </c>
      <c r="AA65" s="34">
        <v>43529</v>
      </c>
      <c r="AB65" s="3"/>
      <c r="AC65" s="35" t="s">
        <v>2409</v>
      </c>
    </row>
    <row r="66" spans="1:29" x14ac:dyDescent="0.25">
      <c r="A66" s="151"/>
      <c r="B66" s="27" t="s">
        <v>2449</v>
      </c>
      <c r="C66" s="28" t="s">
        <v>2450</v>
      </c>
      <c r="D66" s="28" t="s">
        <v>1806</v>
      </c>
      <c r="E66" t="s">
        <v>1815</v>
      </c>
      <c r="F66" s="29">
        <f>884+878+848</f>
        <v>2610</v>
      </c>
      <c r="G66" s="30">
        <v>2610</v>
      </c>
      <c r="H66" s="30">
        <f t="shared" si="32"/>
        <v>0</v>
      </c>
      <c r="I66" s="28" t="s">
        <v>2451</v>
      </c>
      <c r="K66" s="31"/>
      <c r="L66" s="31">
        <v>43516</v>
      </c>
      <c r="M66" s="28" t="s">
        <v>33</v>
      </c>
      <c r="O66" s="2">
        <v>17</v>
      </c>
      <c r="P66" s="32"/>
      <c r="Q66" s="2"/>
      <c r="R66" s="2"/>
      <c r="S66" s="33"/>
      <c r="T66" s="33"/>
      <c r="U66" s="2"/>
      <c r="W66" s="2"/>
      <c r="X66" s="2">
        <f>IF(O66&gt;0,O66,((P66*2.2046*S66)+(Q66+R66)/G66)+V66)</f>
        <v>17</v>
      </c>
      <c r="Y66" s="2">
        <f>IF(O66&gt;0,O66,((P66*2.2046*S66)+(Q66+R66+T66)/G66)+V66+W66)</f>
        <v>17</v>
      </c>
      <c r="Z66" s="3">
        <f>Y66*F66</f>
        <v>44370</v>
      </c>
      <c r="AA66" s="34">
        <v>43523</v>
      </c>
      <c r="AB66" s="3"/>
      <c r="AC66" s="35"/>
    </row>
    <row r="67" spans="1:29" x14ac:dyDescent="0.25">
      <c r="A67" s="151"/>
      <c r="B67" s="27" t="s">
        <v>30</v>
      </c>
      <c r="C67" s="28" t="s">
        <v>40</v>
      </c>
      <c r="D67" s="28" t="s">
        <v>40</v>
      </c>
      <c r="E67" t="s">
        <v>37</v>
      </c>
      <c r="F67" s="29">
        <f>42350*0.4536</f>
        <v>19209.96</v>
      </c>
      <c r="G67" s="30">
        <v>19152.73</v>
      </c>
      <c r="H67" s="30">
        <f>G67-F67</f>
        <v>-57.229999999999563</v>
      </c>
      <c r="I67" t="s">
        <v>2180</v>
      </c>
      <c r="J67" s="52" t="s">
        <v>196</v>
      </c>
      <c r="K67" s="31">
        <v>43516</v>
      </c>
      <c r="L67" s="31">
        <v>43517</v>
      </c>
      <c r="M67" s="28" t="s">
        <v>41</v>
      </c>
      <c r="N67" s="28" t="s">
        <v>2181</v>
      </c>
      <c r="O67" s="2"/>
      <c r="P67" s="32">
        <f>0.4191+0.105</f>
        <v>0.52410000000000001</v>
      </c>
      <c r="Q67" s="140">
        <v>26000</v>
      </c>
      <c r="R67" s="2">
        <v>86215</v>
      </c>
      <c r="S67" s="68">
        <v>19.41</v>
      </c>
      <c r="T67" s="141">
        <f>X67*F67*0.005</f>
        <v>2728.3780237809237</v>
      </c>
      <c r="V67" s="2">
        <v>0.12</v>
      </c>
      <c r="W67" s="2">
        <v>0.3</v>
      </c>
      <c r="X67" s="2">
        <f>IF(O67&gt;0,O67,((P67*2.2046*S67)+(Q67+R67)/G67)+V67)</f>
        <v>28.405868869908357</v>
      </c>
      <c r="Y67" s="2">
        <f>IF(O67&gt;0,O67,((P67*2.2046*S67)+(Q67+R67+T67)/G67)+V67+W67)</f>
        <v>28.848322610120896</v>
      </c>
      <c r="Z67" s="3">
        <f>Y67*F67</f>
        <v>554175.12340751803</v>
      </c>
      <c r="AA67" s="34">
        <v>43510</v>
      </c>
      <c r="AB67" s="3"/>
      <c r="AC67" s="35"/>
    </row>
    <row r="68" spans="1:29" x14ac:dyDescent="0.25">
      <c r="A68" s="151"/>
      <c r="B68" s="27" t="s">
        <v>26</v>
      </c>
      <c r="C68" t="s">
        <v>27</v>
      </c>
      <c r="D68" s="28" t="s">
        <v>1720</v>
      </c>
      <c r="E68">
        <v>201</v>
      </c>
      <c r="F68" s="29">
        <v>22620</v>
      </c>
      <c r="G68" s="30">
        <v>17390</v>
      </c>
      <c r="H68" s="30">
        <f t="shared" ref="H68:H70" si="39">G68-F68</f>
        <v>-5230</v>
      </c>
      <c r="I68" s="28" t="s">
        <v>2403</v>
      </c>
      <c r="J68" s="159">
        <v>200</v>
      </c>
      <c r="K68" s="31"/>
      <c r="L68" s="31">
        <v>43517</v>
      </c>
      <c r="M68" s="28" t="s">
        <v>41</v>
      </c>
      <c r="O68" s="2">
        <v>26.5</v>
      </c>
      <c r="P68" s="32"/>
      <c r="Q68" s="138">
        <v>21300</v>
      </c>
      <c r="R68" s="2">
        <f>72*E68</f>
        <v>14472</v>
      </c>
      <c r="S68" s="33">
        <f>-38*E68</f>
        <v>-7638</v>
      </c>
      <c r="T68" s="141">
        <f>X68*F68*0.0045</f>
        <v>3679.243157561817</v>
      </c>
      <c r="U68" s="2">
        <f>E68*5</f>
        <v>1005</v>
      </c>
      <c r="W68" s="2">
        <v>0.3</v>
      </c>
      <c r="X68" s="2">
        <f t="shared" ref="X68" si="40">((O68*F68)+Q68+R68+S68+U68)/G68</f>
        <v>36.145428407130538</v>
      </c>
      <c r="Y68" s="2">
        <f>((O68*F68)+Q68+R68+S68+T68+U68)/G68+W68</f>
        <v>36.657000756616554</v>
      </c>
      <c r="Z68" s="3">
        <f>Y68*G68</f>
        <v>637465.24315756187</v>
      </c>
      <c r="AA68" s="34">
        <v>43530</v>
      </c>
      <c r="AB68" s="3"/>
      <c r="AC68" s="35"/>
    </row>
    <row r="69" spans="1:29" x14ac:dyDescent="0.25">
      <c r="A69" s="151"/>
      <c r="B69" s="27" t="s">
        <v>26</v>
      </c>
      <c r="C69" t="s">
        <v>27</v>
      </c>
      <c r="D69" s="28" t="s">
        <v>1684</v>
      </c>
      <c r="E69">
        <v>130</v>
      </c>
      <c r="F69" s="29">
        <v>16855</v>
      </c>
      <c r="G69" s="30">
        <v>13450</v>
      </c>
      <c r="H69" s="30">
        <f t="shared" si="39"/>
        <v>-3405</v>
      </c>
      <c r="I69" s="28" t="s">
        <v>2404</v>
      </c>
      <c r="K69" s="31"/>
      <c r="L69" s="31">
        <v>43517</v>
      </c>
      <c r="M69" s="28" t="s">
        <v>41</v>
      </c>
      <c r="O69" s="2">
        <v>26.5</v>
      </c>
      <c r="P69" s="32"/>
      <c r="Q69" s="140">
        <v>16900</v>
      </c>
      <c r="R69" s="2">
        <f>72*E69</f>
        <v>9360</v>
      </c>
      <c r="S69" s="33">
        <f>-38*E69</f>
        <v>-4940</v>
      </c>
      <c r="T69" s="141">
        <f>X69*F69*0.0045</f>
        <v>2642.6932569702599</v>
      </c>
      <c r="U69" s="2">
        <f>E69*5</f>
        <v>650</v>
      </c>
      <c r="W69" s="2">
        <v>0.3</v>
      </c>
      <c r="X69" s="2">
        <f>((O69*F69)+Q69+R69+S69+U69)/G69</f>
        <v>34.842193308550186</v>
      </c>
      <c r="Y69" s="2">
        <f>((O69*F69)+Q69+R69+S69+T69+U69)/G69+W69</f>
        <v>35.338676078585145</v>
      </c>
      <c r="Z69" s="3">
        <f>Y69*G69</f>
        <v>475305.1932569702</v>
      </c>
      <c r="AA69" s="34">
        <v>43530</v>
      </c>
      <c r="AB69" s="3"/>
      <c r="AC69" s="35" t="s">
        <v>2410</v>
      </c>
    </row>
    <row r="70" spans="1:29" x14ac:dyDescent="0.25">
      <c r="A70" s="151"/>
      <c r="B70" s="27" t="s">
        <v>1729</v>
      </c>
      <c r="C70" t="s">
        <v>2443</v>
      </c>
      <c r="D70" s="28" t="s">
        <v>1734</v>
      </c>
      <c r="E70" t="s">
        <v>2444</v>
      </c>
      <c r="F70" s="29">
        <v>3007.44</v>
      </c>
      <c r="G70" s="30">
        <v>3007.44</v>
      </c>
      <c r="H70" s="30">
        <f t="shared" si="39"/>
        <v>0</v>
      </c>
      <c r="I70" s="28" t="s">
        <v>2461</v>
      </c>
      <c r="K70" s="31"/>
      <c r="L70" s="31">
        <v>43517</v>
      </c>
      <c r="M70" s="28" t="s">
        <v>41</v>
      </c>
      <c r="O70" s="2">
        <v>89.5</v>
      </c>
      <c r="P70" s="32"/>
      <c r="Q70" s="2"/>
      <c r="R70" s="2"/>
      <c r="S70" s="33"/>
      <c r="T70" s="33"/>
      <c r="U70" s="2"/>
      <c r="W70" s="2"/>
      <c r="X70" s="2">
        <f>IF(O70&gt;0,O70,((P70*2.2046*S70)+(Q70+R70)/G70)+V70)</f>
        <v>89.5</v>
      </c>
      <c r="Y70" s="2">
        <f>IF(O70&gt;0,O70,((P70*2.2046*S70)+(Q70+R70+T70)/G70)+V70+W70)</f>
        <v>89.5</v>
      </c>
      <c r="Z70" s="3">
        <f>Y70*F70</f>
        <v>269165.88</v>
      </c>
      <c r="AA70" s="34">
        <v>43524</v>
      </c>
      <c r="AB70" s="3"/>
      <c r="AC70" s="35"/>
    </row>
    <row r="71" spans="1:29" x14ac:dyDescent="0.25">
      <c r="A71" s="151"/>
      <c r="B71" s="27" t="s">
        <v>30</v>
      </c>
      <c r="C71" s="28" t="s">
        <v>1790</v>
      </c>
      <c r="D71" s="28" t="s">
        <v>1790</v>
      </c>
      <c r="E71" t="s">
        <v>32</v>
      </c>
      <c r="F71" s="29">
        <f>41308*0.4536</f>
        <v>18737.308799999999</v>
      </c>
      <c r="G71" s="30">
        <v>18670.97</v>
      </c>
      <c r="H71" s="30">
        <f>G71-F71</f>
        <v>-66.338799999997718</v>
      </c>
      <c r="I71" s="28" t="s">
        <v>2182</v>
      </c>
      <c r="J71" s="52" t="s">
        <v>196</v>
      </c>
      <c r="K71" s="31">
        <v>43517</v>
      </c>
      <c r="L71" s="31">
        <v>43518</v>
      </c>
      <c r="M71" s="28" t="s">
        <v>45</v>
      </c>
      <c r="N71" s="28" t="s">
        <v>2184</v>
      </c>
      <c r="O71" s="2"/>
      <c r="P71" s="32">
        <f>0.4191+0.095</f>
        <v>0.5141</v>
      </c>
      <c r="Q71" s="140">
        <v>26000</v>
      </c>
      <c r="R71" s="2">
        <v>82507</v>
      </c>
      <c r="S71" s="68">
        <v>19.329999999999998</v>
      </c>
      <c r="T71" s="141">
        <f>X71*F71*0.005</f>
        <v>2608.2206976821749</v>
      </c>
      <c r="V71" s="2">
        <v>0.12</v>
      </c>
      <c r="W71" s="2">
        <v>0.3</v>
      </c>
      <c r="X71" s="2">
        <f>IF(O71&gt;0,O71,((P71*2.2046*S71)+(Q71+R71)/G71)+V71)</f>
        <v>27.839864577373831</v>
      </c>
      <c r="Y71" s="2">
        <f>IF(O71&gt;0,O71,((P71*2.2046*S71)+(Q71+R71+T71)/G71)+V71+W71)</f>
        <v>28.279558481744207</v>
      </c>
      <c r="Z71" s="3">
        <f>Y71*F71</f>
        <v>529882.8200001003</v>
      </c>
      <c r="AA71" s="34">
        <v>43508</v>
      </c>
      <c r="AB71" s="3"/>
      <c r="AC71" s="35"/>
    </row>
    <row r="72" spans="1:29" x14ac:dyDescent="0.25">
      <c r="A72" s="151"/>
      <c r="B72" s="27" t="s">
        <v>30</v>
      </c>
      <c r="C72" s="28" t="s">
        <v>35</v>
      </c>
      <c r="D72" s="28" t="s">
        <v>36</v>
      </c>
      <c r="E72" t="s">
        <v>37</v>
      </c>
      <c r="F72" s="29">
        <f>41585*0.4536</f>
        <v>18862.956000000002</v>
      </c>
      <c r="G72" s="30">
        <v>18506.87</v>
      </c>
      <c r="H72" s="122">
        <f>G72-F72</f>
        <v>-356.08600000000297</v>
      </c>
      <c r="I72" t="s">
        <v>2183</v>
      </c>
      <c r="J72" s="52" t="s">
        <v>196</v>
      </c>
      <c r="K72" s="31">
        <v>43517</v>
      </c>
      <c r="L72" s="31">
        <v>43518</v>
      </c>
      <c r="M72" s="28" t="s">
        <v>45</v>
      </c>
      <c r="N72" s="28" t="s">
        <v>2185</v>
      </c>
      <c r="O72" s="2"/>
      <c r="P72" s="32">
        <f>0.4193+0.1</f>
        <v>0.51929999999999998</v>
      </c>
      <c r="Q72" s="140">
        <v>26000</v>
      </c>
      <c r="R72" s="2">
        <v>83808</v>
      </c>
      <c r="S72" s="68">
        <v>19.14</v>
      </c>
      <c r="T72" s="141">
        <f>X72*F72*0.005</f>
        <v>2637.5854313061222</v>
      </c>
      <c r="V72" s="2">
        <v>0.12</v>
      </c>
      <c r="W72" s="2">
        <v>0.3</v>
      </c>
      <c r="X72" s="2">
        <f>IF(O72&gt;0,O72,((P72*2.2046*S72)+(Q72+R72)/G72)+V72)</f>
        <v>27.965769853952075</v>
      </c>
      <c r="Y72" s="2">
        <f>IF(O72&gt;0,O72,((P72*2.2046*S72)+(Q72+R72+T72)/G72)+V72+W72)</f>
        <v>28.408289114708005</v>
      </c>
      <c r="Z72" s="3">
        <f>Y72*F72</f>
        <v>535864.30760601605</v>
      </c>
      <c r="AA72" s="34">
        <v>43514</v>
      </c>
      <c r="AB72" s="3"/>
      <c r="AC72" s="35"/>
    </row>
    <row r="73" spans="1:29" x14ac:dyDescent="0.25">
      <c r="A73" s="151"/>
      <c r="B73" s="27" t="s">
        <v>26</v>
      </c>
      <c r="C73" t="s">
        <v>27</v>
      </c>
      <c r="D73" s="28" t="s">
        <v>44</v>
      </c>
      <c r="E73">
        <v>239</v>
      </c>
      <c r="F73" s="29">
        <v>20970</v>
      </c>
      <c r="G73" s="30">
        <v>20930</v>
      </c>
      <c r="H73" s="30">
        <f t="shared" ref="H73:H75" si="41">G73-F73</f>
        <v>-40</v>
      </c>
      <c r="I73" s="28" t="s">
        <v>2411</v>
      </c>
      <c r="K73" s="31"/>
      <c r="L73" s="31">
        <v>43518</v>
      </c>
      <c r="M73" s="28" t="s">
        <v>45</v>
      </c>
      <c r="O73" s="2">
        <v>35.4</v>
      </c>
      <c r="P73" s="32"/>
      <c r="Q73" s="2"/>
      <c r="R73" s="2"/>
      <c r="S73" s="33"/>
      <c r="T73" s="33"/>
      <c r="U73" s="2">
        <f>E73*5</f>
        <v>1195</v>
      </c>
      <c r="W73" s="2">
        <v>0.3</v>
      </c>
      <c r="X73" s="2">
        <f>((O73*F73)+Q73+R73+S73+U73)/G73</f>
        <v>35.524749163879598</v>
      </c>
      <c r="Y73" s="2">
        <f>((O73*F73)+Q73+R73+S73+T73+U73)/G73+W73</f>
        <v>35.824749163879595</v>
      </c>
      <c r="Z73" s="3">
        <f>Y73*G73</f>
        <v>749811.99999999988</v>
      </c>
      <c r="AA73" s="34">
        <v>43523</v>
      </c>
      <c r="AB73" s="3"/>
      <c r="AC73" s="35"/>
    </row>
    <row r="74" spans="1:29" x14ac:dyDescent="0.25">
      <c r="A74" s="151"/>
      <c r="B74" s="27" t="s">
        <v>26</v>
      </c>
      <c r="C74" t="s">
        <v>27</v>
      </c>
      <c r="D74" s="28" t="s">
        <v>1684</v>
      </c>
      <c r="E74">
        <v>130</v>
      </c>
      <c r="F74" s="29">
        <v>15395</v>
      </c>
      <c r="G74" s="30">
        <v>12320</v>
      </c>
      <c r="H74" s="30">
        <f t="shared" si="41"/>
        <v>-3075</v>
      </c>
      <c r="I74" s="28" t="s">
        <v>2405</v>
      </c>
      <c r="K74" s="31"/>
      <c r="L74" s="31">
        <v>43518</v>
      </c>
      <c r="M74" s="28" t="s">
        <v>45</v>
      </c>
      <c r="O74" s="2">
        <v>26.5</v>
      </c>
      <c r="P74" s="32"/>
      <c r="Q74" s="140">
        <v>16900</v>
      </c>
      <c r="R74" s="2">
        <f>72*E74</f>
        <v>9360</v>
      </c>
      <c r="S74" s="33">
        <f>-38*E74</f>
        <v>-4940</v>
      </c>
      <c r="T74" s="141">
        <f>X74*F74*0.0045</f>
        <v>2417.6132432021104</v>
      </c>
      <c r="U74" s="2">
        <f>E74*5</f>
        <v>650</v>
      </c>
      <c r="W74" s="2">
        <v>0.3</v>
      </c>
      <c r="X74" s="2">
        <f>((O74*F74)+Q74+R74+S74+U74)/G74</f>
        <v>34.897524350649348</v>
      </c>
      <c r="Y74" s="2">
        <f>((O74*F74)+Q74+R74+S74+T74+U74)/G74+W74</f>
        <v>35.393759191818347</v>
      </c>
      <c r="Z74" s="3">
        <f>Y74*G74</f>
        <v>436051.11324320204</v>
      </c>
      <c r="AA74" s="34">
        <v>43531</v>
      </c>
      <c r="AB74" s="3"/>
      <c r="AC74" s="35" t="s">
        <v>2412</v>
      </c>
    </row>
    <row r="75" spans="1:29" x14ac:dyDescent="0.25">
      <c r="A75" s="151"/>
      <c r="B75" s="27" t="s">
        <v>30</v>
      </c>
      <c r="C75" t="s">
        <v>40</v>
      </c>
      <c r="D75" s="28" t="s">
        <v>40</v>
      </c>
      <c r="E75" t="s">
        <v>37</v>
      </c>
      <c r="F75" s="29">
        <f>42403*0.4536</f>
        <v>19234.000800000002</v>
      </c>
      <c r="G75" s="30">
        <v>19151.259999999998</v>
      </c>
      <c r="H75" s="30">
        <f t="shared" si="41"/>
        <v>-82.740800000003219</v>
      </c>
      <c r="I75" s="28" t="s">
        <v>2186</v>
      </c>
      <c r="J75" s="52" t="s">
        <v>196</v>
      </c>
      <c r="K75" s="31">
        <v>43518</v>
      </c>
      <c r="L75" s="31">
        <v>43519</v>
      </c>
      <c r="M75" s="28" t="s">
        <v>46</v>
      </c>
      <c r="N75" s="28" t="s">
        <v>2187</v>
      </c>
      <c r="O75" s="2"/>
      <c r="P75" s="32">
        <f>0.4139+0.105</f>
        <v>0.51890000000000003</v>
      </c>
      <c r="Q75" s="140">
        <v>26000</v>
      </c>
      <c r="R75" s="2">
        <v>85175</v>
      </c>
      <c r="S75" s="68">
        <v>19.318999999999999</v>
      </c>
      <c r="T75" s="141">
        <f>X75*F75*0.005</f>
        <v>2695.202675089944</v>
      </c>
      <c r="V75" s="2">
        <v>0.12</v>
      </c>
      <c r="W75" s="2">
        <v>0.3</v>
      </c>
      <c r="X75" s="2">
        <f>IF(O75&gt;0,O75,((P75*2.2046*S75)+(Q75+R75)/G75)+V75)</f>
        <v>28.025398388149629</v>
      </c>
      <c r="Y75" s="2">
        <f>IF(O75&gt;0,O75,((P75*2.2046*S75)+(Q75+R75+T75)/G75)+V75+W75)</f>
        <v>28.466130782524203</v>
      </c>
      <c r="Z75" s="3">
        <f>Y75*F75</f>
        <v>547517.58224397525</v>
      </c>
      <c r="AA75" s="34">
        <v>43515</v>
      </c>
      <c r="AB75" s="3"/>
      <c r="AC75" s="35"/>
    </row>
    <row r="76" spans="1:29" ht="15.75" thickBot="1" x14ac:dyDescent="0.3">
      <c r="A76" s="152"/>
      <c r="B76" s="41"/>
      <c r="C76" s="4"/>
      <c r="D76" s="4"/>
      <c r="E76" s="4"/>
      <c r="F76" s="42"/>
      <c r="G76" s="42"/>
      <c r="H76" s="42"/>
      <c r="I76" s="7"/>
      <c r="J76" s="4"/>
      <c r="K76" s="8"/>
      <c r="L76" s="8"/>
      <c r="M76" s="4"/>
      <c r="N76" s="4"/>
      <c r="O76" s="9"/>
      <c r="P76" s="10"/>
      <c r="Q76" s="9"/>
      <c r="R76" s="9"/>
      <c r="S76" s="9"/>
      <c r="T76" s="9"/>
      <c r="U76" s="9"/>
      <c r="V76" s="9"/>
      <c r="W76" s="9"/>
      <c r="X76" s="9"/>
      <c r="Y76" s="9"/>
      <c r="Z76" s="13"/>
      <c r="AA76" s="43"/>
      <c r="AB76" s="3"/>
      <c r="AC76" s="35"/>
    </row>
    <row r="77" spans="1:29" x14ac:dyDescent="0.25">
      <c r="A77" s="154"/>
      <c r="B77" s="14" t="s">
        <v>26</v>
      </c>
      <c r="C77" s="14" t="s">
        <v>27</v>
      </c>
      <c r="D77" s="15" t="s">
        <v>2458</v>
      </c>
      <c r="E77" s="14">
        <f>199+50</f>
        <v>249</v>
      </c>
      <c r="F77" s="16">
        <f>22755+5875</f>
        <v>28630</v>
      </c>
      <c r="G77" s="17">
        <f>10540+11830</f>
        <v>22370</v>
      </c>
      <c r="H77" s="30">
        <f t="shared" ref="H77:H80" si="42">G77-F77</f>
        <v>-6260</v>
      </c>
      <c r="I77" s="19" t="s">
        <v>2459</v>
      </c>
      <c r="J77" s="14"/>
      <c r="K77" s="20"/>
      <c r="L77" s="20">
        <v>43520</v>
      </c>
      <c r="M77" s="15" t="s">
        <v>28</v>
      </c>
      <c r="N77" s="14"/>
      <c r="O77" s="21">
        <v>26.5</v>
      </c>
      <c r="P77" s="22"/>
      <c r="Q77" s="139">
        <v>21300</v>
      </c>
      <c r="R77" s="2">
        <f>72*E77</f>
        <v>17928</v>
      </c>
      <c r="S77" s="21">
        <f>-38*E77</f>
        <v>-9462</v>
      </c>
      <c r="T77" s="157">
        <f>X77*F77*0.0045</f>
        <v>4548.1346674117121</v>
      </c>
      <c r="U77" s="21">
        <f>E77*5</f>
        <v>1245</v>
      </c>
      <c r="V77" s="14"/>
      <c r="W77" s="21">
        <v>0.3</v>
      </c>
      <c r="X77" s="21">
        <f>((O77*F77)+Q77+R77+S77+U77)/G77</f>
        <v>35.302011622708989</v>
      </c>
      <c r="Y77" s="24">
        <f>((O77*F77)+Q77+R77+S77+T77+U77)/G77+W77</f>
        <v>35.805325644497614</v>
      </c>
      <c r="Z77" s="24">
        <f>Y77*G77</f>
        <v>800965.13466741168</v>
      </c>
      <c r="AA77" s="25">
        <v>43535</v>
      </c>
      <c r="AB77" s="3"/>
      <c r="AC77" s="3" t="s">
        <v>2465</v>
      </c>
    </row>
    <row r="78" spans="1:29" x14ac:dyDescent="0.25">
      <c r="A78" s="26"/>
      <c r="B78" s="27" t="s">
        <v>26</v>
      </c>
      <c r="C78" t="s">
        <v>27</v>
      </c>
      <c r="D78" s="28" t="s">
        <v>1871</v>
      </c>
      <c r="E78">
        <v>199</v>
      </c>
      <c r="F78" s="29">
        <v>23295</v>
      </c>
      <c r="G78" s="30">
        <f>12140+6520</f>
        <v>18660</v>
      </c>
      <c r="H78" s="30">
        <f t="shared" si="42"/>
        <v>-4635</v>
      </c>
      <c r="I78" s="28" t="s">
        <v>2468</v>
      </c>
      <c r="K78" s="31"/>
      <c r="L78" s="31">
        <v>43521</v>
      </c>
      <c r="M78" s="28" t="s">
        <v>29</v>
      </c>
      <c r="O78" s="2">
        <v>26.5</v>
      </c>
      <c r="P78" s="32"/>
      <c r="Q78" s="138">
        <v>21300</v>
      </c>
      <c r="R78" s="2">
        <f>72*E78</f>
        <v>14328</v>
      </c>
      <c r="S78" s="33">
        <f>-38*E78</f>
        <v>-7562</v>
      </c>
      <c r="T78" s="141">
        <f>X78*F78*0.0045</f>
        <v>3631.2026907154341</v>
      </c>
      <c r="U78" s="2">
        <f>E78*5</f>
        <v>995</v>
      </c>
      <c r="W78" s="2">
        <v>0.3</v>
      </c>
      <c r="X78" s="2">
        <f>((O78*F78)+Q78+R78+S78+U78)/G78</f>
        <v>34.639790996784569</v>
      </c>
      <c r="Y78" s="2">
        <f>((O78*F78)+Q78+R78+S78+T78+U78)/G78+W78</f>
        <v>35.134389211721079</v>
      </c>
      <c r="Z78" s="3">
        <f>Y78*G78</f>
        <v>655607.70269071532</v>
      </c>
      <c r="AA78" s="34">
        <v>43535</v>
      </c>
      <c r="AB78" s="3"/>
      <c r="AC78" s="35" t="s">
        <v>2474</v>
      </c>
    </row>
    <row r="79" spans="1:29" x14ac:dyDescent="0.25">
      <c r="A79" s="26"/>
      <c r="B79" s="27" t="s">
        <v>1909</v>
      </c>
      <c r="C79" t="s">
        <v>2450</v>
      </c>
      <c r="D79" s="28" t="s">
        <v>1806</v>
      </c>
      <c r="E79" t="s">
        <v>2455</v>
      </c>
      <c r="F79" s="29">
        <f>876+862+855+881</f>
        <v>3474</v>
      </c>
      <c r="G79" s="30">
        <v>3000</v>
      </c>
      <c r="H79" s="30">
        <f t="shared" ref="H79" si="43">G79-F79</f>
        <v>-474</v>
      </c>
      <c r="I79" s="28" t="s">
        <v>2457</v>
      </c>
      <c r="K79" s="31"/>
      <c r="L79" s="31">
        <v>43521</v>
      </c>
      <c r="M79" s="28" t="s">
        <v>29</v>
      </c>
      <c r="O79" s="2">
        <v>17</v>
      </c>
      <c r="P79" s="32"/>
      <c r="Q79" s="2"/>
      <c r="R79" s="2"/>
      <c r="S79" s="33"/>
      <c r="T79" s="33"/>
      <c r="U79" s="2"/>
      <c r="W79" s="2"/>
      <c r="X79" s="2">
        <f>((O79*F79)+Q79+R79+S79+U79)/G79</f>
        <v>19.686</v>
      </c>
      <c r="Y79" s="2">
        <v>17</v>
      </c>
      <c r="Z79" s="3">
        <f>Y79*G79</f>
        <v>51000</v>
      </c>
      <c r="AA79" s="34">
        <v>43528</v>
      </c>
      <c r="AB79" s="3"/>
      <c r="AC79" s="35"/>
    </row>
    <row r="80" spans="1:29" x14ac:dyDescent="0.25">
      <c r="A80" s="26"/>
      <c r="B80" s="27" t="s">
        <v>30</v>
      </c>
      <c r="C80" s="28" t="s">
        <v>1790</v>
      </c>
      <c r="D80" s="28" t="s">
        <v>1790</v>
      </c>
      <c r="E80" t="s">
        <v>32</v>
      </c>
      <c r="F80" s="29">
        <f>42728*0.4536</f>
        <v>19381.4208</v>
      </c>
      <c r="G80" s="30">
        <v>19464.11</v>
      </c>
      <c r="H80" s="30">
        <f t="shared" si="42"/>
        <v>82.68920000000071</v>
      </c>
      <c r="I80" s="28" t="s">
        <v>2255</v>
      </c>
      <c r="J80" s="52" t="s">
        <v>196</v>
      </c>
      <c r="K80" s="31">
        <v>43522</v>
      </c>
      <c r="L80" s="31">
        <v>43523</v>
      </c>
      <c r="M80" s="28" t="s">
        <v>33</v>
      </c>
      <c r="N80" s="28" t="s">
        <v>2253</v>
      </c>
      <c r="O80" s="2"/>
      <c r="P80" s="32">
        <f>0.4252+0.095</f>
        <v>0.5202</v>
      </c>
      <c r="Q80" s="140">
        <v>26000</v>
      </c>
      <c r="R80" s="2">
        <v>86263</v>
      </c>
      <c r="S80" s="68">
        <v>19.32</v>
      </c>
      <c r="T80" s="141">
        <f t="shared" ref="T80" si="44">X80*F80*0.005</f>
        <v>2717.7117093014508</v>
      </c>
      <c r="V80" s="2">
        <v>0.12</v>
      </c>
      <c r="W80" s="2">
        <v>0.3</v>
      </c>
      <c r="X80" s="2">
        <f>IF(O80&gt;0,O80,((P80*2.2046*S80)+(Q80+R80)/G80)+V80)</f>
        <v>28.044504449348221</v>
      </c>
      <c r="Y80" s="2">
        <f>IF(O80&gt;0,O80,((P80*2.2046*S80)+(Q80+R80+T80)/G80)+V80+W80)</f>
        <v>28.484131265539737</v>
      </c>
      <c r="Z80" s="3">
        <f>Y80*F80</f>
        <v>552062.93417986215</v>
      </c>
      <c r="AA80" s="34">
        <v>43511</v>
      </c>
      <c r="AB80" s="3"/>
      <c r="AC80" s="35"/>
    </row>
    <row r="81" spans="1:32" x14ac:dyDescent="0.25">
      <c r="A81" s="26"/>
      <c r="B81" s="27" t="s">
        <v>30</v>
      </c>
      <c r="C81" s="28" t="s">
        <v>35</v>
      </c>
      <c r="D81" s="28" t="s">
        <v>36</v>
      </c>
      <c r="E81" t="s">
        <v>37</v>
      </c>
      <c r="F81" s="29">
        <f>41583*0.4536</f>
        <v>18862.0488</v>
      </c>
      <c r="G81" s="30">
        <v>18791.27</v>
      </c>
      <c r="H81" s="30">
        <f>G81-F81</f>
        <v>-70.778800000000047</v>
      </c>
      <c r="I81" t="s">
        <v>2256</v>
      </c>
      <c r="J81" s="52" t="s">
        <v>196</v>
      </c>
      <c r="K81" s="31">
        <v>43521</v>
      </c>
      <c r="L81" s="31">
        <v>43522</v>
      </c>
      <c r="M81" s="28" t="s">
        <v>48</v>
      </c>
      <c r="N81" s="28" t="s">
        <v>2254</v>
      </c>
      <c r="O81" s="2"/>
      <c r="P81" s="32">
        <f>0.4252+0.1</f>
        <v>0.5252</v>
      </c>
      <c r="Q81" s="140">
        <v>26000</v>
      </c>
      <c r="R81" s="2">
        <v>85078</v>
      </c>
      <c r="S81" s="68">
        <v>19.302</v>
      </c>
      <c r="T81" s="141">
        <f>X81*F81*0.005</f>
        <v>2676.5326594602907</v>
      </c>
      <c r="V81" s="2">
        <v>0.12</v>
      </c>
      <c r="W81" s="2">
        <v>0.3</v>
      </c>
      <c r="X81" s="2">
        <f>IF(O81&gt;0,O81,((P81*2.2046*S81)+(Q81+R81)/G81)+V81)</f>
        <v>28.380084134447689</v>
      </c>
      <c r="Y81" s="2">
        <f>IF(O81&gt;0,O81,((P81*2.2046*S81)+(Q81+R81+T81)/G81)+V81+W81)</f>
        <v>28.822519034242131</v>
      </c>
      <c r="Z81" s="3">
        <f>Y81*F81</f>
        <v>543651.76056280395</v>
      </c>
      <c r="AA81" s="34">
        <v>43524</v>
      </c>
      <c r="AB81" s="3"/>
      <c r="AC81" s="35"/>
    </row>
    <row r="82" spans="1:32" x14ac:dyDescent="0.25">
      <c r="A82" s="26"/>
      <c r="B82" s="27" t="s">
        <v>26</v>
      </c>
      <c r="C82" t="s">
        <v>27</v>
      </c>
      <c r="D82" s="28" t="s">
        <v>1871</v>
      </c>
      <c r="E82">
        <v>200</v>
      </c>
      <c r="F82" s="29">
        <v>21710</v>
      </c>
      <c r="G82" s="30">
        <f>6010+11180</f>
        <v>17190</v>
      </c>
      <c r="H82" s="30">
        <f>G82-F82</f>
        <v>-4520</v>
      </c>
      <c r="I82" s="156" t="s">
        <v>2519</v>
      </c>
      <c r="K82" s="31"/>
      <c r="L82" s="31">
        <v>43522</v>
      </c>
      <c r="M82" s="28" t="s">
        <v>48</v>
      </c>
      <c r="O82" s="2">
        <v>26.5</v>
      </c>
      <c r="P82" s="32"/>
      <c r="Q82" s="138">
        <v>21300</v>
      </c>
      <c r="R82" s="2">
        <f>72*E82</f>
        <v>14400</v>
      </c>
      <c r="S82" s="33">
        <f>-38*E82</f>
        <v>-7600</v>
      </c>
      <c r="T82" s="141">
        <f>X82*F82*0.005</f>
        <v>3816.710194880744</v>
      </c>
      <c r="U82" s="2">
        <f>E82*5</f>
        <v>1000</v>
      </c>
      <c r="W82" s="2">
        <v>0.3</v>
      </c>
      <c r="X82" s="2">
        <f>((O82*F82)+Q82+R82+S82+U82)/G82</f>
        <v>35.160849331006396</v>
      </c>
      <c r="Y82" s="2">
        <f>((O82*F82)+Q82+R82+S82+T82+U82)/G82+W82</f>
        <v>35.682880174222262</v>
      </c>
      <c r="Z82" s="3">
        <f>Y82*G82</f>
        <v>613388.71019488072</v>
      </c>
      <c r="AA82" s="34">
        <v>43536</v>
      </c>
      <c r="AB82" s="3"/>
      <c r="AC82" s="35" t="s">
        <v>2480</v>
      </c>
      <c r="AF82" s="30"/>
    </row>
    <row r="83" spans="1:32" x14ac:dyDescent="0.25">
      <c r="A83" s="26"/>
      <c r="B83" s="27" t="s">
        <v>30</v>
      </c>
      <c r="C83" s="28" t="s">
        <v>40</v>
      </c>
      <c r="D83" s="28" t="s">
        <v>40</v>
      </c>
      <c r="E83" t="s">
        <v>37</v>
      </c>
      <c r="F83" s="29">
        <f>42729*0.4536</f>
        <v>19381.874400000001</v>
      </c>
      <c r="G83" s="30">
        <v>19259.64</v>
      </c>
      <c r="H83" s="30">
        <f t="shared" ref="H83:H85" si="45">G83-F83</f>
        <v>-122.23440000000119</v>
      </c>
      <c r="I83" s="28" t="s">
        <v>2257</v>
      </c>
      <c r="J83" s="52" t="s">
        <v>1690</v>
      </c>
      <c r="K83" s="31">
        <v>43522</v>
      </c>
      <c r="L83" s="31">
        <v>43523</v>
      </c>
      <c r="M83" s="28" t="s">
        <v>33</v>
      </c>
      <c r="N83" s="28" t="s">
        <v>2259</v>
      </c>
      <c r="O83" s="2"/>
      <c r="P83" s="32">
        <f>0.4252+0.105</f>
        <v>0.5302</v>
      </c>
      <c r="Q83" s="140">
        <v>26000</v>
      </c>
      <c r="R83" s="2">
        <v>90894</v>
      </c>
      <c r="S83" s="68">
        <v>19.251000000000001</v>
      </c>
      <c r="T83" s="141">
        <f t="shared" ref="T83:T85" si="46">X83*F83*0.005</f>
        <v>2780.4717827966238</v>
      </c>
      <c r="V83" s="2">
        <v>0.12</v>
      </c>
      <c r="W83" s="2">
        <v>0.3</v>
      </c>
      <c r="X83" s="2">
        <f>IF(O83&gt;0,O83,((P83*2.2046*S83)+(Q83+R83)/G83)+V83)</f>
        <v>28.691464255868087</v>
      </c>
      <c r="Y83" s="2">
        <f>IF(O83&gt;0,O83,((P83*2.2046*S83)+(Q83+R83+T83)/G83)+V83+W83)</f>
        <v>29.135832052088404</v>
      </c>
      <c r="Z83" s="3">
        <f>Y83*F83</f>
        <v>564707.03737307177</v>
      </c>
      <c r="AA83" s="34">
        <v>43516</v>
      </c>
      <c r="AB83" s="3"/>
      <c r="AC83" s="35"/>
    </row>
    <row r="84" spans="1:32" x14ac:dyDescent="0.25">
      <c r="A84" s="26"/>
      <c r="B84" s="27" t="s">
        <v>30</v>
      </c>
      <c r="C84" s="28" t="s">
        <v>1790</v>
      </c>
      <c r="D84" s="28" t="s">
        <v>1790</v>
      </c>
      <c r="E84" t="s">
        <v>2413</v>
      </c>
      <c r="F84" s="29">
        <f>39481*0.4536</f>
        <v>17908.581600000001</v>
      </c>
      <c r="G84" s="30">
        <v>17778.169999999998</v>
      </c>
      <c r="H84" s="30">
        <f t="shared" si="45"/>
        <v>-130.41160000000309</v>
      </c>
      <c r="I84" s="28" t="s">
        <v>2258</v>
      </c>
      <c r="J84" s="52" t="s">
        <v>196</v>
      </c>
      <c r="K84" s="31">
        <v>43522</v>
      </c>
      <c r="L84" s="31">
        <v>43523</v>
      </c>
      <c r="M84" s="28" t="s">
        <v>33</v>
      </c>
      <c r="N84" s="28" t="s">
        <v>2253</v>
      </c>
      <c r="O84" s="2"/>
      <c r="P84" s="32">
        <f>0.4252+0.095</f>
        <v>0.5202</v>
      </c>
      <c r="Q84" s="140">
        <v>26000</v>
      </c>
      <c r="R84" s="2">
        <v>83661</v>
      </c>
      <c r="S84" s="68">
        <v>19.32</v>
      </c>
      <c r="T84" s="141">
        <f t="shared" si="46"/>
        <v>2547.0576149454496</v>
      </c>
      <c r="V84" s="2">
        <v>0.12</v>
      </c>
      <c r="W84" s="2">
        <v>0.3</v>
      </c>
      <c r="X84" s="2">
        <f t="shared" ref="X84" si="47">IF(O84&gt;0,O84,((P84*2.2046*S84)+(Q84+R84)/G84)+V84)</f>
        <v>28.445107176387989</v>
      </c>
      <c r="Y84" s="2">
        <f t="shared" ref="Y84" si="48">IF(O84&gt;0,O84,((P84*2.2046*S84)+(Q84+R84+T84)/G84)+V84+W84)</f>
        <v>28.888376006360112</v>
      </c>
      <c r="Z84" s="3">
        <f t="shared" ref="Z84" si="49">Y84*F84</f>
        <v>517349.83900138224</v>
      </c>
      <c r="AA84" s="34">
        <v>43511</v>
      </c>
      <c r="AB84" s="3"/>
      <c r="AC84" s="35"/>
    </row>
    <row r="85" spans="1:32" x14ac:dyDescent="0.25">
      <c r="A85" s="26"/>
      <c r="B85" s="27" t="s">
        <v>26</v>
      </c>
      <c r="C85" t="s">
        <v>27</v>
      </c>
      <c r="D85" s="28" t="s">
        <v>1684</v>
      </c>
      <c r="E85">
        <v>200</v>
      </c>
      <c r="F85" s="29">
        <v>23275</v>
      </c>
      <c r="G85" s="30">
        <f>12690+5870</f>
        <v>18560</v>
      </c>
      <c r="H85" s="30">
        <f t="shared" si="45"/>
        <v>-4715</v>
      </c>
      <c r="I85" s="28" t="s">
        <v>2477</v>
      </c>
      <c r="K85" s="31"/>
      <c r="L85" s="31">
        <v>43523</v>
      </c>
      <c r="M85" s="28" t="s">
        <v>33</v>
      </c>
      <c r="O85" s="2">
        <v>26.5</v>
      </c>
      <c r="P85" s="32"/>
      <c r="Q85" s="138">
        <v>21300</v>
      </c>
      <c r="R85" s="2">
        <f>72*E85</f>
        <v>14400</v>
      </c>
      <c r="S85" s="33">
        <f>-38*E85</f>
        <v>-7600</v>
      </c>
      <c r="T85" s="141">
        <f t="shared" si="46"/>
        <v>4049.8468648976291</v>
      </c>
      <c r="U85" s="2">
        <f>E85*5</f>
        <v>1000</v>
      </c>
      <c r="W85" s="2">
        <v>0.3</v>
      </c>
      <c r="X85" s="2">
        <f t="shared" ref="X85" si="50">((O85*F85)+Q85+R85+S85+U85)/G85</f>
        <v>34.799973060344826</v>
      </c>
      <c r="Y85" s="2">
        <f>((O85*F85)+Q85+R85+S85+T85+U85)/G85+W85</f>
        <v>35.318176016427671</v>
      </c>
      <c r="Z85" s="3">
        <f>Y85*G85</f>
        <v>655505.34686489752</v>
      </c>
      <c r="AA85" s="34">
        <v>43537</v>
      </c>
      <c r="AB85" s="3"/>
      <c r="AC85" s="35" t="s">
        <v>2506</v>
      </c>
    </row>
    <row r="86" spans="1:32" x14ac:dyDescent="0.25">
      <c r="A86" s="26"/>
      <c r="B86" s="27" t="s">
        <v>30</v>
      </c>
      <c r="C86" s="28" t="s">
        <v>40</v>
      </c>
      <c r="D86" s="28" t="s">
        <v>40</v>
      </c>
      <c r="E86" t="s">
        <v>37</v>
      </c>
      <c r="F86" s="29">
        <f>42011*0.4536</f>
        <v>19056.189600000002</v>
      </c>
      <c r="G86" s="30">
        <v>18914.11</v>
      </c>
      <c r="H86" s="30">
        <f>G86-F86</f>
        <v>-142.07960000000094</v>
      </c>
      <c r="I86" t="s">
        <v>2261</v>
      </c>
      <c r="J86" s="52" t="s">
        <v>196</v>
      </c>
      <c r="K86" s="31">
        <v>43523</v>
      </c>
      <c r="L86" s="31">
        <v>43524</v>
      </c>
      <c r="M86" s="28" t="s">
        <v>41</v>
      </c>
      <c r="N86" s="28" t="s">
        <v>2260</v>
      </c>
      <c r="O86" s="2"/>
      <c r="P86" s="32">
        <v>0.53580000000000005</v>
      </c>
      <c r="Q86" s="140">
        <v>26000</v>
      </c>
      <c r="R86" s="2">
        <v>87143</v>
      </c>
      <c r="S86" s="68">
        <v>19.221</v>
      </c>
      <c r="T86" s="141">
        <f>X86*F86*0.005</f>
        <v>2744.6873620312626</v>
      </c>
      <c r="V86" s="2">
        <v>0.12</v>
      </c>
      <c r="W86" s="2">
        <v>0.3</v>
      </c>
      <c r="X86" s="2">
        <f>IF(O86&gt;0,O86,((P86*2.2046*S86)+(Q86+R86)/G86)+V86)</f>
        <v>28.806255811300936</v>
      </c>
      <c r="Y86" s="2">
        <f>IF(O86&gt;0,O86,((P86*2.2046*S86)+(Q86+R86+T86)/G86)+V86+W86)</f>
        <v>29.251369029000912</v>
      </c>
      <c r="Z86" s="3">
        <f>Y86*F86</f>
        <v>557419.63427620928</v>
      </c>
      <c r="AA86" s="34">
        <v>43517</v>
      </c>
      <c r="AB86" s="3"/>
      <c r="AC86" s="35"/>
    </row>
    <row r="87" spans="1:32" x14ac:dyDescent="0.25">
      <c r="A87" s="26"/>
      <c r="B87" s="27" t="s">
        <v>26</v>
      </c>
      <c r="C87" t="s">
        <v>27</v>
      </c>
      <c r="D87" s="28" t="s">
        <v>2382</v>
      </c>
      <c r="E87">
        <f>199+50</f>
        <v>249</v>
      </c>
      <c r="F87" s="29">
        <f>21405+5965</f>
        <v>27370</v>
      </c>
      <c r="G87" s="30">
        <v>21210</v>
      </c>
      <c r="H87" s="30">
        <f t="shared" ref="H87:H90" si="51">G87-F87</f>
        <v>-6160</v>
      </c>
      <c r="I87" s="28" t="s">
        <v>2493</v>
      </c>
      <c r="J87" s="55">
        <v>250</v>
      </c>
      <c r="K87" s="31"/>
      <c r="L87" s="31">
        <v>43524</v>
      </c>
      <c r="M87" s="28" t="s">
        <v>41</v>
      </c>
      <c r="O87" s="2">
        <v>26.5</v>
      </c>
      <c r="P87" s="32"/>
      <c r="Q87" s="138">
        <v>21300</v>
      </c>
      <c r="R87" s="2">
        <f>72*E87</f>
        <v>17928</v>
      </c>
      <c r="S87" s="33">
        <f>-38*E87</f>
        <v>-9462</v>
      </c>
      <c r="T87" s="141">
        <f>X87*F87*0.0045</f>
        <v>4391.8745940594054</v>
      </c>
      <c r="U87" s="2">
        <f>E87*5</f>
        <v>1245</v>
      </c>
      <c r="W87" s="2">
        <v>0.3</v>
      </c>
      <c r="X87" s="2">
        <f t="shared" ref="X87" si="52">((O87*F87)+Q87+R87+S87+U87)/G87</f>
        <v>35.658462989156057</v>
      </c>
      <c r="Y87" s="2">
        <f>((O87*F87)+Q87+R87+S87+T87+U87)/G87+W87</f>
        <v>36.165529212355466</v>
      </c>
      <c r="Z87" s="3">
        <f>Y87*G87</f>
        <v>767070.87459405942</v>
      </c>
      <c r="AA87" s="34">
        <v>43538</v>
      </c>
      <c r="AB87" s="3"/>
      <c r="AC87" s="35"/>
    </row>
    <row r="88" spans="1:32" x14ac:dyDescent="0.25">
      <c r="A88" s="26"/>
      <c r="B88" s="27" t="s">
        <v>26</v>
      </c>
      <c r="C88" t="s">
        <v>27</v>
      </c>
      <c r="D88" s="28" t="s">
        <v>1871</v>
      </c>
      <c r="E88">
        <v>129</v>
      </c>
      <c r="F88" s="29">
        <v>15155</v>
      </c>
      <c r="G88" s="30">
        <v>11660</v>
      </c>
      <c r="H88" s="30">
        <f t="shared" si="51"/>
        <v>-3495</v>
      </c>
      <c r="I88" s="28" t="s">
        <v>2485</v>
      </c>
      <c r="J88" s="55">
        <v>126</v>
      </c>
      <c r="K88" s="31"/>
      <c r="L88" s="31">
        <v>43524</v>
      </c>
      <c r="M88" s="28" t="s">
        <v>41</v>
      </c>
      <c r="O88" s="2">
        <v>26.5</v>
      </c>
      <c r="P88" s="32"/>
      <c r="Q88" s="140">
        <v>16900</v>
      </c>
      <c r="R88" s="2">
        <f>72*E88</f>
        <v>9288</v>
      </c>
      <c r="S88" s="33">
        <f>-38*E88</f>
        <v>-4902</v>
      </c>
      <c r="T88" s="141">
        <f>X88*F88*0.0045</f>
        <v>2477.209850235849</v>
      </c>
      <c r="U88" s="2">
        <f>E88*5</f>
        <v>645</v>
      </c>
      <c r="W88" s="2">
        <v>0.3</v>
      </c>
      <c r="X88" s="2">
        <f>((O88*F88)+Q88+R88+S88+U88)/G88</f>
        <v>36.324056603773585</v>
      </c>
      <c r="Y88" s="2">
        <f>((O88*F88)+Q88+R88+S88+T88+U88)/G88+W88</f>
        <v>36.836510278750929</v>
      </c>
      <c r="Z88" s="3">
        <f>Y88*G88</f>
        <v>429513.70985023584</v>
      </c>
      <c r="AA88" s="34">
        <v>43538</v>
      </c>
      <c r="AB88" s="3"/>
      <c r="AC88" s="35" t="s">
        <v>2507</v>
      </c>
    </row>
    <row r="89" spans="1:32" x14ac:dyDescent="0.25">
      <c r="A89" s="26"/>
      <c r="B89" s="27" t="s">
        <v>1909</v>
      </c>
      <c r="C89" t="s">
        <v>2450</v>
      </c>
      <c r="D89" s="28" t="s">
        <v>1806</v>
      </c>
      <c r="E89" t="s">
        <v>1815</v>
      </c>
      <c r="F89" s="29">
        <v>2600</v>
      </c>
      <c r="G89" s="30">
        <v>2600</v>
      </c>
      <c r="H89" s="30">
        <f t="shared" si="51"/>
        <v>0</v>
      </c>
      <c r="I89" s="28" t="s">
        <v>2562</v>
      </c>
      <c r="K89" s="31"/>
      <c r="L89" s="31">
        <v>43524</v>
      </c>
      <c r="M89" s="28" t="s">
        <v>41</v>
      </c>
      <c r="O89" s="2">
        <v>17</v>
      </c>
      <c r="P89" s="32"/>
      <c r="Q89" s="2"/>
      <c r="R89" s="2"/>
      <c r="S89" s="33"/>
      <c r="T89" s="33"/>
      <c r="U89" s="2"/>
      <c r="W89" s="2"/>
      <c r="X89" s="2">
        <f>IF(O89&gt;0,O89,((P89*2.2046*S89)+(Q89+R89)/G89)+V89)</f>
        <v>17</v>
      </c>
      <c r="Y89" s="2">
        <f>IF(O89&gt;0,O89,((P89*2.2046*S89)+(Q89+R89+T89)/G89)+V89+W89)</f>
        <v>17</v>
      </c>
      <c r="Z89" s="3">
        <f>Y89*F89</f>
        <v>44200</v>
      </c>
      <c r="AA89" s="34">
        <v>43503</v>
      </c>
      <c r="AB89" s="3"/>
      <c r="AC89" s="35"/>
    </row>
    <row r="90" spans="1:32" x14ac:dyDescent="0.25">
      <c r="A90" s="26"/>
      <c r="B90" s="27" t="s">
        <v>2556</v>
      </c>
      <c r="C90" t="s">
        <v>1800</v>
      </c>
      <c r="D90" s="28" t="s">
        <v>2557</v>
      </c>
      <c r="E90" t="s">
        <v>2558</v>
      </c>
      <c r="F90" s="29">
        <v>7013.52</v>
      </c>
      <c r="G90" s="30">
        <v>7013.52</v>
      </c>
      <c r="H90" s="30">
        <f t="shared" si="51"/>
        <v>0</v>
      </c>
      <c r="I90" s="28" t="s">
        <v>2559</v>
      </c>
      <c r="K90" s="31"/>
      <c r="L90" s="31">
        <v>43524</v>
      </c>
      <c r="M90" s="28" t="s">
        <v>41</v>
      </c>
      <c r="O90" s="2">
        <v>96</v>
      </c>
      <c r="P90" s="32"/>
      <c r="Q90" s="2"/>
      <c r="R90" s="2"/>
      <c r="S90" s="33"/>
      <c r="T90" s="33"/>
      <c r="U90" s="2"/>
      <c r="W90" s="2"/>
      <c r="X90" s="2">
        <f>IF(O90&gt;0,O90,((P90*2.2046*S90)+(Q90+R90)/G90)+V90)</f>
        <v>96</v>
      </c>
      <c r="Y90" s="2">
        <f>IF(O90&gt;0,O90,((P90*2.2046*S90)+(Q90+R90+T90)/G90)+V90+W90)</f>
        <v>96</v>
      </c>
      <c r="Z90" s="3">
        <f>Y90*F90</f>
        <v>673297.92000000004</v>
      </c>
      <c r="AA90" s="34">
        <v>43503</v>
      </c>
      <c r="AB90" s="3"/>
      <c r="AC90" s="35"/>
    </row>
    <row r="91" spans="1:32" ht="15.75" thickBot="1" x14ac:dyDescent="0.3">
      <c r="A91" s="40"/>
      <c r="B91" s="41"/>
      <c r="C91" s="4"/>
      <c r="D91" s="4"/>
      <c r="E91" s="4"/>
      <c r="F91" s="42"/>
      <c r="G91" s="42"/>
      <c r="H91" s="42"/>
      <c r="I91" s="7"/>
      <c r="J91" s="4"/>
      <c r="K91" s="8"/>
      <c r="L91" s="8"/>
      <c r="M91" s="4"/>
      <c r="N91" s="4"/>
      <c r="O91" s="9"/>
      <c r="P91" s="10"/>
      <c r="Q91" s="9"/>
      <c r="R91" s="9"/>
      <c r="S91" s="9"/>
      <c r="T91" s="9"/>
      <c r="U91" s="9"/>
      <c r="V91" s="9"/>
      <c r="W91" s="9"/>
      <c r="X91" s="9"/>
      <c r="Y91" s="9"/>
      <c r="Z91" s="13"/>
      <c r="AA91" s="43"/>
      <c r="AB91" s="3"/>
      <c r="AC91" s="35"/>
    </row>
  </sheetData>
  <pageMargins left="0.7" right="0.7" top="0.75" bottom="0.75" header="0.3" footer="0.3"/>
  <pageSetup orientation="portrait" horizontalDpi="4294967292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103"/>
  <sheetViews>
    <sheetView topLeftCell="A64" zoomScale="80" zoomScaleNormal="80" workbookViewId="0">
      <selection activeCell="Y92" sqref="Y92"/>
    </sheetView>
  </sheetViews>
  <sheetFormatPr baseColWidth="10" defaultRowHeight="15" x14ac:dyDescent="0.25"/>
  <cols>
    <col min="1" max="1" width="3" customWidth="1"/>
    <col min="2" max="2" width="18" customWidth="1"/>
    <col min="3" max="3" width="14.28515625" bestFit="1" customWidth="1"/>
    <col min="4" max="4" width="23.42578125" bestFit="1" customWidth="1"/>
    <col min="5" max="5" width="11.42578125" bestFit="1" customWidth="1"/>
    <col min="8" max="8" width="10.85546875" customWidth="1"/>
    <col min="9" max="9" width="11.5703125" bestFit="1" customWidth="1"/>
    <col min="10" max="10" width="11.28515625" customWidth="1"/>
    <col min="13" max="13" width="4" customWidth="1"/>
    <col min="14" max="14" width="8.85546875" customWidth="1"/>
    <col min="18" max="18" width="13.42578125" customWidth="1"/>
    <col min="24" max="24" width="0" hidden="1" customWidth="1"/>
    <col min="26" max="26" width="14.42578125" customWidth="1"/>
    <col min="27" max="27" width="12.140625" customWidth="1"/>
  </cols>
  <sheetData>
    <row r="2" spans="1:29" x14ac:dyDescent="0.25">
      <c r="A2" s="1" t="s">
        <v>2647</v>
      </c>
      <c r="S2" s="2"/>
      <c r="W2" s="2"/>
      <c r="Z2" s="3"/>
    </row>
    <row r="3" spans="1:29" ht="30.75" thickBot="1" x14ac:dyDescent="0.3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 t="s">
        <v>7</v>
      </c>
      <c r="I3" s="7" t="s">
        <v>8</v>
      </c>
      <c r="J3" s="4" t="s">
        <v>9</v>
      </c>
      <c r="K3" s="8" t="s">
        <v>10</v>
      </c>
      <c r="L3" s="8" t="s">
        <v>11</v>
      </c>
      <c r="M3" s="4" t="s">
        <v>12</v>
      </c>
      <c r="N3" s="4" t="s">
        <v>13</v>
      </c>
      <c r="O3" s="9" t="s">
        <v>14</v>
      </c>
      <c r="P3" s="10" t="s">
        <v>15</v>
      </c>
      <c r="Q3" s="9" t="s">
        <v>16</v>
      </c>
      <c r="R3" s="11" t="s">
        <v>17</v>
      </c>
      <c r="S3" s="11" t="s">
        <v>18</v>
      </c>
      <c r="T3" s="12" t="s">
        <v>19</v>
      </c>
      <c r="U3" s="9" t="s">
        <v>20</v>
      </c>
      <c r="V3" s="9" t="s">
        <v>21</v>
      </c>
      <c r="W3" s="12" t="s">
        <v>22</v>
      </c>
      <c r="X3" s="9" t="s">
        <v>23</v>
      </c>
      <c r="Y3" s="9" t="s">
        <v>24</v>
      </c>
      <c r="Z3" s="13" t="s">
        <v>25</v>
      </c>
      <c r="AA3" s="9"/>
    </row>
    <row r="4" spans="1:29" x14ac:dyDescent="0.25">
      <c r="A4" s="26"/>
      <c r="B4" s="27" t="s">
        <v>30</v>
      </c>
      <c r="C4" s="28" t="s">
        <v>1790</v>
      </c>
      <c r="D4" s="28" t="s">
        <v>1790</v>
      </c>
      <c r="E4" t="s">
        <v>32</v>
      </c>
      <c r="F4" s="29">
        <f>41738*0.4536</f>
        <v>18932.356800000001</v>
      </c>
      <c r="G4" s="30">
        <v>18832.54</v>
      </c>
      <c r="H4" s="30">
        <f>G4-F4</f>
        <v>-99.816800000000512</v>
      </c>
      <c r="I4" s="28" t="s">
        <v>2262</v>
      </c>
      <c r="J4" s="52" t="s">
        <v>196</v>
      </c>
      <c r="K4" s="31">
        <v>43524</v>
      </c>
      <c r="L4" s="31">
        <v>43525</v>
      </c>
      <c r="M4" s="28" t="s">
        <v>45</v>
      </c>
      <c r="N4" s="28" t="s">
        <v>2266</v>
      </c>
      <c r="O4" s="2"/>
      <c r="P4" s="32">
        <f>0.43+0.095</f>
        <v>0.52500000000000002</v>
      </c>
      <c r="Q4" s="140">
        <v>26000</v>
      </c>
      <c r="R4" s="2">
        <v>84928</v>
      </c>
      <c r="S4" s="68">
        <v>19.318999999999999</v>
      </c>
      <c r="T4" s="141">
        <f>X4*F4*0.005</f>
        <v>2685.5861267022847</v>
      </c>
      <c r="V4" s="2">
        <v>0.12</v>
      </c>
      <c r="W4" s="2">
        <v>0.3</v>
      </c>
      <c r="X4" s="2">
        <f>IF(O4&gt;0,O4,((P4*2.2046*S4)+(Q4+R4)/G4)+V4)</f>
        <v>28.370330805325668</v>
      </c>
      <c r="Y4" s="2">
        <f>IF(O4&gt;0,O4,((P4*2.2046*S4)+(Q4+R4+T4)/G4)+V4+W4)</f>
        <v>28.8129343057936</v>
      </c>
      <c r="Z4" s="3">
        <f>Y4*F4</f>
        <v>545496.75273224479</v>
      </c>
      <c r="AA4" s="34">
        <v>43515</v>
      </c>
      <c r="AB4" s="3"/>
      <c r="AC4" s="35"/>
    </row>
    <row r="5" spans="1:29" x14ac:dyDescent="0.25">
      <c r="A5" s="26"/>
      <c r="B5" s="27" t="s">
        <v>30</v>
      </c>
      <c r="C5" s="28" t="s">
        <v>35</v>
      </c>
      <c r="D5" s="28" t="s">
        <v>36</v>
      </c>
      <c r="E5" t="s">
        <v>37</v>
      </c>
      <c r="F5" s="29">
        <f>41308*0.4536</f>
        <v>18737.308799999999</v>
      </c>
      <c r="G5" s="30">
        <v>18422.650000000001</v>
      </c>
      <c r="H5" s="30">
        <f>G5-F5</f>
        <v>-314.65879999999743</v>
      </c>
      <c r="I5" t="s">
        <v>2263</v>
      </c>
      <c r="J5" s="52" t="s">
        <v>196</v>
      </c>
      <c r="K5" s="31">
        <v>43524</v>
      </c>
      <c r="L5" s="31">
        <v>43525</v>
      </c>
      <c r="M5" s="28" t="s">
        <v>45</v>
      </c>
      <c r="N5" s="28" t="s">
        <v>2265</v>
      </c>
      <c r="O5" s="2"/>
      <c r="P5" s="32">
        <f>0.4308+0.1</f>
        <v>0.53080000000000005</v>
      </c>
      <c r="Q5" s="140">
        <v>26000</v>
      </c>
      <c r="R5" s="2">
        <v>88576</v>
      </c>
      <c r="S5" s="68">
        <v>19.302</v>
      </c>
      <c r="T5" s="141">
        <f>X5*F5*0.005</f>
        <v>2710.0269558707237</v>
      </c>
      <c r="V5" s="2">
        <v>0.12</v>
      </c>
      <c r="W5" s="2">
        <v>0.3</v>
      </c>
      <c r="X5" s="2">
        <f>IF(O5&gt;0,O5,((P5*2.2046*S5)+(Q5+R5)/G5)+V5)</f>
        <v>28.92653352514235</v>
      </c>
      <c r="Y5" s="2">
        <f>IF(O5&gt;0,O5,((P5*2.2046*S5)+(Q5+R5+T5)/G5)+V5+W5)</f>
        <v>29.373636518244361</v>
      </c>
      <c r="Z5" s="3">
        <f>Y5*F5</f>
        <v>550382.89802130137</v>
      </c>
      <c r="AA5" s="34">
        <v>43524</v>
      </c>
      <c r="AB5" s="3"/>
      <c r="AC5" s="35"/>
    </row>
    <row r="6" spans="1:29" x14ac:dyDescent="0.25">
      <c r="A6" s="26"/>
      <c r="B6" s="27" t="s">
        <v>26</v>
      </c>
      <c r="C6" t="s">
        <v>43</v>
      </c>
      <c r="D6" s="28" t="s">
        <v>44</v>
      </c>
      <c r="E6">
        <v>200</v>
      </c>
      <c r="F6" s="29">
        <v>22039.5</v>
      </c>
      <c r="G6" s="30">
        <v>22090</v>
      </c>
      <c r="H6" s="30">
        <f t="shared" ref="H6:H7" si="0">G6-F6</f>
        <v>50.5</v>
      </c>
      <c r="I6" t="s">
        <v>2572</v>
      </c>
      <c r="K6" s="31"/>
      <c r="L6" s="31">
        <v>43525</v>
      </c>
      <c r="M6" s="28" t="s">
        <v>45</v>
      </c>
      <c r="O6" s="2">
        <v>34.200000000000003</v>
      </c>
      <c r="P6" s="32"/>
      <c r="Q6" s="138">
        <v>21300</v>
      </c>
      <c r="R6" s="2"/>
      <c r="S6" s="33"/>
      <c r="T6" s="141">
        <f>X6*F6*0.0045</f>
        <v>3484.2454571061562</v>
      </c>
      <c r="U6" s="2">
        <f>E6*5</f>
        <v>1000</v>
      </c>
      <c r="W6" s="2">
        <v>0.3</v>
      </c>
      <c r="X6" s="2">
        <f>((O6*F6)+Q6+R6+S6+U6)/G6</f>
        <v>35.131321865097327</v>
      </c>
      <c r="Y6" s="2">
        <f>((O6*F6)+Q6+R6+S6+T6+U6)/G6+W6</f>
        <v>35.589051401408156</v>
      </c>
      <c r="Z6" s="3">
        <f>Y6*G6</f>
        <v>786162.14545710618</v>
      </c>
      <c r="AA6" s="34">
        <v>43530</v>
      </c>
      <c r="AB6" s="3"/>
      <c r="AC6" s="35"/>
    </row>
    <row r="7" spans="1:29" x14ac:dyDescent="0.25">
      <c r="A7" s="26"/>
      <c r="B7" s="27" t="s">
        <v>26</v>
      </c>
      <c r="C7" t="s">
        <v>27</v>
      </c>
      <c r="D7" s="28" t="s">
        <v>2494</v>
      </c>
      <c r="E7">
        <v>129</v>
      </c>
      <c r="F7" s="29">
        <v>14945</v>
      </c>
      <c r="G7" s="30">
        <v>11880</v>
      </c>
      <c r="H7" s="30">
        <f t="shared" si="0"/>
        <v>-3065</v>
      </c>
      <c r="I7" s="28" t="s">
        <v>2495</v>
      </c>
      <c r="K7" s="31"/>
      <c r="L7" s="31">
        <v>43525</v>
      </c>
      <c r="M7" s="28" t="s">
        <v>45</v>
      </c>
      <c r="O7" s="2">
        <v>26.5</v>
      </c>
      <c r="P7" s="32"/>
      <c r="Q7" s="140">
        <v>16900</v>
      </c>
      <c r="R7" s="2">
        <f>72*E7</f>
        <v>9288</v>
      </c>
      <c r="S7" s="153">
        <f>-38*E7</f>
        <v>-4902</v>
      </c>
      <c r="T7" s="141">
        <f>X7*F7*0.0045</f>
        <v>2366.1416505681814</v>
      </c>
      <c r="U7" s="2">
        <f>E7*5</f>
        <v>645</v>
      </c>
      <c r="W7" s="2">
        <v>0.3</v>
      </c>
      <c r="X7" s="2">
        <f>((O7*F7)+Q7+R7+S7+U7)/G7</f>
        <v>35.182954545454542</v>
      </c>
      <c r="Y7" s="2">
        <f>((O7*F7)+Q7+R7+S7+T7+U7)/G7+W7</f>
        <v>35.682124718061289</v>
      </c>
      <c r="Z7" s="3">
        <f>Y7*G7</f>
        <v>423903.64165056811</v>
      </c>
      <c r="AA7" s="34">
        <v>43511</v>
      </c>
      <c r="AB7" s="3"/>
      <c r="AC7" s="35" t="s">
        <v>2527</v>
      </c>
    </row>
    <row r="8" spans="1:29" x14ac:dyDescent="0.25">
      <c r="A8" s="26"/>
      <c r="B8" s="27" t="s">
        <v>1729</v>
      </c>
      <c r="C8" t="s">
        <v>2505</v>
      </c>
      <c r="D8" s="28" t="s">
        <v>1734</v>
      </c>
      <c r="E8" t="s">
        <v>2589</v>
      </c>
      <c r="F8" s="29">
        <v>8997</v>
      </c>
      <c r="G8" s="30">
        <v>8997</v>
      </c>
      <c r="H8" s="30">
        <f t="shared" ref="H8:H13" si="1">G8-F8</f>
        <v>0</v>
      </c>
      <c r="I8" t="s">
        <v>2621</v>
      </c>
      <c r="K8" s="31"/>
      <c r="L8" s="31">
        <v>43525</v>
      </c>
      <c r="M8" s="28" t="s">
        <v>45</v>
      </c>
      <c r="O8" s="2">
        <v>89.8</v>
      </c>
      <c r="P8" s="32"/>
      <c r="Q8" s="2"/>
      <c r="R8" s="2"/>
      <c r="S8" s="33"/>
      <c r="T8" s="33"/>
      <c r="U8" s="2"/>
      <c r="W8" s="2"/>
      <c r="X8" s="2">
        <f>IF(O8&gt;0,O8,((P8*2.2046*S8)+(Q8+R8)/G8)+V8)</f>
        <v>89.8</v>
      </c>
      <c r="Y8" s="2">
        <f>IF(O8&gt;0,O8,((P8*2.2046*S8)+(Q8+R8+T8)/G8)+V8+W8)</f>
        <v>89.8</v>
      </c>
      <c r="Z8" s="3">
        <f>Y8*F8</f>
        <v>807930.6</v>
      </c>
      <c r="AA8" s="34">
        <v>43532</v>
      </c>
      <c r="AB8" s="3"/>
      <c r="AC8" s="35"/>
    </row>
    <row r="9" spans="1:29" x14ac:dyDescent="0.25">
      <c r="A9" s="26"/>
      <c r="B9" s="27" t="s">
        <v>2447</v>
      </c>
      <c r="C9" t="s">
        <v>2448</v>
      </c>
      <c r="D9" s="28" t="s">
        <v>1806</v>
      </c>
      <c r="E9" t="s">
        <v>1914</v>
      </c>
      <c r="F9" s="29">
        <v>1000</v>
      </c>
      <c r="G9" s="30">
        <v>1000</v>
      </c>
      <c r="H9" s="30">
        <f t="shared" si="1"/>
        <v>0</v>
      </c>
      <c r="I9" s="28" t="s">
        <v>2591</v>
      </c>
      <c r="K9" s="31"/>
      <c r="L9" s="31">
        <v>43525</v>
      </c>
      <c r="M9" s="28" t="s">
        <v>45</v>
      </c>
      <c r="O9" s="2">
        <v>29.5</v>
      </c>
      <c r="P9" s="32"/>
      <c r="Q9" s="2"/>
      <c r="R9" s="2"/>
      <c r="S9" s="33"/>
      <c r="T9" s="33"/>
      <c r="U9" s="2"/>
      <c r="W9" s="2"/>
      <c r="X9" s="2">
        <f>IF(O9&gt;0,O9,((P9*2.2046*S9)+(Q9+R9)/G9)+V9)</f>
        <v>29.5</v>
      </c>
      <c r="Y9" s="2">
        <f>IF(O9&gt;0,O9,((P9*2.2046*S9)+(Q9+R9+T9)/G9)+V9+W9)</f>
        <v>29.5</v>
      </c>
      <c r="Z9" s="3">
        <f>Y9*F9</f>
        <v>29500</v>
      </c>
      <c r="AA9" s="34">
        <v>43535</v>
      </c>
      <c r="AB9" s="3"/>
      <c r="AC9" s="35"/>
    </row>
    <row r="10" spans="1:29" x14ac:dyDescent="0.25">
      <c r="A10" s="26"/>
      <c r="B10" s="27" t="s">
        <v>30</v>
      </c>
      <c r="C10" t="s">
        <v>40</v>
      </c>
      <c r="D10" s="28" t="s">
        <v>40</v>
      </c>
      <c r="E10" t="s">
        <v>37</v>
      </c>
      <c r="F10" s="29">
        <f>42033*0.4536</f>
        <v>19066.168799999999</v>
      </c>
      <c r="G10" s="30">
        <v>19117.79</v>
      </c>
      <c r="H10" s="30">
        <f t="shared" si="1"/>
        <v>51.621200000001409</v>
      </c>
      <c r="I10" s="28" t="s">
        <v>2264</v>
      </c>
      <c r="J10" s="52" t="s">
        <v>196</v>
      </c>
      <c r="K10" s="31">
        <v>43525</v>
      </c>
      <c r="L10" s="31">
        <v>43526</v>
      </c>
      <c r="M10" s="28" t="s">
        <v>46</v>
      </c>
      <c r="N10" s="28" t="s">
        <v>2267</v>
      </c>
      <c r="O10" s="2"/>
      <c r="P10" s="32">
        <f>0.4554+0.105</f>
        <v>0.56040000000000001</v>
      </c>
      <c r="Q10" s="140">
        <v>26000</v>
      </c>
      <c r="R10" s="2">
        <v>91381.01</v>
      </c>
      <c r="S10" s="68">
        <v>19.161000000000001</v>
      </c>
      <c r="T10" s="141">
        <f>X10*F10*0.005</f>
        <v>2853.4896794954539</v>
      </c>
      <c r="V10" s="2">
        <v>0.12</v>
      </c>
      <c r="W10" s="2">
        <v>0.3</v>
      </c>
      <c r="X10" s="2">
        <f>IF(O10&gt;0,O10,((P10*2.2046*S10)+(Q10+R10)/G10)+V10)</f>
        <v>29.932491518646934</v>
      </c>
      <c r="Y10" s="2">
        <f>IF(O10&gt;0,O10,((P10*2.2046*S10)+(Q10+R10+T10)/G10)+V10+W10)</f>
        <v>30.381749862812001</v>
      </c>
      <c r="Z10" s="3">
        <f>Y10*F10</f>
        <v>579263.57132375042</v>
      </c>
      <c r="AA10" s="34">
        <v>43521</v>
      </c>
      <c r="AB10" s="3"/>
      <c r="AC10" s="35"/>
    </row>
    <row r="11" spans="1:29" x14ac:dyDescent="0.25">
      <c r="A11" s="26"/>
      <c r="B11" s="27" t="s">
        <v>2582</v>
      </c>
      <c r="C11" t="s">
        <v>2585</v>
      </c>
      <c r="D11" s="28" t="s">
        <v>2044</v>
      </c>
      <c r="E11" t="s">
        <v>2320</v>
      </c>
      <c r="F11" s="29">
        <v>1003.34</v>
      </c>
      <c r="G11" s="30">
        <v>1003.34</v>
      </c>
      <c r="H11" s="30">
        <f t="shared" si="1"/>
        <v>0</v>
      </c>
      <c r="I11" s="28" t="s">
        <v>2578</v>
      </c>
      <c r="K11" s="31"/>
      <c r="L11" s="31">
        <v>43526</v>
      </c>
      <c r="M11" s="28" t="s">
        <v>46</v>
      </c>
      <c r="N11" s="28"/>
      <c r="O11" s="2">
        <v>53</v>
      </c>
      <c r="P11" s="32"/>
      <c r="Q11" s="2"/>
      <c r="R11" s="2"/>
      <c r="S11" s="68"/>
      <c r="T11" s="33"/>
      <c r="V11" s="2"/>
      <c r="W11" s="2"/>
      <c r="X11" s="2">
        <f t="shared" ref="X11:X13" si="2">IF(O11&gt;0,O11,((P11*2.2046*S11)+(Q11+R11)/G11)+V11)</f>
        <v>53</v>
      </c>
      <c r="Y11" s="2">
        <f t="shared" ref="Y11:Y13" si="3">IF(O11&gt;0,O11,((P11*2.2046*S11)+(Q11+R11+T11)/G11)+V11+W11)</f>
        <v>53</v>
      </c>
      <c r="Z11" s="3">
        <f t="shared" ref="Z11:Z13" si="4">Y11*F11</f>
        <v>53177.020000000004</v>
      </c>
      <c r="AA11" s="34">
        <v>43528</v>
      </c>
      <c r="AB11" s="3"/>
      <c r="AC11" s="35"/>
    </row>
    <row r="12" spans="1:29" x14ac:dyDescent="0.25">
      <c r="A12" s="26"/>
      <c r="B12" s="27" t="s">
        <v>2583</v>
      </c>
      <c r="C12" t="s">
        <v>2586</v>
      </c>
      <c r="D12" s="28" t="s">
        <v>2044</v>
      </c>
      <c r="E12" t="s">
        <v>1914</v>
      </c>
      <c r="F12" s="29">
        <v>1000</v>
      </c>
      <c r="G12" s="30">
        <v>1000</v>
      </c>
      <c r="H12" s="30">
        <f t="shared" si="1"/>
        <v>0</v>
      </c>
      <c r="I12" s="28" t="s">
        <v>2588</v>
      </c>
      <c r="K12" s="31"/>
      <c r="L12" s="31">
        <v>43526</v>
      </c>
      <c r="M12" s="28" t="s">
        <v>46</v>
      </c>
      <c r="N12" s="28"/>
      <c r="O12" s="2">
        <v>49</v>
      </c>
      <c r="P12" s="32"/>
      <c r="Q12" s="2"/>
      <c r="R12" s="2"/>
      <c r="S12" s="68"/>
      <c r="T12" s="33"/>
      <c r="V12" s="2"/>
      <c r="W12" s="2"/>
      <c r="X12" s="2">
        <f t="shared" si="2"/>
        <v>49</v>
      </c>
      <c r="Y12" s="2">
        <f t="shared" si="3"/>
        <v>49</v>
      </c>
      <c r="Z12" s="3">
        <f t="shared" si="4"/>
        <v>49000</v>
      </c>
      <c r="AA12" s="34">
        <v>43528</v>
      </c>
      <c r="AB12" s="3"/>
      <c r="AC12" s="35"/>
    </row>
    <row r="13" spans="1:29" x14ac:dyDescent="0.25">
      <c r="A13" s="26"/>
      <c r="B13" s="27" t="s">
        <v>2584</v>
      </c>
      <c r="C13" t="s">
        <v>2587</v>
      </c>
      <c r="D13" s="28" t="s">
        <v>2044</v>
      </c>
      <c r="E13" t="s">
        <v>2581</v>
      </c>
      <c r="F13" s="29">
        <v>100</v>
      </c>
      <c r="G13" s="30">
        <v>100</v>
      </c>
      <c r="H13" s="30">
        <f t="shared" si="1"/>
        <v>0</v>
      </c>
      <c r="I13" s="28" t="s">
        <v>2588</v>
      </c>
      <c r="K13" s="31"/>
      <c r="L13" s="31">
        <v>43526</v>
      </c>
      <c r="M13" s="28" t="s">
        <v>46</v>
      </c>
      <c r="N13" s="28"/>
      <c r="O13" s="2">
        <v>139</v>
      </c>
      <c r="P13" s="32"/>
      <c r="Q13" s="2"/>
      <c r="R13" s="2"/>
      <c r="S13" s="68"/>
      <c r="T13" s="33"/>
      <c r="V13" s="2"/>
      <c r="W13" s="2"/>
      <c r="X13" s="2">
        <f t="shared" si="2"/>
        <v>139</v>
      </c>
      <c r="Y13" s="2">
        <f t="shared" si="3"/>
        <v>139</v>
      </c>
      <c r="Z13" s="3">
        <f t="shared" si="4"/>
        <v>13900</v>
      </c>
      <c r="AA13" s="34">
        <v>43528</v>
      </c>
      <c r="AB13" s="3"/>
      <c r="AC13" s="35"/>
    </row>
    <row r="14" spans="1:29" ht="15.75" thickBot="1" x14ac:dyDescent="0.3">
      <c r="A14" s="40"/>
      <c r="B14" s="41"/>
      <c r="C14" s="4"/>
      <c r="D14" s="4"/>
      <c r="E14" s="4"/>
      <c r="F14" s="42"/>
      <c r="G14" s="42"/>
      <c r="H14" s="42"/>
      <c r="I14" s="7"/>
      <c r="J14" s="4"/>
      <c r="K14" s="8"/>
      <c r="L14" s="8"/>
      <c r="M14" s="4"/>
      <c r="N14" s="4"/>
      <c r="O14" s="9"/>
      <c r="P14" s="10"/>
      <c r="Q14" s="9"/>
      <c r="R14" s="9"/>
      <c r="S14" s="9"/>
      <c r="T14" s="9"/>
      <c r="U14" s="9"/>
      <c r="V14" s="9"/>
      <c r="W14" s="9"/>
      <c r="X14" s="9"/>
      <c r="Y14" s="9"/>
      <c r="Z14" s="13"/>
      <c r="AA14" s="43"/>
      <c r="AB14" s="3"/>
      <c r="AC14" s="35"/>
    </row>
    <row r="15" spans="1:29" x14ac:dyDescent="0.25">
      <c r="A15" s="44"/>
      <c r="B15" s="14" t="s">
        <v>26</v>
      </c>
      <c r="C15" s="14" t="s">
        <v>27</v>
      </c>
      <c r="D15" s="15" t="s">
        <v>1684</v>
      </c>
      <c r="E15" s="14">
        <v>200</v>
      </c>
      <c r="F15" s="16">
        <v>24265</v>
      </c>
      <c r="G15" s="17">
        <f>12540+6920</f>
        <v>19460</v>
      </c>
      <c r="H15" s="30">
        <f t="shared" ref="H15:H18" si="5">G15-F15</f>
        <v>-4805</v>
      </c>
      <c r="I15" s="19" t="s">
        <v>2551</v>
      </c>
      <c r="J15" s="14"/>
      <c r="K15" s="20"/>
      <c r="L15" s="20">
        <v>43527</v>
      </c>
      <c r="M15" s="15" t="s">
        <v>28</v>
      </c>
      <c r="N15" s="14"/>
      <c r="O15" s="21">
        <v>26.5</v>
      </c>
      <c r="P15" s="22"/>
      <c r="Q15" s="139">
        <v>21300</v>
      </c>
      <c r="R15" s="2">
        <f>75.45*E15</f>
        <v>15090</v>
      </c>
      <c r="S15" s="21">
        <f>-38*E15</f>
        <v>-7600</v>
      </c>
      <c r="T15" s="157">
        <f>X15*F15*0.0045</f>
        <v>3775.2352983684482</v>
      </c>
      <c r="U15" s="21">
        <f>E15*5</f>
        <v>1000</v>
      </c>
      <c r="V15" s="14"/>
      <c r="W15" s="21">
        <v>0.3</v>
      </c>
      <c r="X15" s="21">
        <f>((O15*F15)+Q15+R15+S15+U15)/G15</f>
        <v>34.574126413155192</v>
      </c>
      <c r="Y15" s="24">
        <f>((O15*F15)+Q15+R15+S15+T15+U15)/G15+W15</f>
        <v>35.068126171550283</v>
      </c>
      <c r="Z15" s="24">
        <f>Y15*G15</f>
        <v>682425.7352983685</v>
      </c>
      <c r="AA15" s="25">
        <v>43543</v>
      </c>
      <c r="AB15" s="3"/>
      <c r="AC15" s="3" t="s">
        <v>2566</v>
      </c>
    </row>
    <row r="16" spans="1:29" x14ac:dyDescent="0.25">
      <c r="A16" s="45"/>
      <c r="B16" s="27" t="s">
        <v>26</v>
      </c>
      <c r="C16" t="s">
        <v>27</v>
      </c>
      <c r="D16" s="28" t="s">
        <v>1720</v>
      </c>
      <c r="E16">
        <v>199</v>
      </c>
      <c r="F16" s="29">
        <v>21860</v>
      </c>
      <c r="G16" s="30">
        <f>11100+5960</f>
        <v>17060</v>
      </c>
      <c r="H16" s="30">
        <f t="shared" si="5"/>
        <v>-4800</v>
      </c>
      <c r="I16" s="28" t="s">
        <v>2563</v>
      </c>
      <c r="K16" s="31"/>
      <c r="L16" s="31">
        <v>43528</v>
      </c>
      <c r="M16" s="28" t="s">
        <v>29</v>
      </c>
      <c r="O16" s="2">
        <v>26.5</v>
      </c>
      <c r="P16" s="32"/>
      <c r="Q16" s="138">
        <v>21300</v>
      </c>
      <c r="R16" s="2">
        <f>75.45*E16</f>
        <v>15014.550000000001</v>
      </c>
      <c r="S16" s="33">
        <f>-38*E16</f>
        <v>-7562</v>
      </c>
      <c r="T16" s="141">
        <f>X16*F16*0.0045</f>
        <v>3511.7833407678777</v>
      </c>
      <c r="U16" s="2">
        <f>E16*5</f>
        <v>995</v>
      </c>
      <c r="W16" s="2">
        <v>0.3</v>
      </c>
      <c r="X16" s="2">
        <f>((O16*F16)+Q16+R16+S16+U16)/G16</f>
        <v>35.699739155920284</v>
      </c>
      <c r="Y16" s="2">
        <f>((O16*F16)+Q16+R16+S16+T16+U16)/G16+W16</f>
        <v>36.205588120795298</v>
      </c>
      <c r="Z16" s="3">
        <f>Y16*G16</f>
        <v>617667.33334076777</v>
      </c>
      <c r="AA16" s="34">
        <v>43543</v>
      </c>
      <c r="AB16" s="3"/>
      <c r="AC16" s="35" t="s">
        <v>2567</v>
      </c>
    </row>
    <row r="17" spans="1:32" x14ac:dyDescent="0.25">
      <c r="A17" s="45"/>
      <c r="B17" s="27" t="s">
        <v>1909</v>
      </c>
      <c r="C17" t="s">
        <v>2450</v>
      </c>
      <c r="D17" s="28" t="s">
        <v>1806</v>
      </c>
      <c r="E17" t="s">
        <v>2007</v>
      </c>
      <c r="F17" s="29">
        <f>908.99+891.76</f>
        <v>1800.75</v>
      </c>
      <c r="G17" s="30">
        <v>1800.75</v>
      </c>
      <c r="H17" s="30">
        <f t="shared" si="5"/>
        <v>0</v>
      </c>
      <c r="I17" s="28" t="s">
        <v>2592</v>
      </c>
      <c r="K17" s="31"/>
      <c r="L17" s="31">
        <v>43528</v>
      </c>
      <c r="M17" s="28" t="s">
        <v>29</v>
      </c>
      <c r="O17" s="2">
        <v>17</v>
      </c>
      <c r="P17" s="32"/>
      <c r="Q17" s="2"/>
      <c r="R17" s="2"/>
      <c r="S17" s="33"/>
      <c r="T17" s="33"/>
      <c r="U17" s="2"/>
      <c r="W17" s="2"/>
      <c r="X17" s="2">
        <f>IF(O17&gt;0,O17,((P17*2.2046*S17)+(Q17+R17)/G17)+V17)</f>
        <v>17</v>
      </c>
      <c r="Y17" s="2">
        <f>IF(O17&gt;0,O17,((P17*2.2046*S17)+(Q17+R17+T17)/G17)+V17+W17)</f>
        <v>17</v>
      </c>
      <c r="Z17" s="3">
        <f>Y17*F17</f>
        <v>30612.75</v>
      </c>
      <c r="AA17" s="34">
        <v>43535</v>
      </c>
      <c r="AB17" s="3"/>
      <c r="AC17" s="35"/>
    </row>
    <row r="18" spans="1:32" x14ac:dyDescent="0.25">
      <c r="A18" s="45"/>
      <c r="B18" s="27" t="s">
        <v>30</v>
      </c>
      <c r="C18" s="28" t="s">
        <v>1790</v>
      </c>
      <c r="D18" s="28" t="s">
        <v>1790</v>
      </c>
      <c r="E18" t="s">
        <v>32</v>
      </c>
      <c r="F18" s="29">
        <f>41565*0.4536</f>
        <v>18853.884000000002</v>
      </c>
      <c r="G18" s="30">
        <v>18755.77</v>
      </c>
      <c r="H18" s="30">
        <f t="shared" si="5"/>
        <v>-98.114000000001397</v>
      </c>
      <c r="I18" s="28" t="s">
        <v>2498</v>
      </c>
      <c r="J18" s="52" t="s">
        <v>196</v>
      </c>
      <c r="K18" s="31">
        <v>43528</v>
      </c>
      <c r="L18" s="31">
        <v>43529</v>
      </c>
      <c r="M18" s="28" t="s">
        <v>48</v>
      </c>
      <c r="N18" s="28" t="s">
        <v>2496</v>
      </c>
      <c r="O18" s="2"/>
      <c r="P18" s="32">
        <f>0.4607+0.095</f>
        <v>0.55569999999999997</v>
      </c>
      <c r="Q18" s="140">
        <v>26000</v>
      </c>
      <c r="R18" s="2">
        <v>89913</v>
      </c>
      <c r="S18" s="68">
        <v>19.161000000000001</v>
      </c>
      <c r="T18" s="141">
        <f t="shared" ref="T18" si="6">X18*F18*0.005</f>
        <v>2806.7959529358541</v>
      </c>
      <c r="V18" s="2">
        <v>0.12</v>
      </c>
      <c r="W18" s="2">
        <v>0.3</v>
      </c>
      <c r="X18" s="2">
        <f>IF(O18&gt;0,O18,((P18*2.2046*S18)+(Q18+R18)/G18)+V18)</f>
        <v>29.774193507670393</v>
      </c>
      <c r="Y18" s="2">
        <f>IF(O18&gt;0,O18,((P18*2.2046*S18)+(Q18+R18+T18)/G18)+V18+W18)</f>
        <v>30.223843239616127</v>
      </c>
      <c r="Z18" s="3">
        <f>Y18*F18</f>
        <v>569836.83447390667</v>
      </c>
      <c r="AA18" s="34">
        <v>43521</v>
      </c>
      <c r="AB18" s="3"/>
      <c r="AC18" s="35"/>
    </row>
    <row r="19" spans="1:32" x14ac:dyDescent="0.25">
      <c r="A19" s="45"/>
      <c r="B19" s="27" t="s">
        <v>30</v>
      </c>
      <c r="C19" s="28" t="s">
        <v>35</v>
      </c>
      <c r="D19" s="28" t="s">
        <v>36</v>
      </c>
      <c r="E19" t="s">
        <v>37</v>
      </c>
      <c r="F19" s="29">
        <f>41227*0.4536</f>
        <v>18700.567200000001</v>
      </c>
      <c r="G19" s="30">
        <v>18618.86</v>
      </c>
      <c r="H19" s="30">
        <f>G19-F19</f>
        <v>-81.707200000000739</v>
      </c>
      <c r="I19" t="s">
        <v>2499</v>
      </c>
      <c r="J19" s="52" t="s">
        <v>196</v>
      </c>
      <c r="K19" s="31">
        <v>43528</v>
      </c>
      <c r="L19" s="31">
        <v>43529</v>
      </c>
      <c r="M19" s="28" t="s">
        <v>48</v>
      </c>
      <c r="N19" s="28" t="s">
        <v>2497</v>
      </c>
      <c r="O19" s="2"/>
      <c r="P19" s="32">
        <f>0.4607+0.1</f>
        <v>0.56069999999999998</v>
      </c>
      <c r="Q19" s="140">
        <v>26000</v>
      </c>
      <c r="R19" s="2">
        <v>93550</v>
      </c>
      <c r="S19" s="68">
        <v>19.260000000000002</v>
      </c>
      <c r="T19" s="141">
        <f>X19*F19*0.005</f>
        <v>2837.6768837543136</v>
      </c>
      <c r="V19" s="2">
        <v>0.12</v>
      </c>
      <c r="W19" s="2">
        <v>0.3</v>
      </c>
      <c r="X19" s="2">
        <f>IF(O19&gt;0,O19,((P19*2.2046*S19)+(Q19+R19)/G19)+V19)</f>
        <v>30.34856486870958</v>
      </c>
      <c r="Y19" s="2">
        <f>IF(O19&gt;0,O19,((P19*2.2046*S19)+(Q19+R19+T19)/G19)+V19+W19)</f>
        <v>30.800973602850892</v>
      </c>
      <c r="Z19" s="3">
        <f>Y19*F19</f>
        <v>575995.67668553931</v>
      </c>
      <c r="AA19" s="34">
        <v>43530</v>
      </c>
      <c r="AB19" s="3"/>
      <c r="AC19" s="35"/>
    </row>
    <row r="20" spans="1:32" x14ac:dyDescent="0.25">
      <c r="A20" s="45"/>
      <c r="B20" s="27" t="s">
        <v>26</v>
      </c>
      <c r="C20" t="s">
        <v>27</v>
      </c>
      <c r="D20" s="28" t="s">
        <v>1829</v>
      </c>
      <c r="E20">
        <v>200</v>
      </c>
      <c r="F20" s="29">
        <v>23690</v>
      </c>
      <c r="G20" s="30">
        <f>12040+6420</f>
        <v>18460</v>
      </c>
      <c r="H20" s="30">
        <f>G20-F20</f>
        <v>-5230</v>
      </c>
      <c r="I20" s="28" t="s">
        <v>2595</v>
      </c>
      <c r="K20" s="31"/>
      <c r="L20" s="31">
        <v>43529</v>
      </c>
      <c r="M20" s="28" t="s">
        <v>48</v>
      </c>
      <c r="O20" s="2">
        <v>26.5</v>
      </c>
      <c r="P20" s="32"/>
      <c r="Q20" s="138">
        <v>21300</v>
      </c>
      <c r="R20" s="2">
        <f>75.45*E20</f>
        <v>15090</v>
      </c>
      <c r="S20" s="33">
        <f>-38*E20</f>
        <v>-7600</v>
      </c>
      <c r="T20" s="141">
        <f>X20*F20*0.005</f>
        <v>4219.3802139761647</v>
      </c>
      <c r="U20" s="2">
        <f>E20*5</f>
        <v>1000</v>
      </c>
      <c r="W20" s="2">
        <v>0.3</v>
      </c>
      <c r="X20" s="2">
        <f>((O20*F20)+Q20+R20+S20+U20)/G20</f>
        <v>35.621614301191769</v>
      </c>
      <c r="Y20" s="2">
        <f>((O20*F20)+Q20+R20+S20+T20+U20)/G20+W20</f>
        <v>36.150183110182887</v>
      </c>
      <c r="Z20" s="3">
        <f>Y20*G20</f>
        <v>667332.38021397614</v>
      </c>
      <c r="AA20" s="34">
        <v>43543</v>
      </c>
      <c r="AB20" s="3"/>
      <c r="AC20" s="35" t="s">
        <v>2598</v>
      </c>
      <c r="AF20" s="30"/>
    </row>
    <row r="21" spans="1:32" x14ac:dyDescent="0.25">
      <c r="A21" s="45"/>
      <c r="B21" s="27" t="s">
        <v>30</v>
      </c>
      <c r="C21" s="28" t="s">
        <v>31</v>
      </c>
      <c r="D21" s="28" t="s">
        <v>31</v>
      </c>
      <c r="E21" t="s">
        <v>32</v>
      </c>
      <c r="F21" s="29">
        <f>41287*0.4536</f>
        <v>18727.783200000002</v>
      </c>
      <c r="G21" s="30">
        <v>18806.240000000002</v>
      </c>
      <c r="H21" s="30">
        <f t="shared" ref="H21:H23" si="7">G21-F21</f>
        <v>78.45679999999993</v>
      </c>
      <c r="I21" s="28" t="s">
        <v>2159</v>
      </c>
      <c r="J21" s="52" t="s">
        <v>196</v>
      </c>
      <c r="K21" s="31">
        <v>43529</v>
      </c>
      <c r="L21" s="31">
        <v>43530</v>
      </c>
      <c r="M21" s="28" t="s">
        <v>33</v>
      </c>
      <c r="N21" s="28" t="s">
        <v>2497</v>
      </c>
      <c r="O21" s="2"/>
      <c r="P21" s="32">
        <f>0.4607+0.1</f>
        <v>0.56069999999999998</v>
      </c>
      <c r="Q21" s="140">
        <v>26000</v>
      </c>
      <c r="R21" s="2">
        <v>90339</v>
      </c>
      <c r="S21" s="68">
        <v>19.145</v>
      </c>
      <c r="T21" s="141">
        <f t="shared" ref="T21:T23" si="8">X21*F21*0.005</f>
        <v>2806.5169236119041</v>
      </c>
      <c r="V21" s="2">
        <v>0.12</v>
      </c>
      <c r="W21" s="2">
        <v>0.3</v>
      </c>
      <c r="X21" s="2">
        <f>IF(O21&gt;0,O21,((P21*2.2046*S21)+(Q21+R21)/G21)+V21)</f>
        <v>29.97169385869336</v>
      </c>
      <c r="Y21" s="2">
        <f>IF(O21&gt;0,O21,((P21*2.2046*S21)+(Q21+R21+T21)/G21)+V21+W21)</f>
        <v>30.42092714103007</v>
      </c>
      <c r="Z21" s="3">
        <f>Y21*F21</f>
        <v>569716.528240207</v>
      </c>
      <c r="AA21" s="34">
        <v>43523</v>
      </c>
      <c r="AB21" s="3"/>
      <c r="AC21" s="35"/>
    </row>
    <row r="22" spans="1:32" x14ac:dyDescent="0.25">
      <c r="A22" s="45"/>
      <c r="B22" s="27" t="s">
        <v>30</v>
      </c>
      <c r="C22" s="28" t="s">
        <v>31</v>
      </c>
      <c r="D22" s="28" t="s">
        <v>31</v>
      </c>
      <c r="E22" t="s">
        <v>32</v>
      </c>
      <c r="F22" s="29">
        <f>40738*0.4536</f>
        <v>18478.756799999999</v>
      </c>
      <c r="G22" s="30">
        <v>18522.21</v>
      </c>
      <c r="H22" s="30">
        <f t="shared" si="7"/>
        <v>43.453199999999924</v>
      </c>
      <c r="I22" s="28" t="s">
        <v>2160</v>
      </c>
      <c r="J22" s="52" t="s">
        <v>1690</v>
      </c>
      <c r="K22" s="31">
        <v>43529</v>
      </c>
      <c r="L22" s="31">
        <v>43530</v>
      </c>
      <c r="M22" s="28" t="s">
        <v>33</v>
      </c>
      <c r="N22" s="28" t="s">
        <v>2497</v>
      </c>
      <c r="O22" s="2"/>
      <c r="P22" s="32">
        <f>0.4607+0.1</f>
        <v>0.56069999999999998</v>
      </c>
      <c r="Q22" s="140">
        <v>26000</v>
      </c>
      <c r="R22" s="2">
        <v>88139</v>
      </c>
      <c r="S22" s="68">
        <v>19.145</v>
      </c>
      <c r="T22" s="141">
        <f t="shared" si="8"/>
        <v>2766.9887238506676</v>
      </c>
      <c r="V22" s="2">
        <v>0.12</v>
      </c>
      <c r="W22" s="2">
        <v>0.3</v>
      </c>
      <c r="X22" s="2">
        <f t="shared" ref="X22" si="9">IF(O22&gt;0,O22,((P22*2.2046*S22)+(Q22+R22)/G22)+V22)</f>
        <v>29.947780078480907</v>
      </c>
      <c r="Y22" s="2">
        <f t="shared" ref="Y22" si="10">IF(O22&gt;0,O22,((P22*2.2046*S22)+(Q22+R22+T22)/G22)+V22+W22)</f>
        <v>30.397167690642235</v>
      </c>
      <c r="Z22" s="3">
        <f t="shared" ref="Z22" si="11">Y22*F22</f>
        <v>561701.86916419549</v>
      </c>
      <c r="AA22" s="34">
        <v>43523</v>
      </c>
      <c r="AB22" s="3"/>
      <c r="AC22" s="35"/>
    </row>
    <row r="23" spans="1:32" x14ac:dyDescent="0.25">
      <c r="A23" s="45"/>
      <c r="B23" s="27" t="s">
        <v>26</v>
      </c>
      <c r="C23" t="s">
        <v>27</v>
      </c>
      <c r="D23" s="28" t="s">
        <v>1871</v>
      </c>
      <c r="E23">
        <v>200</v>
      </c>
      <c r="F23" s="29">
        <v>23500</v>
      </c>
      <c r="G23" s="30">
        <f>12190+6550</f>
        <v>18740</v>
      </c>
      <c r="H23" s="30">
        <f t="shared" si="7"/>
        <v>-4760</v>
      </c>
      <c r="I23" s="28" t="s">
        <v>2619</v>
      </c>
      <c r="K23" s="31"/>
      <c r="L23" s="31">
        <v>43530</v>
      </c>
      <c r="M23" s="28" t="s">
        <v>33</v>
      </c>
      <c r="O23" s="2">
        <v>26.5</v>
      </c>
      <c r="P23" s="32"/>
      <c r="Q23" s="138">
        <v>21300</v>
      </c>
      <c r="R23" s="2">
        <f>75.45*E23</f>
        <v>15090</v>
      </c>
      <c r="S23" s="33">
        <f>-38*E23</f>
        <v>-7600</v>
      </c>
      <c r="T23" s="141">
        <f t="shared" si="8"/>
        <v>4091.432764140875</v>
      </c>
      <c r="U23" s="2">
        <f>E23*5</f>
        <v>1000</v>
      </c>
      <c r="W23" s="2">
        <v>0.3</v>
      </c>
      <c r="X23" s="2">
        <f t="shared" ref="X23" si="12">((O23*F23)+Q23+R23+S23+U23)/G23</f>
        <v>34.82070437566702</v>
      </c>
      <c r="Y23" s="2">
        <f>((O23*F23)+Q23+R23+S23+T23+U23)/G23+W23</f>
        <v>35.339030563721494</v>
      </c>
      <c r="Z23" s="3">
        <f>Y23*G23</f>
        <v>662253.43276414077</v>
      </c>
      <c r="AA23" s="34">
        <v>43544</v>
      </c>
      <c r="AB23" s="3"/>
      <c r="AC23" s="35" t="s">
        <v>2620</v>
      </c>
    </row>
    <row r="24" spans="1:32" x14ac:dyDescent="0.25">
      <c r="A24" s="45"/>
      <c r="B24" s="27" t="s">
        <v>30</v>
      </c>
      <c r="C24" s="28" t="s">
        <v>40</v>
      </c>
      <c r="D24" s="28" t="s">
        <v>40</v>
      </c>
      <c r="E24" t="s">
        <v>37</v>
      </c>
      <c r="F24" s="29">
        <f>42742*0.4536</f>
        <v>19387.771199999999</v>
      </c>
      <c r="G24" s="30">
        <v>19340.150000000001</v>
      </c>
      <c r="H24" s="30">
        <f>G24-F24</f>
        <v>-47.621199999997771</v>
      </c>
      <c r="I24" t="s">
        <v>2501</v>
      </c>
      <c r="J24" s="52" t="s">
        <v>196</v>
      </c>
      <c r="K24" s="31">
        <v>43530</v>
      </c>
      <c r="L24" s="31">
        <v>43531</v>
      </c>
      <c r="M24" s="28" t="s">
        <v>41</v>
      </c>
      <c r="N24" s="28" t="s">
        <v>2500</v>
      </c>
      <c r="O24" s="2"/>
      <c r="P24" s="32">
        <f>0.4658+0.105</f>
        <v>0.57079999999999997</v>
      </c>
      <c r="Q24" s="140">
        <v>26000</v>
      </c>
      <c r="R24" s="2">
        <v>94627</v>
      </c>
      <c r="S24" s="68">
        <v>19.145</v>
      </c>
      <c r="T24" s="141">
        <f>X24*F24*0.005</f>
        <v>2951.6836946157</v>
      </c>
      <c r="V24" s="2">
        <v>0.12</v>
      </c>
      <c r="W24" s="2">
        <v>0.3</v>
      </c>
      <c r="X24" s="2">
        <f>IF(O24&gt;0,O24,((P24*2.2046*S24)+(Q24+R24)/G24)+V24)</f>
        <v>30.448922304340996</v>
      </c>
      <c r="Y24" s="2">
        <f>IF(O24&gt;0,O24,((P24*2.2046*S24)+(Q24+R24+T24)/G24)+V24+W24)</f>
        <v>30.901541787365467</v>
      </c>
      <c r="Z24" s="3">
        <f>Y24*F24</f>
        <v>599112.02190068073</v>
      </c>
      <c r="AA24" s="34">
        <v>43524</v>
      </c>
      <c r="AB24" s="3"/>
      <c r="AC24" s="35"/>
    </row>
    <row r="25" spans="1:32" x14ac:dyDescent="0.25">
      <c r="A25" s="45"/>
      <c r="B25" s="27" t="s">
        <v>26</v>
      </c>
      <c r="C25" t="s">
        <v>27</v>
      </c>
      <c r="D25" s="28" t="s">
        <v>2625</v>
      </c>
      <c r="E25">
        <v>217</v>
      </c>
      <c r="F25" s="29">
        <v>25715</v>
      </c>
      <c r="G25" s="30">
        <v>23360</v>
      </c>
      <c r="H25" s="30">
        <f t="shared" ref="H25:H27" si="13">G25-F25</f>
        <v>-2355</v>
      </c>
      <c r="I25" s="28" t="s">
        <v>2626</v>
      </c>
      <c r="J25" s="55">
        <v>250</v>
      </c>
      <c r="K25" s="31"/>
      <c r="L25" s="31">
        <v>43531</v>
      </c>
      <c r="M25" s="28" t="s">
        <v>41</v>
      </c>
      <c r="O25" s="2">
        <v>26.5</v>
      </c>
      <c r="P25" s="32"/>
      <c r="Q25" s="138">
        <v>21300</v>
      </c>
      <c r="R25" s="2">
        <f t="shared" ref="R25:R26" si="14">75.45*E25</f>
        <v>16372.650000000001</v>
      </c>
      <c r="S25" s="33">
        <f>-38*E25</f>
        <v>-8246</v>
      </c>
      <c r="T25" s="141">
        <f>X25*F25*0.0045</f>
        <v>3526.803636135488</v>
      </c>
      <c r="U25" s="2">
        <f>E25*5</f>
        <v>1085</v>
      </c>
      <c r="W25" s="2">
        <v>0.3</v>
      </c>
      <c r="X25" s="2">
        <f t="shared" ref="X25" si="15">((O25*F25)+Q25+R25+S25+U25)/G25</f>
        <v>30.477703339041096</v>
      </c>
      <c r="Y25" s="2">
        <f>((O25*F25)+Q25+R25+S25+T25+U25)/G25+W25</f>
        <v>30.928679522094846</v>
      </c>
      <c r="Z25" s="3">
        <f>Y25*G25</f>
        <v>722493.95363613556</v>
      </c>
      <c r="AA25" s="34">
        <v>43544</v>
      </c>
      <c r="AB25" s="3">
        <v>35.4</v>
      </c>
      <c r="AC25" s="35"/>
    </row>
    <row r="26" spans="1:32" x14ac:dyDescent="0.25">
      <c r="A26" s="45"/>
      <c r="B26" s="27" t="s">
        <v>26</v>
      </c>
      <c r="C26" t="s">
        <v>27</v>
      </c>
      <c r="D26" s="28" t="s">
        <v>1684</v>
      </c>
      <c r="E26">
        <v>164</v>
      </c>
      <c r="F26" s="29">
        <v>18335</v>
      </c>
      <c r="G26" s="30">
        <v>11720</v>
      </c>
      <c r="H26" s="30">
        <f t="shared" si="13"/>
        <v>-6615</v>
      </c>
      <c r="I26" s="28" t="s">
        <v>2627</v>
      </c>
      <c r="J26" s="55">
        <v>131</v>
      </c>
      <c r="K26" s="31"/>
      <c r="L26" s="31">
        <v>43531</v>
      </c>
      <c r="M26" s="28" t="s">
        <v>41</v>
      </c>
      <c r="O26" s="2">
        <v>26.5</v>
      </c>
      <c r="P26" s="32"/>
      <c r="Q26" s="140">
        <v>16900</v>
      </c>
      <c r="R26" s="2">
        <f t="shared" si="14"/>
        <v>12373.800000000001</v>
      </c>
      <c r="S26" s="33">
        <f>-38*E26</f>
        <v>-6232</v>
      </c>
      <c r="T26" s="141">
        <f>X26*F26*0.0045</f>
        <v>3588.5081309513648</v>
      </c>
      <c r="U26" s="2">
        <f>E26*5</f>
        <v>820</v>
      </c>
      <c r="W26" s="2">
        <v>0.3</v>
      </c>
      <c r="X26" s="2">
        <f>((O26*F26)+Q26+R26+S26+U26)/G26</f>
        <v>43.493114334470988</v>
      </c>
      <c r="Y26" s="2">
        <f>((O26*F26)+Q26+R26+S26+T26+U26)/G26+W26</f>
        <v>44.099301035064109</v>
      </c>
      <c r="Z26" s="3">
        <f>Y26*G26</f>
        <v>516843.80813095137</v>
      </c>
      <c r="AA26" s="34">
        <v>43544</v>
      </c>
      <c r="AB26" s="3"/>
      <c r="AC26" s="35" t="s">
        <v>2634</v>
      </c>
    </row>
    <row r="27" spans="1:32" x14ac:dyDescent="0.25">
      <c r="A27" s="45"/>
      <c r="B27" s="27" t="s">
        <v>1909</v>
      </c>
      <c r="C27" t="s">
        <v>2450</v>
      </c>
      <c r="D27" s="28" t="s">
        <v>1806</v>
      </c>
      <c r="E27" t="s">
        <v>2455</v>
      </c>
      <c r="F27" s="29">
        <f>862+850+860+850</f>
        <v>3422</v>
      </c>
      <c r="G27" s="30">
        <v>3422</v>
      </c>
      <c r="H27" s="30">
        <f t="shared" si="13"/>
        <v>0</v>
      </c>
      <c r="I27" s="28" t="s">
        <v>2803</v>
      </c>
      <c r="K27" s="31"/>
      <c r="L27" s="31">
        <v>43531</v>
      </c>
      <c r="M27" s="28" t="s">
        <v>41</v>
      </c>
      <c r="O27" s="2">
        <v>17</v>
      </c>
      <c r="P27" s="32"/>
      <c r="Q27" s="2"/>
      <c r="R27" s="2"/>
      <c r="S27" s="33"/>
      <c r="T27" s="33"/>
      <c r="U27" s="2"/>
      <c r="W27" s="2"/>
      <c r="X27" s="2">
        <f>IF(O27&gt;0,O27,((P27*2.2046*S27)+(Q27+R27)/G27)+V27)</f>
        <v>17</v>
      </c>
      <c r="Y27" s="2">
        <f>IF(O27&gt;0,O27,((P27*2.2046*S27)+(Q27+R27+T27)/G27)+V27+W27)</f>
        <v>17</v>
      </c>
      <c r="Z27" s="3">
        <f>Y27*F27</f>
        <v>58174</v>
      </c>
      <c r="AA27" s="34">
        <v>43539</v>
      </c>
      <c r="AB27" s="3"/>
      <c r="AC27" s="35"/>
    </row>
    <row r="28" spans="1:32" x14ac:dyDescent="0.25">
      <c r="A28" s="45"/>
      <c r="B28" s="27" t="s">
        <v>30</v>
      </c>
      <c r="C28" s="28" t="s">
        <v>1790</v>
      </c>
      <c r="D28" s="28" t="s">
        <v>1790</v>
      </c>
      <c r="E28" t="s">
        <v>2413</v>
      </c>
      <c r="F28" s="29">
        <f>39369*0.4536</f>
        <v>17857.778399999999</v>
      </c>
      <c r="G28" s="30">
        <v>17774.189999999999</v>
      </c>
      <c r="H28" s="30">
        <f>G28-F28</f>
        <v>-83.588400000000547</v>
      </c>
      <c r="I28" s="28" t="s">
        <v>2502</v>
      </c>
      <c r="J28" s="52" t="s">
        <v>196</v>
      </c>
      <c r="K28" s="31">
        <v>43532</v>
      </c>
      <c r="L28" s="31">
        <v>43533</v>
      </c>
      <c r="M28" s="28" t="s">
        <v>46</v>
      </c>
      <c r="N28" s="28" t="s">
        <v>2565</v>
      </c>
      <c r="O28" s="2"/>
      <c r="P28" s="32">
        <f>0.4625+0.095</f>
        <v>0.5575</v>
      </c>
      <c r="Q28" s="140">
        <v>26000</v>
      </c>
      <c r="R28" s="2">
        <v>86342</v>
      </c>
      <c r="S28" s="68">
        <v>19.145</v>
      </c>
      <c r="T28" s="141">
        <f>X28*F28*0.005</f>
        <v>2676.0731776110815</v>
      </c>
      <c r="V28" s="2">
        <v>0.12</v>
      </c>
      <c r="W28" s="2">
        <v>0.3</v>
      </c>
      <c r="X28" s="2">
        <f>IF(O28&gt;0,O28,((P28*2.2046*S28)+(Q28+R28)/G28)+V28)</f>
        <v>29.970952911041628</v>
      </c>
      <c r="Y28" s="2">
        <f>IF(O28&gt;0,O28,((P28*2.2046*S28)+(Q28+R28+T28)/G28)+V28+W28)</f>
        <v>30.421512412071554</v>
      </c>
      <c r="Z28" s="3">
        <f>Y28*F28</f>
        <v>543260.62724762328</v>
      </c>
      <c r="AA28" s="34">
        <v>43522</v>
      </c>
      <c r="AB28" s="3"/>
      <c r="AC28" s="35"/>
    </row>
    <row r="29" spans="1:32" x14ac:dyDescent="0.25">
      <c r="A29" s="45"/>
      <c r="B29" s="27" t="s">
        <v>26</v>
      </c>
      <c r="C29" t="s">
        <v>43</v>
      </c>
      <c r="D29" s="28" t="s">
        <v>44</v>
      </c>
      <c r="E29">
        <v>240</v>
      </c>
      <c r="F29" s="29">
        <v>21750</v>
      </c>
      <c r="G29" s="30">
        <v>21810</v>
      </c>
      <c r="H29" s="30">
        <f t="shared" ref="H29:H32" si="16">G29-F29</f>
        <v>60</v>
      </c>
      <c r="I29" t="s">
        <v>2686</v>
      </c>
      <c r="K29" s="31"/>
      <c r="L29" s="31">
        <v>43532</v>
      </c>
      <c r="M29" s="28" t="s">
        <v>45</v>
      </c>
      <c r="O29" s="2">
        <v>34.200000000000003</v>
      </c>
      <c r="P29" s="32"/>
      <c r="Q29" s="138">
        <v>21300</v>
      </c>
      <c r="R29" s="2"/>
      <c r="S29" s="33"/>
      <c r="T29" s="141">
        <f>X29*F29*0.0045</f>
        <v>3439.0878610729028</v>
      </c>
      <c r="U29" s="2">
        <f>E29*5</f>
        <v>1200</v>
      </c>
      <c r="W29" s="2">
        <v>0.3</v>
      </c>
      <c r="X29" s="2">
        <f>((O29*F29)+Q29+R29+S29+U29)/G29</f>
        <v>35.137551581843198</v>
      </c>
      <c r="Y29" s="2">
        <f>((O29*F29)+Q29+R29+S29+T29+U29)/G29+W29</f>
        <v>35.595235573639293</v>
      </c>
      <c r="Z29" s="3">
        <f>Y29*G29</f>
        <v>776332.08786107297</v>
      </c>
      <c r="AA29" s="34">
        <v>43537</v>
      </c>
      <c r="AB29" s="3"/>
      <c r="AC29" s="35"/>
    </row>
    <row r="30" spans="1:32" x14ac:dyDescent="0.25">
      <c r="A30" s="45"/>
      <c r="B30" s="27" t="s">
        <v>26</v>
      </c>
      <c r="C30" t="s">
        <v>27</v>
      </c>
      <c r="D30" s="28" t="s">
        <v>1720</v>
      </c>
      <c r="E30">
        <v>130</v>
      </c>
      <c r="F30" s="29">
        <v>14400</v>
      </c>
      <c r="G30" s="30">
        <v>11170</v>
      </c>
      <c r="H30" s="30">
        <f t="shared" si="16"/>
        <v>-3230</v>
      </c>
      <c r="I30" s="28" t="s">
        <v>2658</v>
      </c>
      <c r="K30" s="31"/>
      <c r="L30" s="31">
        <v>43532</v>
      </c>
      <c r="M30" s="28" t="s">
        <v>45</v>
      </c>
      <c r="O30" s="2">
        <v>26</v>
      </c>
      <c r="P30" s="32"/>
      <c r="Q30" s="140">
        <v>16900</v>
      </c>
      <c r="R30" s="2">
        <f t="shared" ref="R30" si="17">75.45*E30</f>
        <v>9808.5</v>
      </c>
      <c r="S30" s="33">
        <f>-38*E30</f>
        <v>-4940</v>
      </c>
      <c r="T30" s="141">
        <f>X30*F30*0.0045</f>
        <v>2302.044655326768</v>
      </c>
      <c r="U30" s="2">
        <f>E30*5</f>
        <v>650</v>
      </c>
      <c r="W30" s="2">
        <v>0.3</v>
      </c>
      <c r="X30" s="2">
        <f>((O30*F30)+Q30+R30+S30+U30)/G30</f>
        <v>35.525380483437779</v>
      </c>
      <c r="Y30" s="2">
        <f>((O30*F30)+Q30+R30+S30+T30+U30)/G30+W30</f>
        <v>36.031472216233368</v>
      </c>
      <c r="Z30" s="3">
        <f>Y30*G30</f>
        <v>402471.5446553267</v>
      </c>
      <c r="AA30" s="34">
        <v>43545</v>
      </c>
      <c r="AB30" s="3"/>
      <c r="AC30" s="35" t="s">
        <v>2635</v>
      </c>
    </row>
    <row r="31" spans="1:32" x14ac:dyDescent="0.25">
      <c r="A31" s="45"/>
      <c r="B31" s="27" t="s">
        <v>30</v>
      </c>
      <c r="C31" t="s">
        <v>40</v>
      </c>
      <c r="D31" s="28" t="s">
        <v>40</v>
      </c>
      <c r="E31" t="s">
        <v>37</v>
      </c>
      <c r="F31" s="29">
        <f>43010*0.4536</f>
        <v>19509.335999999999</v>
      </c>
      <c r="G31" s="30">
        <v>19482.84</v>
      </c>
      <c r="H31" s="30">
        <f t="shared" si="16"/>
        <v>-26.495999999999185</v>
      </c>
      <c r="I31" s="28" t="s">
        <v>2503</v>
      </c>
      <c r="J31" s="52" t="s">
        <v>196</v>
      </c>
      <c r="K31" s="31">
        <v>43532</v>
      </c>
      <c r="L31" s="31">
        <v>43533</v>
      </c>
      <c r="M31" s="28" t="s">
        <v>46</v>
      </c>
      <c r="N31" s="28" t="s">
        <v>2504</v>
      </c>
      <c r="O31" s="2"/>
      <c r="P31" s="32">
        <f>0.4732+0.105</f>
        <v>0.57820000000000005</v>
      </c>
      <c r="Q31" s="140">
        <v>26000</v>
      </c>
      <c r="R31" s="2">
        <v>95817</v>
      </c>
      <c r="S31" s="68">
        <v>19.34</v>
      </c>
      <c r="T31" s="141">
        <f>X31*F31*0.005</f>
        <v>3026.4072511994864</v>
      </c>
      <c r="V31" s="2">
        <v>0.12</v>
      </c>
      <c r="W31" s="2">
        <v>0.3</v>
      </c>
      <c r="X31" s="2">
        <f>IF(O31&gt;0,O31,((P31*2.2046*S31)+(Q31+R31)/G31)+V31)</f>
        <v>31.025220450347323</v>
      </c>
      <c r="Y31" s="2">
        <f>IF(O31&gt;0,O31,((P31*2.2046*S31)+(Q31+R31+T31)/G31)+V31+W31)</f>
        <v>31.480557518823968</v>
      </c>
      <c r="Z31" s="3">
        <f>Y31*F31</f>
        <v>614164.77410206315</v>
      </c>
      <c r="AA31" s="34">
        <v>43528</v>
      </c>
      <c r="AB31" s="3" t="s">
        <v>2628</v>
      </c>
      <c r="AC31" s="35"/>
    </row>
    <row r="32" spans="1:32" x14ac:dyDescent="0.25">
      <c r="A32" s="45"/>
      <c r="B32" s="27" t="s">
        <v>2057</v>
      </c>
      <c r="C32" t="s">
        <v>2586</v>
      </c>
      <c r="D32" s="28" t="s">
        <v>2044</v>
      </c>
      <c r="E32" t="s">
        <v>1914</v>
      </c>
      <c r="F32" s="29">
        <v>1000</v>
      </c>
      <c r="G32" s="30">
        <v>1000</v>
      </c>
      <c r="H32" s="30">
        <f t="shared" si="16"/>
        <v>0</v>
      </c>
      <c r="I32" s="28" t="s">
        <v>2667</v>
      </c>
      <c r="K32" s="31"/>
      <c r="L32" s="31">
        <v>43533</v>
      </c>
      <c r="M32" s="28" t="s">
        <v>46</v>
      </c>
      <c r="N32" s="28"/>
      <c r="O32" s="2">
        <v>49</v>
      </c>
      <c r="P32" s="32"/>
      <c r="Q32" s="2"/>
      <c r="R32" s="2"/>
      <c r="S32" s="68"/>
      <c r="T32" s="33"/>
      <c r="V32" s="2"/>
      <c r="W32" s="2"/>
      <c r="X32" s="2">
        <f>IF(O32&gt;0,O32,((P32*2.2046*S32)+(Q32+R32)/G32)+V32)</f>
        <v>49</v>
      </c>
      <c r="Y32" s="2">
        <f>IF(O32&gt;0,O32,((P32*2.2046*S32)+(Q32+R32+T32)/G32)+V32+W32)</f>
        <v>49</v>
      </c>
      <c r="Z32" s="3">
        <f>Y32*F32</f>
        <v>49000</v>
      </c>
      <c r="AA32" s="34">
        <v>43535</v>
      </c>
      <c r="AB32" s="3"/>
      <c r="AC32" s="35"/>
    </row>
    <row r="33" spans="1:32" ht="15.75" thickBot="1" x14ac:dyDescent="0.3">
      <c r="A33" s="47"/>
      <c r="B33" s="41"/>
      <c r="C33" s="4"/>
      <c r="D33" s="4"/>
      <c r="E33" s="4"/>
      <c r="F33" s="42"/>
      <c r="G33" s="42"/>
      <c r="H33" s="42"/>
      <c r="I33" s="7"/>
      <c r="J33" s="4"/>
      <c r="K33" s="8"/>
      <c r="L33" s="8"/>
      <c r="M33" s="4"/>
      <c r="N33" s="4"/>
      <c r="O33" s="9"/>
      <c r="P33" s="10"/>
      <c r="Q33" s="9"/>
      <c r="R33" s="9"/>
      <c r="S33" s="9"/>
      <c r="T33" s="9"/>
      <c r="U33" s="9"/>
      <c r="V33" s="9"/>
      <c r="W33" s="9"/>
      <c r="X33" s="9"/>
      <c r="Y33" s="9"/>
      <c r="Z33" s="13"/>
      <c r="AA33" s="43"/>
      <c r="AB33" s="3"/>
      <c r="AC33" s="35"/>
    </row>
    <row r="34" spans="1:32" x14ac:dyDescent="0.25">
      <c r="A34" s="123"/>
      <c r="B34" s="14" t="s">
        <v>26</v>
      </c>
      <c r="C34" s="14" t="s">
        <v>27</v>
      </c>
      <c r="D34" s="15" t="s">
        <v>2669</v>
      </c>
      <c r="E34" s="14">
        <f>200+50</f>
        <v>250</v>
      </c>
      <c r="F34" s="16">
        <f>24915+5575</f>
        <v>30490</v>
      </c>
      <c r="G34" s="17">
        <f>17040+7150</f>
        <v>24190</v>
      </c>
      <c r="H34" s="30">
        <f t="shared" ref="H34:H36" si="18">G34-F34</f>
        <v>-6300</v>
      </c>
      <c r="I34" s="19" t="s">
        <v>2670</v>
      </c>
      <c r="J34" s="14"/>
      <c r="K34" s="20"/>
      <c r="L34" s="20">
        <v>43534</v>
      </c>
      <c r="M34" s="15" t="s">
        <v>28</v>
      </c>
      <c r="N34" s="14"/>
      <c r="O34" s="21">
        <v>26</v>
      </c>
      <c r="P34" s="22"/>
      <c r="Q34" s="139">
        <v>21300</v>
      </c>
      <c r="R34" s="2">
        <f t="shared" ref="R34:R35" si="19">75.45*E34</f>
        <v>18862.5</v>
      </c>
      <c r="S34" s="21">
        <f>-38*E34</f>
        <v>-9500</v>
      </c>
      <c r="T34" s="157">
        <f>X34*F34*0.0045</f>
        <v>4677.4057983670928</v>
      </c>
      <c r="U34" s="21">
        <f>E34*5</f>
        <v>1250</v>
      </c>
      <c r="V34" s="14"/>
      <c r="W34" s="21">
        <v>0.3</v>
      </c>
      <c r="X34" s="21">
        <f>((O34*F34)+Q34+R34+S34+U34)/G34</f>
        <v>34.090636626705248</v>
      </c>
      <c r="Y34" s="24">
        <f>((O34*F34)+Q34+R34+S34+T34+U34)/G34+W34</f>
        <v>34.583997759337208</v>
      </c>
      <c r="Z34" s="24">
        <f>Y34*G34</f>
        <v>836586.90579836711</v>
      </c>
      <c r="AA34" s="25">
        <v>43549</v>
      </c>
      <c r="AB34" s="3"/>
      <c r="AC34" s="3" t="s">
        <v>2682</v>
      </c>
    </row>
    <row r="35" spans="1:32" x14ac:dyDescent="0.25">
      <c r="A35" s="124"/>
      <c r="B35" s="27" t="s">
        <v>26</v>
      </c>
      <c r="C35" t="s">
        <v>27</v>
      </c>
      <c r="D35" s="28" t="s">
        <v>1684</v>
      </c>
      <c r="E35">
        <f>129+70</f>
        <v>199</v>
      </c>
      <c r="F35" s="29">
        <v>22440</v>
      </c>
      <c r="G35" s="30">
        <f>11620+6250</f>
        <v>17870</v>
      </c>
      <c r="H35" s="30">
        <f t="shared" si="18"/>
        <v>-4570</v>
      </c>
      <c r="I35" s="28" t="s">
        <v>2687</v>
      </c>
      <c r="K35" s="31"/>
      <c r="L35" s="31">
        <v>43535</v>
      </c>
      <c r="M35" s="28" t="s">
        <v>29</v>
      </c>
      <c r="O35" s="2">
        <v>26</v>
      </c>
      <c r="P35" s="32"/>
      <c r="Q35" s="138">
        <v>21300</v>
      </c>
      <c r="R35" s="2">
        <f t="shared" si="19"/>
        <v>15014.550000000001</v>
      </c>
      <c r="S35" s="33">
        <f>-38*E35</f>
        <v>-7562</v>
      </c>
      <c r="T35" s="141">
        <f>X35*F35*0.0045</f>
        <v>3465.0072075545609</v>
      </c>
      <c r="U35" s="2">
        <f>E35*5</f>
        <v>995</v>
      </c>
      <c r="W35" s="2">
        <v>0.3</v>
      </c>
      <c r="X35" s="2">
        <f>((O35*F35)+Q35+R35+S35+U35)/G35</f>
        <v>34.313796866256297</v>
      </c>
      <c r="Y35" s="2">
        <f>((O35*F35)+Q35+R35+S35+T35+U35)/G35+W35</f>
        <v>34.807697661306911</v>
      </c>
      <c r="Z35" s="3">
        <f>Y35*G35</f>
        <v>622013.55720755446</v>
      </c>
      <c r="AA35" s="34">
        <v>43549</v>
      </c>
      <c r="AB35" s="3"/>
      <c r="AC35" s="35" t="s">
        <v>2693</v>
      </c>
    </row>
    <row r="36" spans="1:32" x14ac:dyDescent="0.25">
      <c r="A36" s="124"/>
      <c r="B36" s="27" t="s">
        <v>30</v>
      </c>
      <c r="C36" s="28" t="s">
        <v>1790</v>
      </c>
      <c r="D36" s="28" t="s">
        <v>1790</v>
      </c>
      <c r="E36" t="s">
        <v>2413</v>
      </c>
      <c r="F36" s="29">
        <f>40008*0.4536</f>
        <v>18147.628799999999</v>
      </c>
      <c r="G36" s="30">
        <v>17846.240000000002</v>
      </c>
      <c r="H36" s="165">
        <f t="shared" si="18"/>
        <v>-301.38879999999699</v>
      </c>
      <c r="I36" s="28" t="s">
        <v>2607</v>
      </c>
      <c r="J36" s="52" t="s">
        <v>196</v>
      </c>
      <c r="K36" s="31">
        <v>43535</v>
      </c>
      <c r="L36" s="31">
        <v>43536</v>
      </c>
      <c r="M36" s="28" t="s">
        <v>48</v>
      </c>
      <c r="N36" s="28" t="s">
        <v>2603</v>
      </c>
      <c r="O36" s="2"/>
      <c r="P36" s="32">
        <f>0.5058+0.095</f>
        <v>0.6008</v>
      </c>
      <c r="Q36" s="140">
        <v>26000</v>
      </c>
      <c r="R36" s="2">
        <v>98373</v>
      </c>
      <c r="S36" s="68">
        <v>19.34</v>
      </c>
      <c r="T36" s="141">
        <f t="shared" ref="T36" si="20">X36*F36*0.005</f>
        <v>2967.6301123057592</v>
      </c>
      <c r="V36" s="2">
        <v>0.12</v>
      </c>
      <c r="W36" s="2">
        <v>0.3</v>
      </c>
      <c r="X36" s="2">
        <f>IF(O36&gt;0,O36,((P36*2.2046*S36)+(Q36+R36)/G36)+V36)</f>
        <v>32.705431051198921</v>
      </c>
      <c r="Y36" s="2">
        <f>IF(O36&gt;0,O36,((P36*2.2046*S36)+(Q36+R36+T36)/G36)+V36+W36)</f>
        <v>33.171719866787285</v>
      </c>
      <c r="Z36" s="3">
        <f>Y36*F36</f>
        <v>601988.05880004109</v>
      </c>
      <c r="AA36" s="34">
        <v>43528</v>
      </c>
      <c r="AB36" s="3"/>
      <c r="AC36" s="35"/>
    </row>
    <row r="37" spans="1:32" x14ac:dyDescent="0.25">
      <c r="A37" s="124"/>
      <c r="B37" s="27" t="s">
        <v>30</v>
      </c>
      <c r="C37" s="28" t="s">
        <v>35</v>
      </c>
      <c r="D37" s="28" t="s">
        <v>36</v>
      </c>
      <c r="E37" t="s">
        <v>37</v>
      </c>
      <c r="F37" s="29">
        <f>41615*0.4536</f>
        <v>18876.563999999998</v>
      </c>
      <c r="G37" s="30">
        <v>18811.87</v>
      </c>
      <c r="H37" s="30">
        <f>G37-F37</f>
        <v>-64.693999999999505</v>
      </c>
      <c r="I37" t="s">
        <v>2608</v>
      </c>
      <c r="J37" s="52" t="s">
        <v>196</v>
      </c>
      <c r="K37" s="31">
        <v>43535</v>
      </c>
      <c r="L37" s="31">
        <v>43536</v>
      </c>
      <c r="M37" s="28" t="s">
        <v>48</v>
      </c>
      <c r="N37" s="28" t="s">
        <v>2604</v>
      </c>
      <c r="O37" s="2"/>
      <c r="P37" s="32">
        <f>0.5058+0.1</f>
        <v>0.60580000000000001</v>
      </c>
      <c r="Q37" s="140">
        <v>26000</v>
      </c>
      <c r="R37" s="2">
        <v>98050</v>
      </c>
      <c r="S37" s="68">
        <v>19.47</v>
      </c>
      <c r="T37" s="141">
        <f>X37*F37*0.005</f>
        <v>3087.9543046536442</v>
      </c>
      <c r="V37" s="2">
        <v>0.12</v>
      </c>
      <c r="W37" s="2">
        <v>0.3</v>
      </c>
      <c r="X37" s="2">
        <f>IF(O37&gt;0,O37,((P37*2.2046*S37)+(Q37+R37)/G37)+V37)</f>
        <v>32.717334623543188</v>
      </c>
      <c r="Y37" s="2">
        <f>IF(O37&gt;0,O37,((P37*2.2046*S37)+(Q37+R37+T37)/G37)+V37+W37)</f>
        <v>33.181483871047746</v>
      </c>
      <c r="Z37" s="3">
        <f>Y37*F37</f>
        <v>626352.40390680043</v>
      </c>
      <c r="AA37" s="34">
        <v>43536</v>
      </c>
      <c r="AB37" s="3"/>
      <c r="AC37" s="35"/>
    </row>
    <row r="38" spans="1:32" x14ac:dyDescent="0.25">
      <c r="A38" s="124"/>
      <c r="B38" s="27" t="s">
        <v>26</v>
      </c>
      <c r="C38" t="s">
        <v>27</v>
      </c>
      <c r="D38" s="28" t="s">
        <v>1636</v>
      </c>
      <c r="E38">
        <v>200</v>
      </c>
      <c r="F38" s="29">
        <v>25615</v>
      </c>
      <c r="G38" s="30">
        <f>7180+13490</f>
        <v>20670</v>
      </c>
      <c r="H38" s="30">
        <f>G38-F38</f>
        <v>-4945</v>
      </c>
      <c r="I38" t="s">
        <v>2699</v>
      </c>
      <c r="K38" s="31"/>
      <c r="L38" s="31">
        <v>43536</v>
      </c>
      <c r="M38" s="28" t="s">
        <v>48</v>
      </c>
      <c r="O38" s="2">
        <v>26</v>
      </c>
      <c r="P38" s="32"/>
      <c r="Q38" s="138">
        <v>21300</v>
      </c>
      <c r="R38" s="2">
        <f>75.45*E38</f>
        <v>15090</v>
      </c>
      <c r="S38" s="33">
        <f>-38*E38</f>
        <v>-7600</v>
      </c>
      <c r="T38" s="141">
        <f>X38*F38*0.005</f>
        <v>4311.1767537493952</v>
      </c>
      <c r="U38" s="2">
        <f>E38*5</f>
        <v>1000</v>
      </c>
      <c r="W38" s="2">
        <v>0.3</v>
      </c>
      <c r="X38" s="2">
        <f>((O38*F38)+Q38+R38+S38+U38)/G38</f>
        <v>33.661344944363812</v>
      </c>
      <c r="Y38" s="2">
        <f>((O38*F38)+Q38+R38+S38+T38+U38)/G38+W38</f>
        <v>34.169916630563584</v>
      </c>
      <c r="Z38" s="3">
        <f>Y38*G38</f>
        <v>706292.17675374926</v>
      </c>
      <c r="AA38" s="34">
        <v>43550</v>
      </c>
      <c r="AB38" s="3"/>
      <c r="AC38" s="35" t="s">
        <v>2715</v>
      </c>
      <c r="AF38" s="30"/>
    </row>
    <row r="39" spans="1:32" x14ac:dyDescent="0.25">
      <c r="A39" s="124"/>
      <c r="B39" s="27" t="s">
        <v>1909</v>
      </c>
      <c r="C39" t="s">
        <v>2450</v>
      </c>
      <c r="D39" s="28" t="s">
        <v>1806</v>
      </c>
      <c r="E39" t="s">
        <v>1910</v>
      </c>
      <c r="F39" s="29">
        <f>847+867+856+867+881</f>
        <v>4318</v>
      </c>
      <c r="G39" s="30">
        <v>4318</v>
      </c>
      <c r="H39" s="30">
        <f>G39-F39</f>
        <v>0</v>
      </c>
      <c r="I39" t="s">
        <v>2805</v>
      </c>
      <c r="K39" s="31"/>
      <c r="L39" s="31">
        <v>43536</v>
      </c>
      <c r="M39" s="28" t="s">
        <v>48</v>
      </c>
      <c r="O39" s="2">
        <v>17.2</v>
      </c>
      <c r="P39" s="32"/>
      <c r="Q39" s="2"/>
      <c r="R39" s="2"/>
      <c r="S39" s="33"/>
      <c r="T39" s="33"/>
      <c r="U39" s="2"/>
      <c r="W39" s="2"/>
      <c r="X39" s="2">
        <f>IF(O39&gt;0,O39,((P39*2.2046*S39)+(Q39+R39)/G39)+V39)</f>
        <v>17.2</v>
      </c>
      <c r="Y39" s="2">
        <f>IF(O39&gt;0,O39,((P39*2.2046*S39)+(Q39+R39+T39)/G39)+V39+W39)</f>
        <v>17.2</v>
      </c>
      <c r="Z39" s="3">
        <f>Y39*F39</f>
        <v>74269.599999999991</v>
      </c>
      <c r="AA39" s="34">
        <v>43543</v>
      </c>
      <c r="AB39" s="3"/>
      <c r="AC39" s="35"/>
      <c r="AF39" s="30"/>
    </row>
    <row r="40" spans="1:32" x14ac:dyDescent="0.25">
      <c r="A40" s="124"/>
      <c r="B40" s="27" t="s">
        <v>30</v>
      </c>
      <c r="C40" s="28" t="s">
        <v>31</v>
      </c>
      <c r="D40" s="28" t="s">
        <v>31</v>
      </c>
      <c r="E40" t="s">
        <v>32</v>
      </c>
      <c r="F40" s="29">
        <f>41274*0.4536</f>
        <v>18721.886399999999</v>
      </c>
      <c r="G40" s="30">
        <v>18664.240000000002</v>
      </c>
      <c r="H40" s="30">
        <f t="shared" ref="H40:H41" si="21">G40-F40</f>
        <v>-57.646399999997811</v>
      </c>
      <c r="I40" s="28">
        <v>57059</v>
      </c>
      <c r="J40" s="52" t="s">
        <v>1690</v>
      </c>
      <c r="K40" s="31">
        <v>43536</v>
      </c>
      <c r="L40" s="31">
        <v>43537</v>
      </c>
      <c r="M40" s="28" t="s">
        <v>33</v>
      </c>
      <c r="N40" s="28" t="s">
        <v>2604</v>
      </c>
      <c r="O40" s="2"/>
      <c r="P40" s="32">
        <f>0.5058+0.1</f>
        <v>0.60580000000000001</v>
      </c>
      <c r="Q40" s="140">
        <v>26000</v>
      </c>
      <c r="R40" s="2">
        <v>104514.2</v>
      </c>
      <c r="S40" s="68">
        <v>19.292000000000002</v>
      </c>
      <c r="T40" s="141">
        <f t="shared" ref="T40:T41" si="22">X40*F40*0.005</f>
        <v>3077.7009916910529</v>
      </c>
      <c r="V40" s="2">
        <v>0.12</v>
      </c>
      <c r="W40" s="2">
        <v>0.3</v>
      </c>
      <c r="X40" s="2">
        <f>IF(O40&gt;0,O40,((P40*2.2046*S40)+(Q40+R40)/G40)+V40)</f>
        <v>32.878107749773044</v>
      </c>
      <c r="Y40" s="2">
        <f>IF(O40&gt;0,O40,((P40*2.2046*S40)+(Q40+R40+T40)/G40)+V40+W40)</f>
        <v>33.343006025389457</v>
      </c>
      <c r="Z40" s="3">
        <f>Y40*F40</f>
        <v>624243.97104185692</v>
      </c>
      <c r="AA40" s="34">
        <v>43530</v>
      </c>
      <c r="AB40" s="3" t="s">
        <v>2632</v>
      </c>
      <c r="AC40" s="35"/>
    </row>
    <row r="41" spans="1:32" x14ac:dyDescent="0.25">
      <c r="A41" s="124"/>
      <c r="B41" s="27" t="s">
        <v>26</v>
      </c>
      <c r="C41" t="s">
        <v>27</v>
      </c>
      <c r="D41" s="28" t="s">
        <v>1636</v>
      </c>
      <c r="E41">
        <v>200</v>
      </c>
      <c r="F41" s="29">
        <v>24520</v>
      </c>
      <c r="G41" s="30">
        <f>7120+12480</f>
        <v>19600</v>
      </c>
      <c r="H41" s="30">
        <f t="shared" si="21"/>
        <v>-4920</v>
      </c>
      <c r="I41" s="28" t="s">
        <v>2710</v>
      </c>
      <c r="K41" s="31"/>
      <c r="L41" s="31">
        <v>43537</v>
      </c>
      <c r="M41" s="28" t="s">
        <v>33</v>
      </c>
      <c r="O41" s="2">
        <v>26</v>
      </c>
      <c r="P41" s="32"/>
      <c r="Q41" s="138">
        <v>21300</v>
      </c>
      <c r="R41" s="2">
        <f>75.45*E41</f>
        <v>15090</v>
      </c>
      <c r="S41" s="33">
        <f>-38*E41</f>
        <v>-7600</v>
      </c>
      <c r="T41" s="141">
        <f t="shared" si="22"/>
        <v>4174.0921428571428</v>
      </c>
      <c r="U41" s="2">
        <f>E41*5</f>
        <v>1000</v>
      </c>
      <c r="W41" s="2">
        <v>0.3</v>
      </c>
      <c r="X41" s="2">
        <f t="shared" ref="X41" si="23">((O41*F41)+Q41+R41+S41+U41)/G41</f>
        <v>34.046428571428571</v>
      </c>
      <c r="Y41" s="2">
        <f>((O41*F41)+Q41+R41+S41+T41+U41)/G41+W41</f>
        <v>34.55939245626822</v>
      </c>
      <c r="Z41" s="3">
        <f>Y41*G41</f>
        <v>677364.09214285715</v>
      </c>
      <c r="AA41" s="34">
        <v>43550</v>
      </c>
      <c r="AB41" s="3"/>
      <c r="AC41" s="35" t="s">
        <v>2716</v>
      </c>
    </row>
    <row r="42" spans="1:32" x14ac:dyDescent="0.25">
      <c r="A42" s="124"/>
      <c r="B42" s="27" t="s">
        <v>30</v>
      </c>
      <c r="C42" s="28" t="s">
        <v>40</v>
      </c>
      <c r="D42" s="28" t="s">
        <v>40</v>
      </c>
      <c r="E42" t="s">
        <v>37</v>
      </c>
      <c r="F42" s="29">
        <f>42145*0.4536</f>
        <v>19116.972000000002</v>
      </c>
      <c r="G42" s="30">
        <v>19107.77</v>
      </c>
      <c r="H42" s="30">
        <f>G42-F42</f>
        <v>-9.202000000001135</v>
      </c>
      <c r="I42" t="s">
        <v>2609</v>
      </c>
      <c r="J42" s="52" t="s">
        <v>196</v>
      </c>
      <c r="K42" s="31">
        <v>43537</v>
      </c>
      <c r="L42" s="31">
        <v>43538</v>
      </c>
      <c r="M42" s="28" t="s">
        <v>41</v>
      </c>
      <c r="N42" s="28" t="s">
        <v>2605</v>
      </c>
      <c r="O42" s="2"/>
      <c r="P42" s="32">
        <f>0.5298+0.105</f>
        <v>0.63480000000000003</v>
      </c>
      <c r="Q42" s="140">
        <v>26000</v>
      </c>
      <c r="R42" s="2">
        <v>104611</v>
      </c>
      <c r="S42" s="68">
        <v>19.629000000000001</v>
      </c>
      <c r="T42" s="141">
        <f>X42*F42*0.005</f>
        <v>3290.5934956673236</v>
      </c>
      <c r="V42" s="2">
        <v>0.12</v>
      </c>
      <c r="W42" s="2">
        <v>0.3</v>
      </c>
      <c r="X42" s="2">
        <f>IF(O42&gt;0,O42,((P42*2.2046*S42)+(Q42+R42)/G42)+V42)</f>
        <v>34.425886020728839</v>
      </c>
      <c r="Y42" s="2">
        <f>IF(O42&gt;0,O42,((P42*2.2046*S42)+(Q42+R42+T42)/G42)+V42+W42)</f>
        <v>34.898098345645209</v>
      </c>
      <c r="Z42" s="3">
        <f>Y42*F42</f>
        <v>667145.96892694582</v>
      </c>
      <c r="AA42" s="34">
        <v>43531</v>
      </c>
      <c r="AB42" s="3"/>
      <c r="AC42" s="35"/>
    </row>
    <row r="43" spans="1:32" x14ac:dyDescent="0.25">
      <c r="A43" s="124"/>
      <c r="B43" s="27" t="s">
        <v>30</v>
      </c>
      <c r="C43" s="28" t="s">
        <v>36</v>
      </c>
      <c r="D43" s="28" t="s">
        <v>35</v>
      </c>
      <c r="E43" t="s">
        <v>2702</v>
      </c>
      <c r="F43" s="29">
        <f>35657*0.4536</f>
        <v>16174.0152</v>
      </c>
      <c r="G43" s="30">
        <v>16136.03</v>
      </c>
      <c r="H43" s="30">
        <f>G43-F43</f>
        <v>-37.985199999999168</v>
      </c>
      <c r="I43" t="s">
        <v>2610</v>
      </c>
      <c r="J43" s="52" t="s">
        <v>196</v>
      </c>
      <c r="K43" s="31">
        <v>43537</v>
      </c>
      <c r="L43" s="31">
        <v>43538</v>
      </c>
      <c r="M43" s="28" t="s">
        <v>41</v>
      </c>
      <c r="N43" s="28" t="s">
        <v>2606</v>
      </c>
      <c r="O43" s="2"/>
      <c r="P43" s="32">
        <f>0.5298+0.1</f>
        <v>0.62980000000000003</v>
      </c>
      <c r="Q43" s="140">
        <v>22100</v>
      </c>
      <c r="R43" s="2">
        <v>87307</v>
      </c>
      <c r="S43" s="68">
        <v>19.03</v>
      </c>
      <c r="T43" s="141">
        <f>X43*F43*0.005</f>
        <v>2694.8036638677154</v>
      </c>
      <c r="V43" s="2">
        <v>0.12</v>
      </c>
      <c r="W43" s="2">
        <v>0.3</v>
      </c>
      <c r="X43" s="2">
        <f>IF(O43&gt;0,O43,((P43*2.2046*S43)+(Q43+R43)/G43)+V43)</f>
        <v>33.322630534781688</v>
      </c>
      <c r="Y43" s="2">
        <f>IF(O43&gt;0,O43,((P43*2.2046*S43)+(Q43+R43+T43)/G43)+V43+W43)</f>
        <v>33.789635904991563</v>
      </c>
      <c r="Z43" s="3">
        <f>Y43*F43</f>
        <v>546514.0847297993</v>
      </c>
      <c r="AA43" s="34">
        <v>43543</v>
      </c>
      <c r="AB43" s="3"/>
      <c r="AC43" s="35"/>
    </row>
    <row r="44" spans="1:32" x14ac:dyDescent="0.25">
      <c r="A44" s="124"/>
      <c r="B44" s="27" t="s">
        <v>1805</v>
      </c>
      <c r="C44" s="28" t="s">
        <v>36</v>
      </c>
      <c r="D44" s="28" t="s">
        <v>35</v>
      </c>
      <c r="E44" t="s">
        <v>1815</v>
      </c>
      <c r="F44" s="29">
        <f>5313*0.4536</f>
        <v>2409.9767999999999</v>
      </c>
      <c r="G44" s="30">
        <v>2406.83</v>
      </c>
      <c r="H44" s="30">
        <f>G44-F44</f>
        <v>-3.1467999999999847</v>
      </c>
      <c r="I44" t="s">
        <v>2610</v>
      </c>
      <c r="K44" s="31">
        <v>43537</v>
      </c>
      <c r="L44" s="31">
        <v>43538</v>
      </c>
      <c r="M44" s="28" t="s">
        <v>41</v>
      </c>
      <c r="N44" s="28"/>
      <c r="O44" s="2"/>
      <c r="P44" s="32">
        <v>0.39</v>
      </c>
      <c r="Q44" s="140">
        <v>3900</v>
      </c>
      <c r="R44" s="2">
        <v>1200</v>
      </c>
      <c r="S44" s="68">
        <v>19.03</v>
      </c>
      <c r="T44" s="141">
        <f>X44*F44*0.005</f>
        <v>224.13807980322673</v>
      </c>
      <c r="V44" s="2">
        <v>0.12</v>
      </c>
      <c r="W44" s="2"/>
      <c r="X44" s="2">
        <f>IF(O44&gt;0,O44,((P44*2.2046*S44)+(Q44+R44)/G44)+V44)</f>
        <v>18.600849585209843</v>
      </c>
      <c r="Y44" s="2">
        <f>IF(O44&gt;0,O44,((P44*2.2046*S44)+(Q44+R44+T44)/G44)+V44+W44)</f>
        <v>18.693975431157927</v>
      </c>
      <c r="Z44" s="3">
        <f>Y44*F44</f>
        <v>45052.0470888606</v>
      </c>
      <c r="AA44" s="34">
        <v>43543</v>
      </c>
      <c r="AB44" s="3"/>
      <c r="AC44" s="35"/>
    </row>
    <row r="45" spans="1:32" x14ac:dyDescent="0.25">
      <c r="A45" s="124"/>
      <c r="B45" s="27" t="s">
        <v>26</v>
      </c>
      <c r="C45" t="s">
        <v>27</v>
      </c>
      <c r="D45" s="28" t="s">
        <v>2721</v>
      </c>
      <c r="E45">
        <v>200</v>
      </c>
      <c r="F45" s="29">
        <v>22990</v>
      </c>
      <c r="G45" s="30">
        <v>22610</v>
      </c>
      <c r="H45" s="30">
        <f t="shared" ref="H45:H46" si="24">G45-F45</f>
        <v>-380</v>
      </c>
      <c r="I45" t="s">
        <v>2720</v>
      </c>
      <c r="K45" s="31"/>
      <c r="L45" s="31">
        <v>43538</v>
      </c>
      <c r="M45" s="28" t="s">
        <v>41</v>
      </c>
      <c r="O45" s="2">
        <v>26</v>
      </c>
      <c r="P45" s="32"/>
      <c r="Q45" s="138">
        <v>21300</v>
      </c>
      <c r="R45" s="2">
        <f t="shared" ref="R45:R46" si="25">75.45*E45</f>
        <v>15090</v>
      </c>
      <c r="S45" s="33">
        <f>-38*E45</f>
        <v>-7600</v>
      </c>
      <c r="T45" s="141">
        <f>X45*F45*0.0045</f>
        <v>2871.3452521008403</v>
      </c>
      <c r="U45" s="2">
        <f>E45*5</f>
        <v>1000</v>
      </c>
      <c r="W45" s="2">
        <v>0.3</v>
      </c>
      <c r="X45" s="2">
        <f t="shared" ref="X45" si="26">((O45*F45)+Q45+R45+S45+U45)/G45</f>
        <v>27.754533392304289</v>
      </c>
      <c r="Y45" s="2">
        <f>((O45*F45)+Q45+R45+S45+T45+U45)/G45+W45</f>
        <v>28.181527874927063</v>
      </c>
      <c r="Z45" s="3">
        <f>Y45*G45</f>
        <v>637184.34525210084</v>
      </c>
      <c r="AA45" s="34">
        <v>43551</v>
      </c>
      <c r="AB45" s="3">
        <v>34.82</v>
      </c>
    </row>
    <row r="46" spans="1:32" x14ac:dyDescent="0.25">
      <c r="A46" s="124"/>
      <c r="B46" s="27" t="s">
        <v>26</v>
      </c>
      <c r="C46" t="s">
        <v>27</v>
      </c>
      <c r="D46" s="28" t="s">
        <v>1684</v>
      </c>
      <c r="E46">
        <v>180</v>
      </c>
      <c r="F46" s="29">
        <v>19825</v>
      </c>
      <c r="G46" s="30">
        <v>11410</v>
      </c>
      <c r="H46" s="30">
        <f t="shared" si="24"/>
        <v>-8415</v>
      </c>
      <c r="I46" t="s">
        <v>2722</v>
      </c>
      <c r="K46" s="31"/>
      <c r="L46" s="31">
        <v>43538</v>
      </c>
      <c r="M46" s="28" t="s">
        <v>41</v>
      </c>
      <c r="O46" s="2">
        <v>26</v>
      </c>
      <c r="P46" s="32"/>
      <c r="Q46" s="140">
        <v>16900</v>
      </c>
      <c r="R46" s="2">
        <f t="shared" si="25"/>
        <v>13581</v>
      </c>
      <c r="S46" s="33">
        <f>-38*E46</f>
        <v>-6840</v>
      </c>
      <c r="T46" s="141">
        <f>X46*F46*0.0045</f>
        <v>4222.0812521910602</v>
      </c>
      <c r="U46" s="2">
        <f>E46*5</f>
        <v>900</v>
      </c>
      <c r="W46" s="2">
        <v>0.3</v>
      </c>
      <c r="X46" s="2">
        <f>((O46*F46)+Q46+R46+S46+U46)/G46</f>
        <v>47.326117440841365</v>
      </c>
      <c r="Y46" s="2">
        <f>((O46*F46)+Q46+R46+S46+T46+U46)/G46+W46</f>
        <v>47.996150854705618</v>
      </c>
      <c r="Z46" s="3">
        <f>Y46*G46</f>
        <v>547636.0812521911</v>
      </c>
      <c r="AA46" s="34">
        <v>43551</v>
      </c>
      <c r="AB46" s="3"/>
      <c r="AC46" s="35" t="s">
        <v>2723</v>
      </c>
    </row>
    <row r="47" spans="1:32" x14ac:dyDescent="0.25">
      <c r="A47" s="124"/>
      <c r="B47" s="27" t="s">
        <v>30</v>
      </c>
      <c r="C47" s="28" t="s">
        <v>1790</v>
      </c>
      <c r="D47" s="28" t="s">
        <v>1790</v>
      </c>
      <c r="E47" t="s">
        <v>32</v>
      </c>
      <c r="F47" s="29">
        <f>42040*0.4536</f>
        <v>19069.344000000001</v>
      </c>
      <c r="G47" s="30">
        <v>19254.18</v>
      </c>
      <c r="H47" s="166">
        <f>G47-F47</f>
        <v>184.83599999999933</v>
      </c>
      <c r="I47" s="28" t="s">
        <v>2611</v>
      </c>
      <c r="J47" s="52" t="s">
        <v>196</v>
      </c>
      <c r="K47" s="31">
        <v>43539</v>
      </c>
      <c r="L47" s="31">
        <v>43540</v>
      </c>
      <c r="M47" s="28" t="s">
        <v>46</v>
      </c>
      <c r="N47" s="28" t="s">
        <v>2612</v>
      </c>
      <c r="O47" s="2"/>
      <c r="P47" s="32">
        <f>0.5298+0.095</f>
        <v>0.62480000000000002</v>
      </c>
      <c r="Q47" s="140">
        <v>26000</v>
      </c>
      <c r="R47" s="2">
        <v>102166</v>
      </c>
      <c r="S47" s="68">
        <v>19.32</v>
      </c>
      <c r="T47" s="141">
        <f>X47*F47*0.005</f>
        <v>3183.4892080250347</v>
      </c>
      <c r="V47" s="2">
        <v>0.12</v>
      </c>
      <c r="W47" s="2">
        <v>0.3</v>
      </c>
      <c r="X47" s="2">
        <f>IF(O47&gt;0,O47,((P47*2.2046*S47)+(Q47+R47)/G47)+V47)</f>
        <v>33.388555033933358</v>
      </c>
      <c r="Y47" s="2">
        <f>IF(O47&gt;0,O47,((P47*2.2046*S47)+(Q47+R47+T47)/G47)+V47+W47)</f>
        <v>33.853895194253091</v>
      </c>
      <c r="Z47" s="3">
        <f>Y47*F47</f>
        <v>645571.573199159</v>
      </c>
      <c r="AA47" s="34">
        <v>43529</v>
      </c>
      <c r="AB47" s="3"/>
      <c r="AC47" s="35"/>
    </row>
    <row r="48" spans="1:32" x14ac:dyDescent="0.25">
      <c r="A48" s="124"/>
      <c r="B48" s="27" t="s">
        <v>30</v>
      </c>
      <c r="C48" s="28" t="s">
        <v>31</v>
      </c>
      <c r="D48" s="28" t="s">
        <v>31</v>
      </c>
      <c r="E48" t="s">
        <v>32</v>
      </c>
      <c r="F48" s="29">
        <f>40948*0.4536</f>
        <v>18574.0128</v>
      </c>
      <c r="G48" s="30">
        <v>18511.64</v>
      </c>
      <c r="H48" s="30">
        <f>G48-F48</f>
        <v>-62.372800000001007</v>
      </c>
      <c r="I48">
        <v>57060</v>
      </c>
      <c r="J48" s="52" t="s">
        <v>196</v>
      </c>
      <c r="K48" s="31">
        <v>43538</v>
      </c>
      <c r="L48" s="31">
        <v>43539</v>
      </c>
      <c r="M48" s="28" t="s">
        <v>45</v>
      </c>
      <c r="N48" s="28" t="s">
        <v>2613</v>
      </c>
      <c r="O48" s="2"/>
      <c r="P48" s="32">
        <f>0.5482+0.1</f>
        <v>0.6482</v>
      </c>
      <c r="Q48" s="140">
        <v>26000</v>
      </c>
      <c r="R48" s="2">
        <v>103399</v>
      </c>
      <c r="S48" s="68">
        <v>19.568999999999999</v>
      </c>
      <c r="T48" s="141">
        <f>X48*F48*0.005</f>
        <v>3257.3867043970813</v>
      </c>
      <c r="V48" s="2">
        <v>0.12</v>
      </c>
      <c r="W48" s="2">
        <v>0.3</v>
      </c>
      <c r="X48" s="2">
        <f>IF(O48&gt;0,O48,((P48*2.2046*S48)+(Q48+R48)/G48)+V48)</f>
        <v>35.074668457179925</v>
      </c>
      <c r="Y48" s="2">
        <f>IF(O48&gt;0,O48,((P48*2.2046*S48)+(Q48+R48+T48)/G48)+V48+W48)</f>
        <v>35.550632699375491</v>
      </c>
      <c r="Z48" s="3">
        <f>Y48*F48</f>
        <v>660317.90680629888</v>
      </c>
      <c r="AA48" s="34">
        <v>43532</v>
      </c>
      <c r="AB48" s="3" t="s">
        <v>2633</v>
      </c>
      <c r="AC48" s="35"/>
    </row>
    <row r="49" spans="1:32" x14ac:dyDescent="0.25">
      <c r="A49" s="124"/>
      <c r="B49" s="27" t="s">
        <v>26</v>
      </c>
      <c r="C49" t="s">
        <v>43</v>
      </c>
      <c r="D49" s="28" t="s">
        <v>44</v>
      </c>
      <c r="E49">
        <v>240</v>
      </c>
      <c r="F49" s="29">
        <v>21480</v>
      </c>
      <c r="G49" s="30">
        <v>21480</v>
      </c>
      <c r="H49" s="30">
        <f t="shared" ref="H49:H53" si="27">G49-F49</f>
        <v>0</v>
      </c>
      <c r="I49" t="s">
        <v>2758</v>
      </c>
      <c r="K49" s="31"/>
      <c r="L49" s="31">
        <v>43539</v>
      </c>
      <c r="M49" s="28" t="s">
        <v>45</v>
      </c>
      <c r="O49" s="2">
        <v>33.9</v>
      </c>
      <c r="P49" s="32"/>
      <c r="Q49" s="138">
        <v>21300</v>
      </c>
      <c r="R49" s="2"/>
      <c r="S49" s="33"/>
      <c r="T49" s="141">
        <f>X49*F49*0.0045</f>
        <v>3378.0239999999999</v>
      </c>
      <c r="U49" s="2">
        <f>E49*5</f>
        <v>1200</v>
      </c>
      <c r="W49" s="2">
        <v>0.3</v>
      </c>
      <c r="X49" s="2">
        <f>((O49*F49)+Q49+R49+S49+U49)/G49</f>
        <v>34.947486033519553</v>
      </c>
      <c r="Y49" s="2">
        <f>((O49*F49)+Q49+R49+S49+T49+U49)/G49+W49</f>
        <v>35.404749720670388</v>
      </c>
      <c r="Z49" s="3">
        <f>Y49*G49</f>
        <v>760494.02399999998</v>
      </c>
      <c r="AA49" s="34">
        <v>43544</v>
      </c>
      <c r="AB49" s="3"/>
      <c r="AC49" s="35"/>
    </row>
    <row r="50" spans="1:32" x14ac:dyDescent="0.25">
      <c r="A50" s="124"/>
      <c r="B50" s="27" t="s">
        <v>26</v>
      </c>
      <c r="C50" t="s">
        <v>27</v>
      </c>
      <c r="D50" s="28" t="s">
        <v>1684</v>
      </c>
      <c r="E50">
        <v>129</v>
      </c>
      <c r="F50" s="29">
        <v>14885</v>
      </c>
      <c r="G50" s="30">
        <v>11760</v>
      </c>
      <c r="H50" s="30">
        <f t="shared" si="27"/>
        <v>-3125</v>
      </c>
      <c r="I50" s="28" t="s">
        <v>2733</v>
      </c>
      <c r="J50" s="55">
        <v>129</v>
      </c>
      <c r="K50" s="31"/>
      <c r="L50" s="31">
        <v>43539</v>
      </c>
      <c r="M50" s="28" t="s">
        <v>45</v>
      </c>
      <c r="O50" s="2">
        <v>26</v>
      </c>
      <c r="P50" s="32"/>
      <c r="Q50" s="140">
        <v>16900</v>
      </c>
      <c r="R50" s="2">
        <f t="shared" ref="R50" si="28">75.45*E50</f>
        <v>9733.0500000000011</v>
      </c>
      <c r="S50" s="33">
        <f>-38*E50</f>
        <v>-4902</v>
      </c>
      <c r="T50" s="141">
        <f>X50*F50*0.0045</f>
        <v>2331.7773039221934</v>
      </c>
      <c r="U50" s="2">
        <f>E50*5</f>
        <v>645</v>
      </c>
      <c r="W50" s="2">
        <v>0.3</v>
      </c>
      <c r="X50" s="2">
        <f>((O50*F50)+Q50+R50+S50+U50)/G50</f>
        <v>34.811738945578227</v>
      </c>
      <c r="Y50" s="2">
        <f>((O50*F50)+Q50+R50+S50+T50+U50)/G50+W50</f>
        <v>35.310019328564806</v>
      </c>
      <c r="Z50" s="3">
        <f>Y50*G50</f>
        <v>415245.82730392209</v>
      </c>
      <c r="AA50" s="34">
        <v>43552</v>
      </c>
      <c r="AB50" s="3"/>
      <c r="AC50" s="35" t="s">
        <v>2734</v>
      </c>
    </row>
    <row r="51" spans="1:32" x14ac:dyDescent="0.25">
      <c r="A51" s="124"/>
      <c r="B51" s="27" t="s">
        <v>1729</v>
      </c>
      <c r="C51" t="s">
        <v>1814</v>
      </c>
      <c r="D51" s="28" t="s">
        <v>1734</v>
      </c>
      <c r="E51" t="s">
        <v>2799</v>
      </c>
      <c r="F51" s="29">
        <v>8760.2000000000007</v>
      </c>
      <c r="G51" s="30">
        <v>8760.2000000000007</v>
      </c>
      <c r="H51" s="30">
        <f t="shared" si="27"/>
        <v>0</v>
      </c>
      <c r="I51" s="28" t="s">
        <v>2800</v>
      </c>
      <c r="K51" s="31"/>
      <c r="L51" s="31">
        <v>43539</v>
      </c>
      <c r="M51" s="28" t="s">
        <v>45</v>
      </c>
      <c r="O51" s="2">
        <v>87.8</v>
      </c>
      <c r="P51" s="32"/>
      <c r="Q51" s="2"/>
      <c r="R51" s="2"/>
      <c r="S51" s="33"/>
      <c r="T51" s="33"/>
      <c r="U51" s="2"/>
      <c r="W51" s="2"/>
      <c r="X51" s="2">
        <f>IF(O51&gt;0,O51,((P51*2.2046*S51)+(Q51+R51)/G51)+V51)</f>
        <v>87.8</v>
      </c>
      <c r="Y51" s="2">
        <f>IF(O51&gt;0,O51,((P51*2.2046*S51)+(Q51+R51+T51)/G51)+V51+W51)</f>
        <v>87.8</v>
      </c>
      <c r="Z51" s="3">
        <f>Y51*F51</f>
        <v>769145.56</v>
      </c>
      <c r="AA51" s="34">
        <v>43546</v>
      </c>
      <c r="AB51" s="3"/>
      <c r="AC51" s="35"/>
    </row>
    <row r="52" spans="1:32" x14ac:dyDescent="0.25">
      <c r="A52" s="124"/>
      <c r="B52" s="27" t="s">
        <v>30</v>
      </c>
      <c r="C52" t="s">
        <v>40</v>
      </c>
      <c r="D52" s="28" t="s">
        <v>40</v>
      </c>
      <c r="E52" t="s">
        <v>37</v>
      </c>
      <c r="F52" s="29">
        <f>41423*0.4536</f>
        <v>18789.4728</v>
      </c>
      <c r="G52" s="30">
        <v>18819.95</v>
      </c>
      <c r="H52" s="30">
        <f t="shared" si="27"/>
        <v>30.477200000001176</v>
      </c>
      <c r="I52" s="28" t="s">
        <v>2614</v>
      </c>
      <c r="J52" s="52" t="s">
        <v>196</v>
      </c>
      <c r="K52" s="31">
        <v>43539</v>
      </c>
      <c r="L52" s="31">
        <v>43540</v>
      </c>
      <c r="M52" s="28" t="s">
        <v>46</v>
      </c>
      <c r="N52" s="28" t="s">
        <v>2616</v>
      </c>
      <c r="O52" s="2"/>
      <c r="P52" s="32">
        <f>0.5556+0.105</f>
        <v>0.66059999999999997</v>
      </c>
      <c r="Q52" s="140">
        <v>26000</v>
      </c>
      <c r="R52" s="2">
        <v>107189</v>
      </c>
      <c r="S52" s="68">
        <v>19.47</v>
      </c>
      <c r="T52" s="141">
        <f>X52*F52*0.005</f>
        <v>3340.046411766255</v>
      </c>
      <c r="V52" s="2">
        <v>0.12</v>
      </c>
      <c r="W52" s="2">
        <v>0.3</v>
      </c>
      <c r="X52" s="2">
        <f>IF(O52&gt;0,O52,((P52*2.2046*S52)+(Q52+R52)/G52)+V52)</f>
        <v>35.552316420141977</v>
      </c>
      <c r="Y52" s="2">
        <f>IF(O52&gt;0,O52,((P52*2.2046*S52)+(Q52+R52+T52)/G52)+V52+W52)</f>
        <v>36.029790133502864</v>
      </c>
      <c r="Z52" s="3">
        <f>Y52*F52</f>
        <v>676980.76170316048</v>
      </c>
      <c r="AA52" s="34">
        <v>43535</v>
      </c>
      <c r="AB52" s="3" t="s">
        <v>2744</v>
      </c>
      <c r="AC52" s="35"/>
    </row>
    <row r="53" spans="1:32" x14ac:dyDescent="0.25">
      <c r="A53" s="124"/>
      <c r="B53" s="27" t="s">
        <v>1909</v>
      </c>
      <c r="C53" t="s">
        <v>40</v>
      </c>
      <c r="D53" s="28" t="s">
        <v>1806</v>
      </c>
      <c r="E53" t="s">
        <v>1807</v>
      </c>
      <c r="F53" s="29">
        <v>906.7</v>
      </c>
      <c r="G53" s="30">
        <v>906.7</v>
      </c>
      <c r="H53" s="30">
        <f t="shared" si="27"/>
        <v>0</v>
      </c>
      <c r="I53" s="28" t="s">
        <v>2807</v>
      </c>
      <c r="K53" s="31"/>
      <c r="L53" s="31">
        <v>43540</v>
      </c>
      <c r="M53" s="28"/>
      <c r="N53" s="28"/>
      <c r="O53" s="2">
        <v>17.2</v>
      </c>
      <c r="P53" s="32"/>
      <c r="Q53" s="2"/>
      <c r="R53" s="2"/>
      <c r="S53" s="68"/>
      <c r="T53" s="33"/>
      <c r="V53" s="2"/>
      <c r="W53" s="2"/>
      <c r="X53" s="2">
        <f>IF(O53&gt;0,O53,((P53*2.2046*S53)+(Q53+R53)/G53)+V53)</f>
        <v>17.2</v>
      </c>
      <c r="Y53" s="2">
        <f>IF(O53&gt;0,O53,((P53*2.2046*S53)+(Q53+R53+T53)/G53)+V53+W53)</f>
        <v>17.2</v>
      </c>
      <c r="Z53" s="3">
        <f>Y53*F53</f>
        <v>15595.24</v>
      </c>
      <c r="AA53" s="34">
        <v>43549</v>
      </c>
      <c r="AB53" s="3"/>
      <c r="AC53" s="35"/>
    </row>
    <row r="54" spans="1:32" x14ac:dyDescent="0.25">
      <c r="A54" s="124"/>
      <c r="B54" s="27" t="s">
        <v>30</v>
      </c>
      <c r="C54" s="28" t="s">
        <v>1790</v>
      </c>
      <c r="D54" s="28" t="s">
        <v>1790</v>
      </c>
      <c r="E54" t="s">
        <v>32</v>
      </c>
      <c r="F54" s="29">
        <f>42017*0.4536</f>
        <v>19058.911199999999</v>
      </c>
      <c r="G54" s="30">
        <v>19299.64</v>
      </c>
      <c r="H54" s="166">
        <f>G54-F54</f>
        <v>240.72880000000077</v>
      </c>
      <c r="I54" s="28" t="s">
        <v>2615</v>
      </c>
      <c r="J54" s="52" t="s">
        <v>2207</v>
      </c>
      <c r="K54" s="31">
        <v>43539</v>
      </c>
      <c r="L54" s="31">
        <v>43542</v>
      </c>
      <c r="M54" s="28" t="s">
        <v>29</v>
      </c>
      <c r="N54" s="28" t="s">
        <v>2617</v>
      </c>
      <c r="O54" s="2"/>
      <c r="P54" s="32">
        <f>0.5482+0.095</f>
        <v>0.64319999999999999</v>
      </c>
      <c r="Q54" s="140">
        <v>24400</v>
      </c>
      <c r="R54" s="2">
        <v>104256</v>
      </c>
      <c r="S54" s="68">
        <v>19.349</v>
      </c>
      <c r="T54" s="141">
        <f>X54*F54*0.005</f>
        <v>3261.2746970275416</v>
      </c>
      <c r="V54" s="2">
        <v>0.12</v>
      </c>
      <c r="W54" s="2">
        <v>0.3</v>
      </c>
      <c r="X54" s="2">
        <f>IF(O54&gt;0,O54,((P54*2.2046*S54)+(Q54+R54)/G54)+V54)</f>
        <v>34.223095567259286</v>
      </c>
      <c r="Y54" s="2">
        <f>IF(O54&gt;0,O54,((P54*2.2046*S54)+(Q54+R54+T54)/G54)+V54+W54)</f>
        <v>34.692076682815198</v>
      </c>
      <c r="Z54" s="3">
        <f>Y54*F54</f>
        <v>661193.20884136541</v>
      </c>
      <c r="AA54" s="34">
        <v>43539</v>
      </c>
      <c r="AB54" s="3" t="s">
        <v>2744</v>
      </c>
      <c r="AC54" s="35"/>
    </row>
    <row r="55" spans="1:32" ht="15.75" thickBot="1" x14ac:dyDescent="0.3">
      <c r="A55" s="125"/>
      <c r="B55" s="41"/>
      <c r="C55" s="4"/>
      <c r="D55" s="4"/>
      <c r="E55" s="4"/>
      <c r="F55" s="42"/>
      <c r="G55" s="42"/>
      <c r="H55" s="42"/>
      <c r="I55" s="7"/>
      <c r="J55" s="4"/>
      <c r="K55" s="8"/>
      <c r="L55" s="8"/>
      <c r="M55" s="4"/>
      <c r="N55" s="4"/>
      <c r="O55" s="9"/>
      <c r="P55" s="10"/>
      <c r="Q55" s="9"/>
      <c r="R55" s="9"/>
      <c r="S55" s="9"/>
      <c r="T55" s="9"/>
      <c r="U55" s="9"/>
      <c r="V55" s="9"/>
      <c r="W55" s="9"/>
      <c r="X55" s="9"/>
      <c r="Y55" s="9"/>
      <c r="Z55" s="13"/>
      <c r="AA55" s="43"/>
      <c r="AB55" s="3"/>
      <c r="AC55" s="35"/>
    </row>
    <row r="56" spans="1:32" x14ac:dyDescent="0.25">
      <c r="A56" s="126"/>
      <c r="B56" s="14" t="s">
        <v>26</v>
      </c>
      <c r="C56" s="14" t="s">
        <v>27</v>
      </c>
      <c r="D56" s="28" t="s">
        <v>2721</v>
      </c>
      <c r="E56" s="14">
        <v>198</v>
      </c>
      <c r="F56" s="16">
        <v>23855</v>
      </c>
      <c r="G56" s="17">
        <v>18370</v>
      </c>
      <c r="H56" s="30">
        <f t="shared" ref="H56:H60" si="29">G56-F56</f>
        <v>-5485</v>
      </c>
      <c r="I56" s="19" t="s">
        <v>2749</v>
      </c>
      <c r="J56" s="14"/>
      <c r="K56" s="20"/>
      <c r="L56" s="20">
        <v>43541</v>
      </c>
      <c r="M56" s="15" t="s">
        <v>28</v>
      </c>
      <c r="N56" s="14"/>
      <c r="O56" s="21">
        <v>26</v>
      </c>
      <c r="P56" s="22"/>
      <c r="Q56" s="139">
        <v>22800</v>
      </c>
      <c r="R56" s="2">
        <f t="shared" ref="R56:R58" si="30">75.45*E56</f>
        <v>14939.1</v>
      </c>
      <c r="S56" s="21">
        <f>-38*E56</f>
        <v>-7524</v>
      </c>
      <c r="T56" s="23">
        <f>X56*F56*0.0045</f>
        <v>3806.7462927191068</v>
      </c>
      <c r="U56" s="21">
        <f>E56*5</f>
        <v>990</v>
      </c>
      <c r="V56" s="14"/>
      <c r="W56" s="21">
        <v>0.3</v>
      </c>
      <c r="X56" s="21">
        <f>((O56*F56)+Q56+R56+S56+U56)/G56</f>
        <v>35.461899836690257</v>
      </c>
      <c r="Y56" s="24">
        <f>((O56*F56)+Q56+R56+S56+T56+U56)/G56+W56</f>
        <v>35.969126091057106</v>
      </c>
      <c r="Z56" s="24">
        <f>Y56*G56</f>
        <v>660752.84629271901</v>
      </c>
      <c r="AA56" s="25">
        <v>43556</v>
      </c>
      <c r="AB56" s="3"/>
      <c r="AC56" s="3"/>
    </row>
    <row r="57" spans="1:32" x14ac:dyDescent="0.25">
      <c r="A57" s="127"/>
      <c r="B57" s="27" t="s">
        <v>26</v>
      </c>
      <c r="C57" t="s">
        <v>27</v>
      </c>
      <c r="D57" s="28" t="s">
        <v>1684</v>
      </c>
      <c r="E57">
        <v>132</v>
      </c>
      <c r="F57" s="29">
        <v>15005</v>
      </c>
      <c r="G57" s="30">
        <v>12620</v>
      </c>
      <c r="H57" s="30">
        <f t="shared" si="29"/>
        <v>-2385</v>
      </c>
      <c r="I57" s="28" t="s">
        <v>2750</v>
      </c>
      <c r="K57" s="31"/>
      <c r="L57" s="31">
        <v>43541</v>
      </c>
      <c r="M57" s="28" t="s">
        <v>28</v>
      </c>
      <c r="O57" s="2">
        <v>26</v>
      </c>
      <c r="P57" s="32"/>
      <c r="Q57" s="140">
        <v>16900</v>
      </c>
      <c r="R57" s="2">
        <f t="shared" si="30"/>
        <v>9959.4</v>
      </c>
      <c r="S57" s="33">
        <f>-38*E57</f>
        <v>-5016</v>
      </c>
      <c r="T57" s="33">
        <f>X57*F57*0.0045</f>
        <v>2207.7685223058638</v>
      </c>
      <c r="U57" s="2">
        <f>E57*5</f>
        <v>660</v>
      </c>
      <c r="W57" s="2">
        <v>0.3</v>
      </c>
      <c r="X57" s="2">
        <f>((O57*F57)+Q57+R57+S57+U57)/G57</f>
        <v>32.696782884310622</v>
      </c>
      <c r="Y57" s="2">
        <f>((O57*F57)+Q57+R57+S57+T57+U57)/G57+W57</f>
        <v>33.171724922528199</v>
      </c>
      <c r="Z57" s="3">
        <f>Y57*G57</f>
        <v>418627.16852230584</v>
      </c>
      <c r="AA57" s="34">
        <v>43556</v>
      </c>
      <c r="AB57" s="3"/>
      <c r="AC57" s="35" t="s">
        <v>2752</v>
      </c>
    </row>
    <row r="58" spans="1:32" x14ac:dyDescent="0.25">
      <c r="A58" s="127"/>
      <c r="B58" s="27" t="s">
        <v>26</v>
      </c>
      <c r="C58" t="s">
        <v>27</v>
      </c>
      <c r="D58" s="28" t="s">
        <v>2721</v>
      </c>
      <c r="E58">
        <v>200</v>
      </c>
      <c r="F58" s="29">
        <v>22585</v>
      </c>
      <c r="G58" s="30">
        <f>11770+6300</f>
        <v>18070</v>
      </c>
      <c r="H58" s="30">
        <f t="shared" si="29"/>
        <v>-4515</v>
      </c>
      <c r="I58" s="28" t="s">
        <v>2751</v>
      </c>
      <c r="K58" s="31"/>
      <c r="L58" s="31">
        <v>43542</v>
      </c>
      <c r="M58" s="28" t="s">
        <v>29</v>
      </c>
      <c r="O58" s="2">
        <v>26</v>
      </c>
      <c r="P58" s="32"/>
      <c r="Q58" s="138">
        <v>22800</v>
      </c>
      <c r="R58" s="2">
        <f t="shared" si="30"/>
        <v>15090</v>
      </c>
      <c r="S58" s="33">
        <f>-38*E58</f>
        <v>-7600</v>
      </c>
      <c r="T58" s="33">
        <f>X58*F58*0.0045</f>
        <v>3478.6774349750967</v>
      </c>
      <c r="U58" s="2">
        <f>E58*5</f>
        <v>1000</v>
      </c>
      <c r="W58" s="2">
        <v>0.3</v>
      </c>
      <c r="X58" s="2">
        <f>((O58*F58)+Q58+R58+S58+U58)/G58</f>
        <v>34.228002213613728</v>
      </c>
      <c r="Y58" s="2">
        <f>((O58*F58)+Q58+R58+S58+T58+U58)/G58+W58</f>
        <v>34.720513416434699</v>
      </c>
      <c r="Z58" s="3">
        <f>Y58*G58</f>
        <v>627399.67743497505</v>
      </c>
      <c r="AA58" s="34">
        <v>43556</v>
      </c>
      <c r="AB58" s="3"/>
      <c r="AC58" s="35" t="s">
        <v>2753</v>
      </c>
    </row>
    <row r="59" spans="1:32" x14ac:dyDescent="0.25">
      <c r="A59" s="127"/>
      <c r="B59" s="27" t="s">
        <v>26</v>
      </c>
      <c r="C59" t="s">
        <v>27</v>
      </c>
      <c r="D59" s="28" t="s">
        <v>2721</v>
      </c>
      <c r="E59">
        <v>200</v>
      </c>
      <c r="F59" s="29">
        <v>23025</v>
      </c>
      <c r="G59" s="30">
        <f>11980+6510</f>
        <v>18490</v>
      </c>
      <c r="H59" s="30">
        <f>G59-F59</f>
        <v>-4535</v>
      </c>
      <c r="I59" s="28" t="s">
        <v>2759</v>
      </c>
      <c r="K59" s="31"/>
      <c r="L59" s="31">
        <v>43543</v>
      </c>
      <c r="M59" s="28" t="s">
        <v>48</v>
      </c>
      <c r="O59" s="2">
        <v>26</v>
      </c>
      <c r="P59" s="32"/>
      <c r="Q59" s="138">
        <v>22800</v>
      </c>
      <c r="R59" s="2">
        <f>75.45*E59</f>
        <v>15090</v>
      </c>
      <c r="S59" s="33">
        <f>-38*E59</f>
        <v>-7600</v>
      </c>
      <c r="T59" s="33">
        <f>X59*F59*0.005</f>
        <v>3922.2197133585723</v>
      </c>
      <c r="U59" s="2">
        <f>E59*5</f>
        <v>1000</v>
      </c>
      <c r="W59" s="2">
        <v>0.3</v>
      </c>
      <c r="X59" s="2">
        <f>((O59*F59)+Q59+R59+S59+U59)/G59</f>
        <v>34.069226608977829</v>
      </c>
      <c r="Y59" s="2">
        <f>((O59*F59)+Q59+R59+S59+T59+U59)/G59+W59</f>
        <v>34.58135314836985</v>
      </c>
      <c r="Z59" s="3">
        <f>Y59*G59</f>
        <v>639409.21971335856</v>
      </c>
      <c r="AA59" s="34">
        <v>43557</v>
      </c>
      <c r="AB59" s="3"/>
      <c r="AC59" s="35" t="s">
        <v>2761</v>
      </c>
      <c r="AF59" s="30"/>
    </row>
    <row r="60" spans="1:32" x14ac:dyDescent="0.25">
      <c r="A60" s="127"/>
      <c r="B60" s="27" t="s">
        <v>30</v>
      </c>
      <c r="C60" s="28" t="s">
        <v>35</v>
      </c>
      <c r="D60" s="28" t="s">
        <v>36</v>
      </c>
      <c r="E60" t="s">
        <v>37</v>
      </c>
      <c r="F60" s="29">
        <f>41751*0.4536</f>
        <v>18938.2536</v>
      </c>
      <c r="G60" s="30">
        <v>18824.07</v>
      </c>
      <c r="H60" s="30">
        <f t="shared" si="29"/>
        <v>-114.1836000000003</v>
      </c>
      <c r="I60" s="28" t="s">
        <v>2637</v>
      </c>
      <c r="J60" s="52" t="s">
        <v>1690</v>
      </c>
      <c r="K60" s="31">
        <v>43543</v>
      </c>
      <c r="L60" s="31">
        <v>43544</v>
      </c>
      <c r="M60" s="28" t="s">
        <v>33</v>
      </c>
      <c r="N60" s="28" t="s">
        <v>2636</v>
      </c>
      <c r="O60" s="2"/>
      <c r="P60" s="32">
        <f>0.6063+0.1</f>
        <v>0.70629999999999993</v>
      </c>
      <c r="Q60" s="140">
        <v>26000</v>
      </c>
      <c r="R60" s="2">
        <v>118122</v>
      </c>
      <c r="S60" s="68">
        <v>18.87</v>
      </c>
      <c r="T60" s="33">
        <f t="shared" ref="T60" si="31">X60*F60*0.005</f>
        <v>3518.6240993822289</v>
      </c>
      <c r="V60" s="2">
        <v>0.12</v>
      </c>
      <c r="W60" s="2">
        <v>0.3</v>
      </c>
      <c r="X60" s="2">
        <f>IF(O60&gt;0,O60,((P60*2.2046*S60)+(Q60+R60)/G60)+V60)</f>
        <v>37.158907824343729</v>
      </c>
      <c r="Y60" s="2">
        <f>IF(O60&gt;0,O60,((P60*2.2046*S60)+(Q60+R60+T60)/G60)+V60+W60)</f>
        <v>37.645829361470511</v>
      </c>
      <c r="Z60" s="3">
        <f>Y60*F60</f>
        <v>712946.26342985465</v>
      </c>
      <c r="AA60" s="34">
        <v>43546</v>
      </c>
      <c r="AB60" s="3"/>
      <c r="AC60" s="35"/>
    </row>
    <row r="61" spans="1:32" x14ac:dyDescent="0.25">
      <c r="A61" s="127"/>
      <c r="B61" s="27" t="s">
        <v>30</v>
      </c>
      <c r="C61" s="28" t="s">
        <v>35</v>
      </c>
      <c r="D61" s="28" t="s">
        <v>36</v>
      </c>
      <c r="E61" t="s">
        <v>37</v>
      </c>
      <c r="F61" s="29">
        <f>41574*0.4536</f>
        <v>18857.966400000001</v>
      </c>
      <c r="G61" s="30">
        <v>18798.330000000002</v>
      </c>
      <c r="H61" s="30">
        <f>G61-F61</f>
        <v>-59.636399999999412</v>
      </c>
      <c r="I61" t="s">
        <v>2638</v>
      </c>
      <c r="J61" s="52" t="s">
        <v>196</v>
      </c>
      <c r="K61" s="31">
        <v>43543</v>
      </c>
      <c r="L61" s="31">
        <v>43544</v>
      </c>
      <c r="M61" s="28" t="s">
        <v>33</v>
      </c>
      <c r="N61" s="28" t="s">
        <v>2636</v>
      </c>
      <c r="O61" s="2"/>
      <c r="P61" s="32">
        <f t="shared" ref="P61:P62" si="32">0.6063+0.1</f>
        <v>0.70629999999999993</v>
      </c>
      <c r="Q61" s="140">
        <v>26000</v>
      </c>
      <c r="R61" s="2">
        <v>117526</v>
      </c>
      <c r="S61" s="68">
        <v>18.879000000000001</v>
      </c>
      <c r="T61" s="33">
        <f>X61*F61*0.005</f>
        <v>3503.0275849419722</v>
      </c>
      <c r="V61" s="2">
        <v>0.12</v>
      </c>
      <c r="W61" s="2">
        <v>0.3</v>
      </c>
      <c r="X61" s="2">
        <f>IF(O61&gt;0,O61,((P61*2.2046*S61)+(Q61+R61)/G61)+V61)</f>
        <v>37.15170035451937</v>
      </c>
      <c r="Y61" s="2">
        <f>IF(O61&gt;0,O61,((P61*2.2046*S61)+(Q61+R61+T61)/G61)+V61+W61)</f>
        <v>37.638048162273677</v>
      </c>
      <c r="Z61" s="3">
        <f>Y61*F61</f>
        <v>709777.04760573874</v>
      </c>
      <c r="AA61" s="34">
        <v>43546</v>
      </c>
      <c r="AB61" s="3"/>
      <c r="AC61" s="35"/>
    </row>
    <row r="62" spans="1:32" x14ac:dyDescent="0.25">
      <c r="A62" s="127"/>
      <c r="B62" s="27" t="s">
        <v>30</v>
      </c>
      <c r="C62" s="28" t="s">
        <v>31</v>
      </c>
      <c r="D62" s="28" t="s">
        <v>31</v>
      </c>
      <c r="E62" t="s">
        <v>32</v>
      </c>
      <c r="F62" s="29">
        <f>41496*0.4536</f>
        <v>18822.585599999999</v>
      </c>
      <c r="G62" s="30">
        <v>18759.88</v>
      </c>
      <c r="H62" s="30">
        <f t="shared" ref="H62:H67" si="33">G62-F62</f>
        <v>-62.705599999997503</v>
      </c>
      <c r="I62" s="28">
        <v>57061</v>
      </c>
      <c r="J62" s="52" t="s">
        <v>196</v>
      </c>
      <c r="K62" s="31">
        <v>43543</v>
      </c>
      <c r="L62" s="31">
        <v>43544</v>
      </c>
      <c r="M62" s="28" t="s">
        <v>33</v>
      </c>
      <c r="N62" s="28" t="s">
        <v>2636</v>
      </c>
      <c r="O62" s="2"/>
      <c r="P62" s="32">
        <f t="shared" si="32"/>
        <v>0.70629999999999993</v>
      </c>
      <c r="Q62" s="140">
        <v>26000</v>
      </c>
      <c r="R62" s="2">
        <v>113029</v>
      </c>
      <c r="S62" s="68">
        <v>19.38</v>
      </c>
      <c r="T62" s="33">
        <f t="shared" ref="T62:T67" si="34">X62*F62*0.005</f>
        <v>3548.7864730593469</v>
      </c>
      <c r="V62" s="2">
        <v>0.12</v>
      </c>
      <c r="W62" s="2">
        <v>0.3</v>
      </c>
      <c r="X62" s="2">
        <f>IF(O62&gt;0,O62,((P62*2.2046*S62)+(Q62+R62)/G62)+V62)</f>
        <v>37.707746942687272</v>
      </c>
      <c r="Y62" s="2">
        <f>IF(O62&gt;0,O62,((P62*2.2046*S62)+(Q62+R62+T62)/G62)+V62+W62)</f>
        <v>38.196915875167612</v>
      </c>
      <c r="Z62" s="3">
        <f>Y62*F62</f>
        <v>718964.71871634119</v>
      </c>
      <c r="AA62" s="34">
        <v>43537</v>
      </c>
      <c r="AB62" s="3">
        <v>38.46</v>
      </c>
      <c r="AC62" s="35"/>
    </row>
    <row r="63" spans="1:32" x14ac:dyDescent="0.25">
      <c r="A63" s="127"/>
      <c r="B63" s="27" t="s">
        <v>2321</v>
      </c>
      <c r="C63" s="28" t="s">
        <v>2322</v>
      </c>
      <c r="D63" s="28" t="s">
        <v>2044</v>
      </c>
      <c r="E63" t="s">
        <v>2782</v>
      </c>
      <c r="F63" s="29">
        <v>2006.68</v>
      </c>
      <c r="G63" s="30">
        <v>2006.68</v>
      </c>
      <c r="H63" s="30">
        <f t="shared" si="33"/>
        <v>0</v>
      </c>
      <c r="I63" s="28" t="s">
        <v>2781</v>
      </c>
      <c r="K63" s="31"/>
      <c r="L63" s="31">
        <v>43544</v>
      </c>
      <c r="M63" s="28" t="s">
        <v>33</v>
      </c>
      <c r="N63" s="28"/>
      <c r="O63" s="2">
        <v>52</v>
      </c>
      <c r="P63" s="32"/>
      <c r="Q63" s="2"/>
      <c r="R63" s="2"/>
      <c r="S63" s="68"/>
      <c r="T63" s="33"/>
      <c r="V63" s="2"/>
      <c r="W63" s="2"/>
      <c r="X63" s="2">
        <f t="shared" ref="X63:X66" si="35">IF(O63&gt;0,O63,((P63*2.2046*S63)+(Q63+R63)/G63)+V63)</f>
        <v>52</v>
      </c>
      <c r="Y63" s="2">
        <f t="shared" ref="Y63:Y66" si="36">IF(O63&gt;0,O63,((P63*2.2046*S63)+(Q63+R63+T63)/G63)+V63+W63)</f>
        <v>52</v>
      </c>
      <c r="Z63" s="3">
        <f t="shared" ref="Z63:Z66" si="37">Y63*F63</f>
        <v>104347.36</v>
      </c>
      <c r="AA63" s="34">
        <v>43545</v>
      </c>
      <c r="AB63" s="3"/>
      <c r="AC63" s="35"/>
    </row>
    <row r="64" spans="1:32" x14ac:dyDescent="0.25">
      <c r="A64" s="127"/>
      <c r="B64" s="27" t="s">
        <v>2785</v>
      </c>
      <c r="C64" s="28" t="s">
        <v>2786</v>
      </c>
      <c r="D64" s="28" t="s">
        <v>2044</v>
      </c>
      <c r="E64" t="s">
        <v>2783</v>
      </c>
      <c r="F64" s="29">
        <v>90.8</v>
      </c>
      <c r="G64" s="30">
        <v>90.8</v>
      </c>
      <c r="H64" s="30">
        <f t="shared" si="33"/>
        <v>0</v>
      </c>
      <c r="I64" s="28" t="s">
        <v>2781</v>
      </c>
      <c r="K64" s="31"/>
      <c r="L64" s="31">
        <v>43544</v>
      </c>
      <c r="M64" s="28" t="s">
        <v>33</v>
      </c>
      <c r="N64" s="28"/>
      <c r="O64" s="2">
        <v>180</v>
      </c>
      <c r="P64" s="32"/>
      <c r="Q64" s="2"/>
      <c r="R64" s="2"/>
      <c r="S64" s="68"/>
      <c r="T64" s="33"/>
      <c r="V64" s="2"/>
      <c r="W64" s="2"/>
      <c r="X64" s="2">
        <f t="shared" si="35"/>
        <v>180</v>
      </c>
      <c r="Y64" s="2">
        <f t="shared" si="36"/>
        <v>180</v>
      </c>
      <c r="Z64" s="3">
        <f t="shared" si="37"/>
        <v>16344</v>
      </c>
      <c r="AA64" s="34">
        <v>43545</v>
      </c>
      <c r="AB64" s="3"/>
      <c r="AC64" s="35"/>
    </row>
    <row r="65" spans="1:29" x14ac:dyDescent="0.25">
      <c r="A65" s="127"/>
      <c r="B65" s="27" t="s">
        <v>2057</v>
      </c>
      <c r="C65" s="28" t="s">
        <v>2787</v>
      </c>
      <c r="D65" s="28" t="s">
        <v>2044</v>
      </c>
      <c r="E65" t="s">
        <v>1914</v>
      </c>
      <c r="F65" s="29">
        <v>1000</v>
      </c>
      <c r="G65" s="30">
        <v>1000</v>
      </c>
      <c r="H65" s="30">
        <f t="shared" si="33"/>
        <v>0</v>
      </c>
      <c r="I65" s="28" t="s">
        <v>2781</v>
      </c>
      <c r="K65" s="31"/>
      <c r="L65" s="31">
        <v>43544</v>
      </c>
      <c r="M65" s="28" t="s">
        <v>33</v>
      </c>
      <c r="N65" s="28"/>
      <c r="O65" s="2">
        <v>49</v>
      </c>
      <c r="P65" s="32"/>
      <c r="Q65" s="2"/>
      <c r="R65" s="2"/>
      <c r="S65" s="68"/>
      <c r="T65" s="33"/>
      <c r="V65" s="2"/>
      <c r="W65" s="2"/>
      <c r="X65" s="2">
        <f t="shared" si="35"/>
        <v>49</v>
      </c>
      <c r="Y65" s="2">
        <f t="shared" si="36"/>
        <v>49</v>
      </c>
      <c r="Z65" s="3">
        <f t="shared" si="37"/>
        <v>49000</v>
      </c>
      <c r="AA65" s="34">
        <v>43545</v>
      </c>
      <c r="AB65" s="3"/>
      <c r="AC65" s="35"/>
    </row>
    <row r="66" spans="1:29" x14ac:dyDescent="0.25">
      <c r="A66" s="127"/>
      <c r="B66" s="27" t="s">
        <v>2584</v>
      </c>
      <c r="C66" s="28" t="s">
        <v>2788</v>
      </c>
      <c r="D66" s="28" t="s">
        <v>2044</v>
      </c>
      <c r="E66" t="s">
        <v>2784</v>
      </c>
      <c r="F66" s="29">
        <v>300</v>
      </c>
      <c r="G66" s="30">
        <v>300</v>
      </c>
      <c r="H66" s="30">
        <f t="shared" si="33"/>
        <v>0</v>
      </c>
      <c r="I66" s="28" t="s">
        <v>2781</v>
      </c>
      <c r="K66" s="31"/>
      <c r="L66" s="31">
        <v>43544</v>
      </c>
      <c r="M66" s="28" t="s">
        <v>33</v>
      </c>
      <c r="N66" s="28"/>
      <c r="O66" s="2">
        <v>139</v>
      </c>
      <c r="P66" s="32"/>
      <c r="Q66" s="2"/>
      <c r="R66" s="2"/>
      <c r="S66" s="68"/>
      <c r="T66" s="33"/>
      <c r="V66" s="2"/>
      <c r="W66" s="2"/>
      <c r="X66" s="2">
        <f t="shared" si="35"/>
        <v>139</v>
      </c>
      <c r="Y66" s="2">
        <f t="shared" si="36"/>
        <v>139</v>
      </c>
      <c r="Z66" s="3">
        <f t="shared" si="37"/>
        <v>41700</v>
      </c>
      <c r="AA66" s="34">
        <v>43545</v>
      </c>
      <c r="AB66" s="3"/>
      <c r="AC66" s="35"/>
    </row>
    <row r="67" spans="1:29" x14ac:dyDescent="0.25">
      <c r="A67" s="127"/>
      <c r="B67" s="27" t="s">
        <v>26</v>
      </c>
      <c r="C67" t="s">
        <v>27</v>
      </c>
      <c r="D67" s="28" t="s">
        <v>2721</v>
      </c>
      <c r="E67">
        <v>200</v>
      </c>
      <c r="F67" s="29">
        <v>22630</v>
      </c>
      <c r="G67" s="30">
        <f>11530+6400</f>
        <v>17930</v>
      </c>
      <c r="H67" s="30">
        <f t="shared" si="33"/>
        <v>-4700</v>
      </c>
      <c r="I67" s="28" t="s">
        <v>2760</v>
      </c>
      <c r="J67" s="55">
        <v>199</v>
      </c>
      <c r="K67" s="31"/>
      <c r="L67" s="31">
        <v>43544</v>
      </c>
      <c r="M67" s="28" t="s">
        <v>33</v>
      </c>
      <c r="O67" s="2">
        <v>26</v>
      </c>
      <c r="P67" s="32"/>
      <c r="Q67" s="138">
        <v>22800</v>
      </c>
      <c r="R67" s="2">
        <f>75.45*E67</f>
        <v>15090</v>
      </c>
      <c r="S67" s="33">
        <f>-38*E67</f>
        <v>-7600</v>
      </c>
      <c r="T67" s="33">
        <f t="shared" si="34"/>
        <v>3910.5220580033465</v>
      </c>
      <c r="U67" s="2">
        <f>E67*5</f>
        <v>1000</v>
      </c>
      <c r="W67" s="2">
        <v>0.3</v>
      </c>
      <c r="X67" s="2">
        <f t="shared" ref="X67" si="38">((O67*F67)+Q67+R67+S67+U67)/G67</f>
        <v>34.560513106525377</v>
      </c>
      <c r="Y67" s="2">
        <f>((O67*F67)+Q67+R67+S67+T67+U67)/G67+W67</f>
        <v>35.078612496263432</v>
      </c>
      <c r="Z67" s="3">
        <f>Y67*G67</f>
        <v>628959.52205800335</v>
      </c>
      <c r="AA67" s="34">
        <v>43557</v>
      </c>
      <c r="AB67" s="3"/>
      <c r="AC67" s="35" t="s">
        <v>2780</v>
      </c>
    </row>
    <row r="68" spans="1:29" x14ac:dyDescent="0.25">
      <c r="A68" s="127"/>
      <c r="B68" s="27" t="s">
        <v>30</v>
      </c>
      <c r="C68" s="28" t="s">
        <v>40</v>
      </c>
      <c r="D68" s="28" t="s">
        <v>40</v>
      </c>
      <c r="E68" t="s">
        <v>37</v>
      </c>
      <c r="F68" s="29">
        <f>41671*0.4536</f>
        <v>18901.9656</v>
      </c>
      <c r="G68" s="30">
        <v>18854.98</v>
      </c>
      <c r="H68" s="30">
        <f>G68-F68</f>
        <v>-46.985599999999977</v>
      </c>
      <c r="I68" t="s">
        <v>2643</v>
      </c>
      <c r="J68" s="52" t="s">
        <v>196</v>
      </c>
      <c r="K68" s="31">
        <v>43544</v>
      </c>
      <c r="L68" s="31">
        <v>43545</v>
      </c>
      <c r="M68" s="28" t="s">
        <v>41</v>
      </c>
      <c r="N68" s="28" t="s">
        <v>2639</v>
      </c>
      <c r="O68" s="2"/>
      <c r="P68" s="32">
        <f>0.6491+0.105</f>
        <v>0.75409999999999999</v>
      </c>
      <c r="Q68" s="140">
        <v>26000</v>
      </c>
      <c r="R68" s="2">
        <v>121552</v>
      </c>
      <c r="S68" s="68">
        <v>19.34</v>
      </c>
      <c r="T68" s="33">
        <f>X68*F68*0.005</f>
        <v>3789.6701480657148</v>
      </c>
      <c r="V68" s="2">
        <v>0.12</v>
      </c>
      <c r="W68" s="2">
        <v>0.3</v>
      </c>
      <c r="X68" s="2">
        <f>IF(O68&gt;0,O68,((P68*2.2046*S68)+(Q68+R68)/G68)+V68)</f>
        <v>40.098159400583341</v>
      </c>
      <c r="Y68" s="2">
        <f>IF(O68&gt;0,O68,((P68*2.2046*S68)+(Q68+R68+T68)/G68)+V68+W68)</f>
        <v>40.599149809911047</v>
      </c>
      <c r="Z68" s="3">
        <f>Y68*F68</f>
        <v>767403.73309618514</v>
      </c>
      <c r="AA68" s="34">
        <v>43538</v>
      </c>
      <c r="AB68" s="3"/>
      <c r="AC68" s="35"/>
    </row>
    <row r="69" spans="1:29" x14ac:dyDescent="0.25">
      <c r="A69" s="127"/>
      <c r="B69" s="27" t="s">
        <v>26</v>
      </c>
      <c r="C69" t="s">
        <v>27</v>
      </c>
      <c r="D69" s="28" t="s">
        <v>2721</v>
      </c>
      <c r="E69">
        <v>221</v>
      </c>
      <c r="F69" s="29">
        <v>24995</v>
      </c>
      <c r="G69" s="30">
        <v>22040</v>
      </c>
      <c r="H69" s="30">
        <f t="shared" ref="H69:H70" si="39">G69-F69</f>
        <v>-2955</v>
      </c>
      <c r="I69" s="28" t="s">
        <v>2817</v>
      </c>
      <c r="J69" s="55">
        <v>250</v>
      </c>
      <c r="K69" s="31"/>
      <c r="L69" s="31">
        <v>43545</v>
      </c>
      <c r="M69" s="28" t="s">
        <v>41</v>
      </c>
      <c r="O69" s="2">
        <v>26</v>
      </c>
      <c r="P69" s="32"/>
      <c r="Q69" s="138">
        <v>22800</v>
      </c>
      <c r="R69" s="2">
        <f t="shared" ref="R69:R70" si="40">75.45*E69</f>
        <v>16674.45</v>
      </c>
      <c r="S69" s="33">
        <f>-38*E69</f>
        <v>-8398</v>
      </c>
      <c r="T69" s="33">
        <f>X69*F69*0.0045</f>
        <v>3480.7369313691015</v>
      </c>
      <c r="U69" s="2">
        <f>E69*5</f>
        <v>1105</v>
      </c>
      <c r="W69" s="2">
        <v>0.3</v>
      </c>
      <c r="X69" s="2">
        <f t="shared" ref="X69" si="41">((O69*F69)+Q69+R69+S69+U69)/G69</f>
        <v>30.946073049001814</v>
      </c>
      <c r="Y69" s="2">
        <f>((O69*F69)+Q69+R69+S69+T69+U69)/G69+W69</f>
        <v>31.404001221931445</v>
      </c>
      <c r="Z69" s="3">
        <f>Y69*G69</f>
        <v>692144.18693136901</v>
      </c>
      <c r="AA69" s="34">
        <v>43558</v>
      </c>
      <c r="AB69" s="3"/>
      <c r="AC69" s="35"/>
    </row>
    <row r="70" spans="1:29" x14ac:dyDescent="0.25">
      <c r="A70" s="127"/>
      <c r="B70" s="27" t="s">
        <v>26</v>
      </c>
      <c r="C70" t="s">
        <v>27</v>
      </c>
      <c r="D70" s="28" t="s">
        <v>1720</v>
      </c>
      <c r="E70">
        <v>160</v>
      </c>
      <c r="F70" s="29">
        <v>16725</v>
      </c>
      <c r="G70" s="30">
        <v>10470</v>
      </c>
      <c r="H70" s="30">
        <f t="shared" si="39"/>
        <v>-6255</v>
      </c>
      <c r="I70" s="28" t="s">
        <v>2818</v>
      </c>
      <c r="J70" s="55">
        <v>128</v>
      </c>
      <c r="K70" s="31"/>
      <c r="L70" s="31">
        <v>43545</v>
      </c>
      <c r="M70" s="28" t="s">
        <v>41</v>
      </c>
      <c r="O70" s="2">
        <v>26</v>
      </c>
      <c r="P70" s="32"/>
      <c r="Q70" s="140">
        <v>18100</v>
      </c>
      <c r="R70" s="2">
        <f t="shared" si="40"/>
        <v>12072</v>
      </c>
      <c r="S70" s="33">
        <f>-38*E70</f>
        <v>-6080</v>
      </c>
      <c r="T70" s="33">
        <f>X70*F70*0.0045</f>
        <v>3304.8072851002867</v>
      </c>
      <c r="U70" s="2">
        <f>E70*5</f>
        <v>800</v>
      </c>
      <c r="W70" s="2">
        <v>0.3</v>
      </c>
      <c r="X70" s="2">
        <f>((O70*F70)+Q70+R70+S70+U70)/G70</f>
        <v>43.910410697230184</v>
      </c>
      <c r="Y70" s="2">
        <f>((O70*F70)+Q70+R70+S70+T70+U70)/G70+W70</f>
        <v>44.526056092177676</v>
      </c>
      <c r="Z70" s="3">
        <f>Y70*G70</f>
        <v>466187.80728510028</v>
      </c>
      <c r="AA70" s="34">
        <v>43558</v>
      </c>
      <c r="AB70" s="3">
        <v>35.6</v>
      </c>
      <c r="AC70" s="35" t="s">
        <v>2819</v>
      </c>
    </row>
    <row r="71" spans="1:29" x14ac:dyDescent="0.25">
      <c r="A71" s="127"/>
      <c r="B71" s="27" t="s">
        <v>30</v>
      </c>
      <c r="C71" s="28" t="s">
        <v>1790</v>
      </c>
      <c r="D71" s="28" t="s">
        <v>1790</v>
      </c>
      <c r="E71" t="s">
        <v>32</v>
      </c>
      <c r="F71" s="29">
        <f>40256*0.4536</f>
        <v>18260.121599999999</v>
      </c>
      <c r="G71" s="30">
        <v>18470.54</v>
      </c>
      <c r="H71" s="30">
        <f>G71-F71</f>
        <v>210.41840000000229</v>
      </c>
      <c r="I71" s="28" t="s">
        <v>2644</v>
      </c>
      <c r="J71" s="52" t="s">
        <v>196</v>
      </c>
      <c r="K71" s="31">
        <v>43546</v>
      </c>
      <c r="L71" s="31">
        <v>43547</v>
      </c>
      <c r="M71" s="28" t="s">
        <v>46</v>
      </c>
      <c r="N71" s="28" t="s">
        <v>2640</v>
      </c>
      <c r="O71" s="2"/>
      <c r="P71" s="32">
        <f>0.6491+0.095</f>
        <v>0.74409999999999998</v>
      </c>
      <c r="Q71" s="140">
        <v>26000</v>
      </c>
      <c r="R71" s="2">
        <v>114102</v>
      </c>
      <c r="S71" s="68">
        <v>19.178999999999998</v>
      </c>
      <c r="T71" s="33">
        <f>X71*F71*0.005</f>
        <v>3575.9904105715759</v>
      </c>
      <c r="V71" s="2">
        <v>0.12</v>
      </c>
      <c r="W71" s="2">
        <v>0.3</v>
      </c>
      <c r="X71" s="2">
        <f>IF(O71&gt;0,O71,((P71*2.2046*S71)+(Q71+R71)/G71)+V71)</f>
        <v>39.167213547707981</v>
      </c>
      <c r="Y71" s="2">
        <f>IF(O71&gt;0,O71,((P71*2.2046*S71)+(Q71+R71+T71)/G71)+V71+W71)</f>
        <v>39.660818629669393</v>
      </c>
      <c r="Z71" s="3">
        <f>Y71*F71</f>
        <v>724211.37093330838</v>
      </c>
      <c r="AA71" s="34">
        <v>43549</v>
      </c>
      <c r="AB71" s="3"/>
      <c r="AC71" s="35"/>
    </row>
    <row r="72" spans="1:29" x14ac:dyDescent="0.25">
      <c r="A72" s="127"/>
      <c r="B72" s="27" t="s">
        <v>30</v>
      </c>
      <c r="C72" s="28" t="s">
        <v>31</v>
      </c>
      <c r="D72" s="28" t="s">
        <v>31</v>
      </c>
      <c r="E72" t="s">
        <v>32</v>
      </c>
      <c r="F72" s="29">
        <f>41200*0.4536</f>
        <v>18688.32</v>
      </c>
      <c r="G72" s="30">
        <v>18636.23</v>
      </c>
      <c r="H72" s="30">
        <f>G72-F72</f>
        <v>-52.090000000000146</v>
      </c>
      <c r="I72">
        <v>57062</v>
      </c>
      <c r="J72" s="52" t="s">
        <v>2207</v>
      </c>
      <c r="K72" s="31">
        <v>43545</v>
      </c>
      <c r="L72" s="31">
        <v>43547</v>
      </c>
      <c r="M72" s="28" t="s">
        <v>46</v>
      </c>
      <c r="N72" s="28" t="s">
        <v>2641</v>
      </c>
      <c r="O72" s="2"/>
      <c r="P72" s="32">
        <f>0.6706+0.1</f>
        <v>0.77059999999999995</v>
      </c>
      <c r="Q72" s="140">
        <v>24400</v>
      </c>
      <c r="R72" s="2">
        <v>121829</v>
      </c>
      <c r="S72" s="68">
        <v>19.358000000000001</v>
      </c>
      <c r="T72" s="33">
        <f>X72*F72*0.005</f>
        <v>3817.3803778361275</v>
      </c>
      <c r="V72" s="2">
        <v>0.12</v>
      </c>
      <c r="W72" s="2">
        <v>0.3</v>
      </c>
      <c r="X72" s="2">
        <f>IF(O72&gt;0,O72,((P72*2.2046*S72)+(Q72+R72)/G72)+V72)</f>
        <v>40.853114435499045</v>
      </c>
      <c r="Y72" s="2">
        <f>IF(O72&gt;0,O72,((P72*2.2046*S72)+(Q72+R72+T72)/G72)+V72+W72)</f>
        <v>41.357950948991103</v>
      </c>
      <c r="Z72" s="3">
        <f>Y72*F72</f>
        <v>772910.62187904946</v>
      </c>
      <c r="AA72" s="34">
        <v>43539</v>
      </c>
      <c r="AB72" s="3">
        <v>41.26</v>
      </c>
      <c r="AC72" s="35"/>
    </row>
    <row r="73" spans="1:29" x14ac:dyDescent="0.25">
      <c r="A73" s="127"/>
      <c r="B73" s="27" t="s">
        <v>26</v>
      </c>
      <c r="C73" t="s">
        <v>43</v>
      </c>
      <c r="D73" s="28" t="s">
        <v>44</v>
      </c>
      <c r="E73">
        <v>240</v>
      </c>
      <c r="F73" s="29">
        <v>21013.8</v>
      </c>
      <c r="G73" s="30">
        <v>21150</v>
      </c>
      <c r="H73" s="30">
        <f t="shared" ref="H73:H75" si="42">G73-F73</f>
        <v>136.20000000000073</v>
      </c>
      <c r="I73" t="s">
        <v>2868</v>
      </c>
      <c r="K73" s="31"/>
      <c r="L73" s="31">
        <v>43546</v>
      </c>
      <c r="M73" s="28" t="s">
        <v>45</v>
      </c>
      <c r="O73" s="2">
        <v>33.700000000000003</v>
      </c>
      <c r="P73" s="32"/>
      <c r="Q73" s="138">
        <v>22800</v>
      </c>
      <c r="R73" s="2"/>
      <c r="S73" s="33"/>
      <c r="T73" s="33">
        <f>X73*F73*0.0045</f>
        <v>3273.5255612399997</v>
      </c>
      <c r="U73" s="2">
        <f>E73*5</f>
        <v>1200</v>
      </c>
      <c r="W73" s="2">
        <v>0.3</v>
      </c>
      <c r="X73" s="2">
        <f>((O73*F73)+Q73+R73+S73+U73)/G73</f>
        <v>34.617733333333334</v>
      </c>
      <c r="Y73" s="2">
        <f>((O73*F73)+Q73+R73+S73+T73+U73)/G73+W73</f>
        <v>35.072509955614187</v>
      </c>
      <c r="Z73" s="3">
        <f>Y73*G73</f>
        <v>741783.58556124009</v>
      </c>
      <c r="AA73" s="34">
        <v>43551</v>
      </c>
      <c r="AB73" s="3"/>
      <c r="AC73" s="35"/>
    </row>
    <row r="74" spans="1:29" x14ac:dyDescent="0.25">
      <c r="A74" s="127"/>
      <c r="B74" s="27" t="s">
        <v>26</v>
      </c>
      <c r="C74" t="s">
        <v>27</v>
      </c>
      <c r="D74" s="28" t="s">
        <v>2721</v>
      </c>
      <c r="E74">
        <v>129</v>
      </c>
      <c r="F74" s="29">
        <v>17030</v>
      </c>
      <c r="G74" s="30">
        <v>13700</v>
      </c>
      <c r="H74" s="30">
        <f t="shared" si="42"/>
        <v>-3330</v>
      </c>
      <c r="I74" s="28" t="s">
        <v>2827</v>
      </c>
      <c r="K74" s="31"/>
      <c r="L74" s="31">
        <v>43546</v>
      </c>
      <c r="M74" s="28" t="s">
        <v>45</v>
      </c>
      <c r="O74" s="2">
        <v>25.5</v>
      </c>
      <c r="P74" s="32"/>
      <c r="Q74" s="140">
        <v>18100</v>
      </c>
      <c r="R74" s="2">
        <f t="shared" ref="R74" si="43">75.45*E74</f>
        <v>9733.0500000000011</v>
      </c>
      <c r="S74" s="33">
        <f>-38*E74</f>
        <v>-4902</v>
      </c>
      <c r="T74" s="33">
        <f>X74*F74*0.0045</f>
        <v>2561.0692603467151</v>
      </c>
      <c r="U74" s="2">
        <f>E74*5</f>
        <v>645</v>
      </c>
      <c r="W74" s="2">
        <v>0.3</v>
      </c>
      <c r="X74" s="2">
        <f>((O74*F74)+Q74+R74+S74+U74)/G74</f>
        <v>33.419054744525546</v>
      </c>
      <c r="Y74" s="2">
        <f>((O74*F74)+Q74+R74+S74+T74+U74)/G74+W74</f>
        <v>33.905994106594648</v>
      </c>
      <c r="Z74" s="3">
        <f>Y74*G74</f>
        <v>464512.11926034669</v>
      </c>
      <c r="AA74" s="34">
        <v>43559</v>
      </c>
      <c r="AB74" s="3"/>
      <c r="AC74" s="35" t="s">
        <v>2842</v>
      </c>
    </row>
    <row r="75" spans="1:29" x14ac:dyDescent="0.25">
      <c r="A75" s="127"/>
      <c r="B75" s="27" t="s">
        <v>30</v>
      </c>
      <c r="C75" t="s">
        <v>40</v>
      </c>
      <c r="D75" s="28" t="s">
        <v>40</v>
      </c>
      <c r="E75" t="s">
        <v>37</v>
      </c>
      <c r="F75" s="29">
        <f>41763*0.4536</f>
        <v>18943.696800000002</v>
      </c>
      <c r="G75" s="30">
        <v>18930.53</v>
      </c>
      <c r="H75" s="30">
        <f t="shared" si="42"/>
        <v>-13.166800000002695</v>
      </c>
      <c r="I75" s="28" t="s">
        <v>2645</v>
      </c>
      <c r="J75" s="52" t="s">
        <v>196</v>
      </c>
      <c r="K75" s="31">
        <v>43546</v>
      </c>
      <c r="L75" s="31">
        <v>43547</v>
      </c>
      <c r="M75" s="28" t="s">
        <v>46</v>
      </c>
      <c r="N75" s="28" t="s">
        <v>2642</v>
      </c>
      <c r="O75" s="2"/>
      <c r="P75" s="32">
        <f>0.6778+0.105</f>
        <v>0.78279999999999994</v>
      </c>
      <c r="Q75" s="140">
        <v>26000</v>
      </c>
      <c r="R75" s="2">
        <v>124563</v>
      </c>
      <c r="S75" s="68">
        <v>19.055</v>
      </c>
      <c r="T75" s="33">
        <f>X75*F75*0.005</f>
        <v>3879.4628371129511</v>
      </c>
      <c r="V75" s="2">
        <v>0.12</v>
      </c>
      <c r="W75" s="2">
        <v>0.3</v>
      </c>
      <c r="X75" s="2">
        <f>IF(O75&gt;0,O75,((P75*2.2046*S75)+(Q75+R75)/G75)+V75)</f>
        <v>40.957822309666092</v>
      </c>
      <c r="Y75" s="2">
        <f>IF(O75&gt;0,O75,((P75*2.2046*S75)+(Q75+R75+T75)/G75)+V75+W75)</f>
        <v>41.462753858709512</v>
      </c>
      <c r="Z75" s="3">
        <f>Y75*F75</f>
        <v>785457.83759242308</v>
      </c>
      <c r="AA75" s="34">
        <v>43543</v>
      </c>
      <c r="AB75" s="3" t="s">
        <v>2820</v>
      </c>
      <c r="AC75" s="35"/>
    </row>
    <row r="76" spans="1:29" ht="15.75" thickBot="1" x14ac:dyDescent="0.3">
      <c r="A76" s="128"/>
      <c r="B76" s="41"/>
      <c r="C76" s="4"/>
      <c r="D76" s="4"/>
      <c r="E76" s="4"/>
      <c r="F76" s="42"/>
      <c r="G76" s="42"/>
      <c r="H76" s="42"/>
      <c r="I76" s="7"/>
      <c r="J76" s="4"/>
      <c r="K76" s="8"/>
      <c r="L76" s="8"/>
      <c r="M76" s="4"/>
      <c r="N76" s="4"/>
      <c r="O76" s="9"/>
      <c r="P76" s="10"/>
      <c r="Q76" s="9"/>
      <c r="R76" s="9"/>
      <c r="S76" s="9"/>
      <c r="T76" s="9"/>
      <c r="U76" s="9"/>
      <c r="V76" s="9"/>
      <c r="W76" s="9"/>
      <c r="X76" s="9"/>
      <c r="Y76" s="9"/>
      <c r="Z76" s="13"/>
      <c r="AA76" s="43"/>
      <c r="AB76" s="3"/>
      <c r="AC76" s="35"/>
    </row>
    <row r="77" spans="1:29" x14ac:dyDescent="0.25">
      <c r="A77" s="160"/>
      <c r="B77" s="14" t="s">
        <v>26</v>
      </c>
      <c r="C77" s="14" t="s">
        <v>27</v>
      </c>
      <c r="D77" s="28" t="s">
        <v>2721</v>
      </c>
      <c r="E77" s="14">
        <v>199</v>
      </c>
      <c r="F77" s="16">
        <v>23165</v>
      </c>
      <c r="G77" s="17">
        <v>18640</v>
      </c>
      <c r="H77" s="30">
        <f t="shared" ref="H77:H80" si="44">G77-F77</f>
        <v>-4525</v>
      </c>
      <c r="I77" s="19" t="s">
        <v>2851</v>
      </c>
      <c r="J77" s="14"/>
      <c r="K77" s="20"/>
      <c r="L77" s="20">
        <v>43548</v>
      </c>
      <c r="M77" s="15" t="s">
        <v>28</v>
      </c>
      <c r="N77" s="14"/>
      <c r="O77" s="21">
        <v>25.5</v>
      </c>
      <c r="P77" s="22"/>
      <c r="Q77" s="138">
        <v>22800</v>
      </c>
      <c r="R77" s="2">
        <f t="shared" ref="R77:R79" si="45">75.45*E77</f>
        <v>15014.550000000001</v>
      </c>
      <c r="S77" s="21">
        <f>-38*E77</f>
        <v>-7562</v>
      </c>
      <c r="T77" s="23">
        <f>X77*F77*0.0045</f>
        <v>3478.2268937567055</v>
      </c>
      <c r="U77" s="21">
        <f>E77*5</f>
        <v>995</v>
      </c>
      <c r="V77" s="14"/>
      <c r="W77" s="21">
        <v>0.3</v>
      </c>
      <c r="X77" s="21">
        <f>((O77*F77)+Q77+R77+S77+U77)/G77</f>
        <v>33.366687231759656</v>
      </c>
      <c r="Y77" s="24">
        <f>((O77*F77)+Q77+R77+S77+T77+U77)/G77+W77</f>
        <v>33.853287387004109</v>
      </c>
      <c r="Z77" s="24">
        <f>Y77*G77</f>
        <v>631025.27689375659</v>
      </c>
      <c r="AA77" s="25">
        <v>43563</v>
      </c>
      <c r="AB77" s="3"/>
      <c r="AC77" s="3"/>
    </row>
    <row r="78" spans="1:29" x14ac:dyDescent="0.25">
      <c r="A78" s="161"/>
      <c r="B78" s="27" t="s">
        <v>26</v>
      </c>
      <c r="C78" t="s">
        <v>27</v>
      </c>
      <c r="D78" s="28" t="s">
        <v>1720</v>
      </c>
      <c r="E78">
        <v>130</v>
      </c>
      <c r="F78" s="29">
        <v>14995</v>
      </c>
      <c r="G78" s="30">
        <v>11840</v>
      </c>
      <c r="H78" s="30">
        <f t="shared" si="44"/>
        <v>-3155</v>
      </c>
      <c r="I78" s="28" t="s">
        <v>2852</v>
      </c>
      <c r="K78" s="31"/>
      <c r="L78" s="31">
        <v>43548</v>
      </c>
      <c r="M78" s="28" t="s">
        <v>28</v>
      </c>
      <c r="O78" s="2">
        <v>25.5</v>
      </c>
      <c r="P78" s="32"/>
      <c r="Q78" s="140">
        <v>18100</v>
      </c>
      <c r="R78" s="2">
        <f t="shared" si="45"/>
        <v>9808.5</v>
      </c>
      <c r="S78" s="33">
        <f>-38*E78</f>
        <v>-4940</v>
      </c>
      <c r="T78" s="33">
        <f>X78*F78*0.0045</f>
        <v>2313.7886573057431</v>
      </c>
      <c r="U78" s="2">
        <f>E78*5</f>
        <v>650</v>
      </c>
      <c r="W78" s="2">
        <v>0.3</v>
      </c>
      <c r="X78" s="2">
        <f>((O78*F78)+Q78+R78+S78+U78)/G78</f>
        <v>34.289780405405402</v>
      </c>
      <c r="Y78" s="2">
        <f>((O78*F78)+Q78+R78+S78+T78+U78)/G78+W78</f>
        <v>34.785201744704878</v>
      </c>
      <c r="Z78" s="3">
        <f>Y78*G78</f>
        <v>411856.78865730576</v>
      </c>
      <c r="AA78" s="34">
        <v>43563</v>
      </c>
      <c r="AB78" s="3"/>
      <c r="AC78" s="35" t="s">
        <v>2864</v>
      </c>
    </row>
    <row r="79" spans="1:29" x14ac:dyDescent="0.25">
      <c r="A79" s="161"/>
      <c r="B79" s="27" t="s">
        <v>26</v>
      </c>
      <c r="C79" t="s">
        <v>27</v>
      </c>
      <c r="D79" s="28" t="s">
        <v>2862</v>
      </c>
      <c r="E79">
        <v>200</v>
      </c>
      <c r="F79" s="29">
        <v>23415</v>
      </c>
      <c r="G79" s="30">
        <f>11940+6670</f>
        <v>18610</v>
      </c>
      <c r="H79" s="30">
        <f t="shared" si="44"/>
        <v>-4805</v>
      </c>
      <c r="I79" s="28" t="s">
        <v>2863</v>
      </c>
      <c r="K79" s="31"/>
      <c r="L79" s="31">
        <v>43549</v>
      </c>
      <c r="M79" s="28" t="s">
        <v>29</v>
      </c>
      <c r="O79" s="2">
        <v>25.5</v>
      </c>
      <c r="P79" s="32"/>
      <c r="Q79" s="138">
        <v>22800</v>
      </c>
      <c r="R79" s="2">
        <f t="shared" si="45"/>
        <v>15090</v>
      </c>
      <c r="S79" s="33">
        <f>-38*E79</f>
        <v>-7600</v>
      </c>
      <c r="T79" s="33">
        <f>X79*F79*0.0045</f>
        <v>3557.7667594707141</v>
      </c>
      <c r="U79" s="2">
        <f>E79*5</f>
        <v>1000</v>
      </c>
      <c r="W79" s="2">
        <v>0.3</v>
      </c>
      <c r="X79" s="2">
        <f>((O79*F79)+Q79+R79+S79+U79)/G79</f>
        <v>33.765314347125198</v>
      </c>
      <c r="Y79" s="2">
        <f>((O79*F79)+Q79+R79+S79+T79+U79)/G79+W79</f>
        <v>34.256489347634101</v>
      </c>
      <c r="Z79" s="3">
        <f>Y79*G79</f>
        <v>637513.26675947057</v>
      </c>
      <c r="AA79" s="34">
        <v>43563</v>
      </c>
      <c r="AB79" s="3"/>
      <c r="AC79" s="35" t="s">
        <v>2867</v>
      </c>
    </row>
    <row r="80" spans="1:29" x14ac:dyDescent="0.25">
      <c r="A80" s="161"/>
      <c r="B80" s="27" t="s">
        <v>30</v>
      </c>
      <c r="C80" s="28" t="s">
        <v>1790</v>
      </c>
      <c r="D80" s="28" t="s">
        <v>1790</v>
      </c>
      <c r="E80" t="s">
        <v>32</v>
      </c>
      <c r="F80" s="29">
        <f>42478*0.4536</f>
        <v>19268.020799999998</v>
      </c>
      <c r="G80" s="30">
        <v>19205.599999999999</v>
      </c>
      <c r="H80" s="30">
        <f t="shared" si="44"/>
        <v>-62.420799999999872</v>
      </c>
      <c r="I80" s="28" t="s">
        <v>2654</v>
      </c>
      <c r="J80" s="52" t="s">
        <v>1690</v>
      </c>
      <c r="K80" s="31">
        <v>43550</v>
      </c>
      <c r="L80" s="31">
        <v>43551</v>
      </c>
      <c r="M80" s="28" t="s">
        <v>33</v>
      </c>
      <c r="N80" s="28" t="s">
        <v>2649</v>
      </c>
      <c r="O80" s="2"/>
      <c r="P80" s="32">
        <f>0.7301+0.095</f>
        <v>0.82509999999999994</v>
      </c>
      <c r="Q80" s="140">
        <v>26000</v>
      </c>
      <c r="R80" s="2">
        <v>132027</v>
      </c>
      <c r="S80" s="68">
        <v>19.071000000000002</v>
      </c>
      <c r="T80" s="33">
        <f t="shared" ref="T80" si="46">X80*F80*0.005</f>
        <v>4146.3448253225724</v>
      </c>
      <c r="V80" s="2">
        <v>0.12</v>
      </c>
      <c r="W80" s="2">
        <v>0.3</v>
      </c>
      <c r="X80" s="2">
        <f>IF(O80&gt;0,O80,((P80*2.2046*S80)+(Q80+R80)/G80)+V80)</f>
        <v>43.038616870525409</v>
      </c>
      <c r="Y80" s="2">
        <f>IF(O80&gt;0,O80,((P80*2.2046*S80)+(Q80+R80+T80)/G80)+V80+W80)</f>
        <v>43.554509361534414</v>
      </c>
      <c r="Z80" s="3">
        <f>Y80*F80</f>
        <v>839209.19231183978</v>
      </c>
      <c r="AA80" s="34">
        <v>43551</v>
      </c>
      <c r="AB80" s="3"/>
      <c r="AC80" s="35"/>
    </row>
    <row r="81" spans="1:32" x14ac:dyDescent="0.25">
      <c r="A81" s="161"/>
      <c r="B81" s="27" t="s">
        <v>30</v>
      </c>
      <c r="C81" s="28" t="s">
        <v>35</v>
      </c>
      <c r="D81" s="28" t="s">
        <v>36</v>
      </c>
      <c r="E81" t="s">
        <v>37</v>
      </c>
      <c r="F81" s="29">
        <f>41569*0.4536</f>
        <v>18855.698400000001</v>
      </c>
      <c r="G81" s="30">
        <v>18760.87</v>
      </c>
      <c r="H81" s="30">
        <f>G81-F81</f>
        <v>-94.828400000002148</v>
      </c>
      <c r="I81" t="s">
        <v>2655</v>
      </c>
      <c r="J81" s="52" t="s">
        <v>196</v>
      </c>
      <c r="K81" s="31">
        <v>43549</v>
      </c>
      <c r="L81" s="31">
        <v>43550</v>
      </c>
      <c r="M81" s="28" t="s">
        <v>48</v>
      </c>
      <c r="N81" s="28" t="s">
        <v>2650</v>
      </c>
      <c r="O81" s="2"/>
      <c r="P81" s="32">
        <f>0.7301+0.1</f>
        <v>0.83009999999999995</v>
      </c>
      <c r="Q81" s="140">
        <v>26000</v>
      </c>
      <c r="R81" s="2">
        <v>130421</v>
      </c>
      <c r="S81" s="68">
        <v>19.059999999999999</v>
      </c>
      <c r="T81" s="33">
        <f>X81*F81*0.005</f>
        <v>4085.8556906213512</v>
      </c>
      <c r="V81" s="2">
        <v>0.12</v>
      </c>
      <c r="W81" s="2">
        <v>0.3</v>
      </c>
      <c r="X81" s="2">
        <f>IF(O81&gt;0,O81,((P81*2.2046*S81)+(Q81+R81)/G81)+V81)</f>
        <v>43.338152784850983</v>
      </c>
      <c r="Y81" s="2">
        <f>IF(O81&gt;0,O81,((P81*2.2046*S81)+(Q81+R81+T81)/G81)+V81+W81)</f>
        <v>43.855938830520579</v>
      </c>
      <c r="Z81" s="3">
        <f>Y81*F81</f>
        <v>826934.35563714476</v>
      </c>
      <c r="AA81" s="34">
        <v>43550</v>
      </c>
      <c r="AB81" s="3"/>
      <c r="AC81" s="35"/>
    </row>
    <row r="82" spans="1:32" x14ac:dyDescent="0.25">
      <c r="A82" s="161"/>
      <c r="B82" s="27" t="s">
        <v>30</v>
      </c>
      <c r="C82" s="28" t="s">
        <v>31</v>
      </c>
      <c r="D82" s="28" t="s">
        <v>31</v>
      </c>
      <c r="E82" t="s">
        <v>32</v>
      </c>
      <c r="F82" s="29">
        <f>40991*0.4536</f>
        <v>18593.517599999999</v>
      </c>
      <c r="G82" s="30">
        <v>18513.509999999998</v>
      </c>
      <c r="H82" s="30">
        <f>G82-F82</f>
        <v>-80.007600000000821</v>
      </c>
      <c r="I82">
        <v>57063</v>
      </c>
      <c r="J82" s="52" t="s">
        <v>196</v>
      </c>
      <c r="K82" s="31">
        <v>43549</v>
      </c>
      <c r="L82" s="31">
        <v>43550</v>
      </c>
      <c r="M82" s="28" t="s">
        <v>48</v>
      </c>
      <c r="N82" s="28" t="s">
        <v>2648</v>
      </c>
      <c r="O82" s="2"/>
      <c r="P82" s="32">
        <f>0.6926+0.1</f>
        <v>0.79259999999999997</v>
      </c>
      <c r="Q82" s="140">
        <v>26000</v>
      </c>
      <c r="R82" s="2">
        <v>123921</v>
      </c>
      <c r="S82" s="68">
        <v>19.059999999999999</v>
      </c>
      <c r="T82" s="33">
        <f>X82*F82*0.005</f>
        <v>3860.2670663018012</v>
      </c>
      <c r="V82" s="2">
        <v>0.12</v>
      </c>
      <c r="W82" s="2">
        <v>0.3</v>
      </c>
      <c r="X82" s="2">
        <f>IF(O82&gt;0,O82,((P82*2.2046*S82)+(Q82+R82)/G82)+V82)</f>
        <v>41.522719362169546</v>
      </c>
      <c r="Y82" s="2">
        <f>IF(O82&gt;0,O82,((P82*2.2046*S82)+(Q82+R82+T82)/G82)+V82+W82)</f>
        <v>42.03123017758498</v>
      </c>
      <c r="Z82" s="3">
        <f>Y82*F82</f>
        <v>781508.41805657744</v>
      </c>
      <c r="AA82" s="34">
        <v>43543</v>
      </c>
      <c r="AB82" s="3" t="s">
        <v>2870</v>
      </c>
      <c r="AC82" s="35"/>
    </row>
    <row r="83" spans="1:32" x14ac:dyDescent="0.25">
      <c r="A83" s="161"/>
      <c r="B83" s="27" t="s">
        <v>2979</v>
      </c>
      <c r="C83" s="28" t="s">
        <v>1800</v>
      </c>
      <c r="D83" s="28" t="s">
        <v>2557</v>
      </c>
      <c r="E83" t="s">
        <v>2978</v>
      </c>
      <c r="F83" s="29">
        <v>7003.71</v>
      </c>
      <c r="G83" s="30">
        <v>7003.71</v>
      </c>
      <c r="H83" s="30">
        <f>G83-F83</f>
        <v>0</v>
      </c>
      <c r="I83" s="28" t="s">
        <v>2980</v>
      </c>
      <c r="K83" s="31"/>
      <c r="L83" s="31">
        <v>43550</v>
      </c>
      <c r="M83" s="28" t="s">
        <v>48</v>
      </c>
      <c r="N83" s="28"/>
      <c r="O83" s="2">
        <v>96</v>
      </c>
      <c r="P83" s="32"/>
      <c r="Q83" s="2"/>
      <c r="R83" s="2"/>
      <c r="S83" s="68"/>
      <c r="T83" s="33"/>
      <c r="V83" s="2"/>
      <c r="W83" s="2"/>
      <c r="X83" s="2">
        <f>IF(O83&gt;0,O83,((P83*2.2046*S83)+(Q83+R83)/G83)+V83)</f>
        <v>96</v>
      </c>
      <c r="Y83" s="2">
        <f>IF(O83&gt;0,O83,((P83*2.2046*S83)+(Q83+R83+T83)/G83)+V83+W83)</f>
        <v>96</v>
      </c>
      <c r="Z83" s="3">
        <f>Y83*F83</f>
        <v>672356.16</v>
      </c>
      <c r="AA83" s="34">
        <v>43564</v>
      </c>
      <c r="AB83" s="3"/>
      <c r="AC83" s="35"/>
    </row>
    <row r="84" spans="1:32" x14ac:dyDescent="0.25">
      <c r="A84" s="161"/>
      <c r="B84" s="27" t="s">
        <v>26</v>
      </c>
      <c r="C84" t="s">
        <v>27</v>
      </c>
      <c r="D84" s="28" t="s">
        <v>2862</v>
      </c>
      <c r="E84">
        <v>200</v>
      </c>
      <c r="F84" s="29">
        <v>22140</v>
      </c>
      <c r="G84" s="30">
        <f>11360+6100</f>
        <v>17460</v>
      </c>
      <c r="H84" s="30">
        <f>G84-F84</f>
        <v>-4680</v>
      </c>
      <c r="I84" s="28" t="s">
        <v>2945</v>
      </c>
      <c r="J84" s="55">
        <f>130+69</f>
        <v>199</v>
      </c>
      <c r="K84" s="31"/>
      <c r="L84" s="31">
        <v>43550</v>
      </c>
      <c r="M84" s="28" t="s">
        <v>48</v>
      </c>
      <c r="O84" s="2">
        <v>25.5</v>
      </c>
      <c r="P84" s="32"/>
      <c r="Q84" s="138">
        <v>22800</v>
      </c>
      <c r="R84" s="2">
        <f>75.45*E84</f>
        <v>15090</v>
      </c>
      <c r="S84" s="33">
        <f>-38*E84</f>
        <v>-7600</v>
      </c>
      <c r="T84" s="33">
        <f>X84*F84*0.005</f>
        <v>3777.8752577319592</v>
      </c>
      <c r="U84" s="2">
        <f>E84*5</f>
        <v>1000</v>
      </c>
      <c r="W84" s="2">
        <v>0.3</v>
      </c>
      <c r="X84" s="2">
        <f>((O84*F84)+Q84+R84+S84+U84)/G84</f>
        <v>34.127147766323027</v>
      </c>
      <c r="Y84" s="2">
        <f>((O84*F84)+Q84+R84+S84+T84+U84)/G84+W84</f>
        <v>34.643520919686821</v>
      </c>
      <c r="Z84" s="3">
        <f>Y84*G84</f>
        <v>604875.87525773188</v>
      </c>
      <c r="AA84" s="34">
        <v>43564</v>
      </c>
      <c r="AB84" s="3"/>
      <c r="AC84" s="35" t="s">
        <v>2949</v>
      </c>
      <c r="AF84" s="30"/>
    </row>
    <row r="85" spans="1:32" x14ac:dyDescent="0.25">
      <c r="A85" s="161"/>
      <c r="B85" s="27" t="s">
        <v>30</v>
      </c>
      <c r="C85" s="28" t="s">
        <v>31</v>
      </c>
      <c r="D85" s="28" t="s">
        <v>31</v>
      </c>
      <c r="E85" t="s">
        <v>32</v>
      </c>
      <c r="F85" s="29">
        <f>41060*0.4536</f>
        <v>18624.815999999999</v>
      </c>
      <c r="G85" s="30">
        <v>18576.78</v>
      </c>
      <c r="H85" s="30">
        <f t="shared" ref="H85:H87" si="47">G85-F85</f>
        <v>-48.036000000000058</v>
      </c>
      <c r="I85" s="28">
        <v>57064</v>
      </c>
      <c r="J85" s="52" t="s">
        <v>196</v>
      </c>
      <c r="K85" s="31">
        <v>43550</v>
      </c>
      <c r="L85" s="31">
        <v>43551</v>
      </c>
      <c r="M85" s="28" t="s">
        <v>33</v>
      </c>
      <c r="N85" s="28" t="s">
        <v>2650</v>
      </c>
      <c r="O85" s="2"/>
      <c r="P85" s="32">
        <f>0.7301+0.1</f>
        <v>0.83009999999999995</v>
      </c>
      <c r="Q85" s="140">
        <v>26000</v>
      </c>
      <c r="R85" s="2">
        <v>131435</v>
      </c>
      <c r="S85" s="68">
        <v>19.042999999999999</v>
      </c>
      <c r="T85" s="33">
        <f t="shared" ref="T85:T87" si="48">X85*F85*0.005</f>
        <v>4045.7057725434647</v>
      </c>
      <c r="V85" s="2">
        <v>0.12</v>
      </c>
      <c r="W85" s="2">
        <v>0.3</v>
      </c>
      <c r="X85" s="2">
        <f>IF(O85&gt;0,O85,((P85*2.2046*S85)+(Q85+R85)/G85)+V85)</f>
        <v>43.444249570502762</v>
      </c>
      <c r="Y85" s="2">
        <f>IF(O85&gt;0,O85,((P85*2.2046*S85)+(Q85+R85+T85)/G85)+V85+W85)</f>
        <v>43.962032510955488</v>
      </c>
      <c r="Z85" s="3">
        <f>Y85*F85</f>
        <v>818784.76650256396</v>
      </c>
      <c r="AA85" s="34">
        <v>43543</v>
      </c>
      <c r="AB85" s="3"/>
      <c r="AC85" s="35"/>
    </row>
    <row r="86" spans="1:32" x14ac:dyDescent="0.25">
      <c r="A86" s="161"/>
      <c r="B86" s="27" t="s">
        <v>30</v>
      </c>
      <c r="C86" s="28" t="s">
        <v>1790</v>
      </c>
      <c r="D86" s="28" t="s">
        <v>1790</v>
      </c>
      <c r="E86" t="s">
        <v>2413</v>
      </c>
      <c r="F86" s="29">
        <f>39638*0.4536</f>
        <v>17979.7968</v>
      </c>
      <c r="G86" s="30">
        <v>17914.8</v>
      </c>
      <c r="H86" s="30">
        <f>G86-F86</f>
        <v>-64.996800000000803</v>
      </c>
      <c r="I86" s="28" t="s">
        <v>2657</v>
      </c>
      <c r="J86" s="52" t="s">
        <v>196</v>
      </c>
      <c r="K86" s="31">
        <v>43549</v>
      </c>
      <c r="L86" s="31">
        <v>43550</v>
      </c>
      <c r="M86" s="28" t="s">
        <v>48</v>
      </c>
      <c r="N86" s="28" t="s">
        <v>2652</v>
      </c>
      <c r="O86" s="2"/>
      <c r="P86" s="32">
        <f>0.7524+0.095</f>
        <v>0.84739999999999993</v>
      </c>
      <c r="Q86" s="140">
        <v>26000</v>
      </c>
      <c r="R86" s="2">
        <v>128269</v>
      </c>
      <c r="S86" s="68">
        <v>19.41</v>
      </c>
      <c r="T86" s="33">
        <f>X86*F86*0.005</f>
        <v>4044.7886427713165</v>
      </c>
      <c r="V86" s="2">
        <v>0.12</v>
      </c>
      <c r="W86" s="2">
        <v>0.3</v>
      </c>
      <c r="X86" s="2">
        <f>IF(O86&gt;0,O86,((P86*2.2046*S86)+(Q86+R86)/G86)+V86)</f>
        <v>44.992595720228785</v>
      </c>
      <c r="Y86" s="2">
        <f>IF(O86&gt;0,O86,((P86*2.2046*S86)+(Q86+R86+T86)/G86)+V86+W86)</f>
        <v>45.518374888445642</v>
      </c>
      <c r="Z86" s="3">
        <f>Y86*F86</f>
        <v>818411.13116047531</v>
      </c>
      <c r="AA86" s="34">
        <v>43553</v>
      </c>
      <c r="AB86" s="3"/>
      <c r="AC86" s="35"/>
    </row>
    <row r="87" spans="1:32" x14ac:dyDescent="0.25">
      <c r="A87" s="161"/>
      <c r="B87" s="27" t="s">
        <v>26</v>
      </c>
      <c r="C87" t="s">
        <v>27</v>
      </c>
      <c r="D87" s="28" t="s">
        <v>1720</v>
      </c>
      <c r="E87">
        <v>200</v>
      </c>
      <c r="F87" s="29">
        <v>22195</v>
      </c>
      <c r="G87" s="30">
        <f>11270+6080</f>
        <v>17350</v>
      </c>
      <c r="H87" s="30">
        <f t="shared" si="47"/>
        <v>-4845</v>
      </c>
      <c r="I87" s="28" t="s">
        <v>2950</v>
      </c>
      <c r="J87" s="55">
        <f>130+69</f>
        <v>199</v>
      </c>
      <c r="K87" s="31"/>
      <c r="L87" s="31">
        <v>43551</v>
      </c>
      <c r="M87" s="28" t="s">
        <v>33</v>
      </c>
      <c r="O87" s="2">
        <v>25.5</v>
      </c>
      <c r="P87" s="32"/>
      <c r="Q87" s="138">
        <v>22800</v>
      </c>
      <c r="R87" s="2">
        <f>75.45*E87</f>
        <v>15090</v>
      </c>
      <c r="S87" s="33">
        <f>-38*E87</f>
        <v>-7600</v>
      </c>
      <c r="T87" s="33">
        <f t="shared" si="48"/>
        <v>3820.2424171469738</v>
      </c>
      <c r="U87" s="2">
        <f>E87*5</f>
        <v>1000</v>
      </c>
      <c r="W87" s="2">
        <v>0.3</v>
      </c>
      <c r="X87" s="2">
        <f t="shared" ref="X87" si="49">((O87*F87)+Q87+R87+S87+U87)/G87</f>
        <v>34.424351585014406</v>
      </c>
      <c r="Y87" s="2">
        <f>((O87*F87)+Q87+R87+S87+T87+U87)/G87+W87</f>
        <v>34.944538467847082</v>
      </c>
      <c r="Z87" s="3">
        <f>Y87*G87</f>
        <v>606287.74241714692</v>
      </c>
      <c r="AA87" s="34">
        <v>43564</v>
      </c>
      <c r="AB87" s="3"/>
      <c r="AC87" s="35" t="s">
        <v>2951</v>
      </c>
    </row>
    <row r="88" spans="1:32" x14ac:dyDescent="0.25">
      <c r="A88" s="161"/>
      <c r="B88" s="27" t="s">
        <v>30</v>
      </c>
      <c r="C88" s="28" t="s">
        <v>40</v>
      </c>
      <c r="D88" s="28" t="s">
        <v>40</v>
      </c>
      <c r="E88" t="s">
        <v>37</v>
      </c>
      <c r="F88" s="29">
        <f>41549*0.4536</f>
        <v>18846.626400000001</v>
      </c>
      <c r="G88" s="30">
        <v>18806.95</v>
      </c>
      <c r="H88" s="30">
        <f>G88-F88</f>
        <v>-39.676400000000285</v>
      </c>
      <c r="I88" t="s">
        <v>2656</v>
      </c>
      <c r="J88" s="52" t="s">
        <v>2881</v>
      </c>
      <c r="K88" s="31">
        <v>43551</v>
      </c>
      <c r="L88" s="31">
        <v>43553</v>
      </c>
      <c r="M88" s="28" t="s">
        <v>45</v>
      </c>
      <c r="N88" s="28" t="s">
        <v>2651</v>
      </c>
      <c r="O88" s="2"/>
      <c r="P88" s="32">
        <f>0.7524+0.105</f>
        <v>0.85739999999999994</v>
      </c>
      <c r="Q88" s="2">
        <v>26000</v>
      </c>
      <c r="R88" s="2">
        <f>7000+(F88/0.4536*S88*P88*0.2)</f>
        <v>141509.52435508001</v>
      </c>
      <c r="S88" s="68">
        <v>18.879000000000001</v>
      </c>
      <c r="T88" s="33">
        <f>X88*F88*0.005</f>
        <v>4213.3827125534599</v>
      </c>
      <c r="V88" s="2">
        <v>0.12</v>
      </c>
      <c r="W88" s="2">
        <v>0.3</v>
      </c>
      <c r="X88" s="2">
        <f>IF(O88&gt;0,O88,((P88*2.2046*S88)+(Q88+R88)/G88)+V88)</f>
        <v>44.712328064756036</v>
      </c>
      <c r="Y88" s="2">
        <f>IF(O88&gt;0,O88,((P88*2.2046*S88)+(Q88+R88+T88)/G88)+V88+W88)</f>
        <v>45.236361345673643</v>
      </c>
      <c r="Z88" s="3">
        <f>Y88*F88</f>
        <v>852552.80197731243</v>
      </c>
      <c r="AA88" s="34">
        <v>43545</v>
      </c>
      <c r="AB88" s="3"/>
      <c r="AC88" s="35"/>
    </row>
    <row r="89" spans="1:32" x14ac:dyDescent="0.25">
      <c r="A89" s="161"/>
      <c r="B89" s="27" t="s">
        <v>30</v>
      </c>
      <c r="C89" s="28" t="s">
        <v>35</v>
      </c>
      <c r="D89" s="28" t="s">
        <v>36</v>
      </c>
      <c r="E89" t="s">
        <v>37</v>
      </c>
      <c r="F89" s="29">
        <f>41739*0.4536</f>
        <v>18932.810399999998</v>
      </c>
      <c r="G89" s="30">
        <v>18910.87</v>
      </c>
      <c r="H89" s="30">
        <f>G89-F89</f>
        <v>-21.940399999999499</v>
      </c>
      <c r="I89" t="s">
        <v>2762</v>
      </c>
      <c r="J89" s="52" t="s">
        <v>196</v>
      </c>
      <c r="K89" s="31">
        <v>43551</v>
      </c>
      <c r="L89" s="31">
        <v>43553</v>
      </c>
      <c r="M89" s="28" t="s">
        <v>45</v>
      </c>
      <c r="N89" s="28" t="s">
        <v>2763</v>
      </c>
      <c r="O89" s="2"/>
      <c r="P89" s="32">
        <f>0.7524+0.1</f>
        <v>0.85239999999999994</v>
      </c>
      <c r="Q89" s="140">
        <v>26000</v>
      </c>
      <c r="R89" s="2">
        <v>136175</v>
      </c>
      <c r="S89" s="68">
        <v>19.425000000000001</v>
      </c>
      <c r="T89" s="33">
        <f>X89*F89*0.005</f>
        <v>4278.7428118079697</v>
      </c>
      <c r="V89" s="2">
        <v>0.12</v>
      </c>
      <c r="W89" s="2">
        <v>0.3</v>
      </c>
      <c r="X89" s="2">
        <f>IF(O89&gt;0,O89,((P89*2.2046*S89)+(Q89+R89)/G89)+V89)</f>
        <v>45.199235838837431</v>
      </c>
      <c r="Y89" s="2">
        <f>IF(O89&gt;0,O89,((P89*2.2046*S89)+(Q89+R89+T89)/G89)+V89+W89)</f>
        <v>45.725494218901808</v>
      </c>
      <c r="Z89" s="3">
        <f>Y89*F89</f>
        <v>865712.1124927639</v>
      </c>
      <c r="AA89" s="34">
        <v>43553</v>
      </c>
      <c r="AB89" s="3"/>
      <c r="AC89" s="35"/>
    </row>
    <row r="90" spans="1:32" x14ac:dyDescent="0.25">
      <c r="A90" s="161"/>
      <c r="B90" s="27" t="s">
        <v>26</v>
      </c>
      <c r="C90" t="s">
        <v>27</v>
      </c>
      <c r="D90" s="28" t="s">
        <v>2862</v>
      </c>
      <c r="E90">
        <v>199</v>
      </c>
      <c r="F90" s="29">
        <v>23100</v>
      </c>
      <c r="G90" s="30">
        <v>22520</v>
      </c>
      <c r="H90" s="30">
        <f t="shared" ref="H90:H91" si="50">G90-F90</f>
        <v>-580</v>
      </c>
      <c r="I90" s="28" t="s">
        <v>2973</v>
      </c>
      <c r="J90" s="55">
        <v>250</v>
      </c>
      <c r="K90" s="31"/>
      <c r="L90" s="31">
        <v>43552</v>
      </c>
      <c r="M90" s="28" t="s">
        <v>41</v>
      </c>
      <c r="O90" s="2">
        <v>25.5</v>
      </c>
      <c r="P90" s="32"/>
      <c r="Q90" s="138">
        <v>22800</v>
      </c>
      <c r="R90" s="2">
        <f t="shared" ref="R90:R91" si="51">75.45*E90</f>
        <v>15014.550000000001</v>
      </c>
      <c r="S90" s="33">
        <f>-38*E90</f>
        <v>-7562</v>
      </c>
      <c r="T90" s="33">
        <f>X90*F90*0.0045</f>
        <v>2863.2295880328597</v>
      </c>
      <c r="U90" s="2">
        <f>E90*5</f>
        <v>995</v>
      </c>
      <c r="W90" s="2">
        <v>0.3</v>
      </c>
      <c r="X90" s="2">
        <f t="shared" ref="X90" si="52">((O90*F90)+Q90+R90+S90+U90)/G90</f>
        <v>27.544296181172292</v>
      </c>
      <c r="Y90" s="2">
        <f>((O90*F90)+Q90+R90+S90+T90+U90)/G90+W90</f>
        <v>27.971437814743911</v>
      </c>
      <c r="Z90" s="3">
        <f>Y90*G90</f>
        <v>629916.77958803286</v>
      </c>
      <c r="AA90" s="34">
        <v>43565</v>
      </c>
      <c r="AB90" s="3">
        <v>34.6</v>
      </c>
      <c r="AC90" s="35"/>
    </row>
    <row r="91" spans="1:32" x14ac:dyDescent="0.25">
      <c r="A91" s="161"/>
      <c r="B91" s="27" t="s">
        <v>26</v>
      </c>
      <c r="C91" t="s">
        <v>27</v>
      </c>
      <c r="D91" s="28" t="s">
        <v>1720</v>
      </c>
      <c r="E91">
        <v>180</v>
      </c>
      <c r="F91" s="29">
        <v>18970</v>
      </c>
      <c r="G91" s="30">
        <v>10550</v>
      </c>
      <c r="H91" s="30">
        <f t="shared" si="50"/>
        <v>-8420</v>
      </c>
      <c r="I91" s="28" t="s">
        <v>2974</v>
      </c>
      <c r="J91" s="55">
        <v>129</v>
      </c>
      <c r="K91" s="31"/>
      <c r="L91" s="31">
        <v>43552</v>
      </c>
      <c r="M91" s="28" t="s">
        <v>41</v>
      </c>
      <c r="O91" s="2">
        <v>25.5</v>
      </c>
      <c r="P91" s="32"/>
      <c r="Q91" s="140">
        <v>18100</v>
      </c>
      <c r="R91" s="2">
        <f t="shared" si="51"/>
        <v>13581</v>
      </c>
      <c r="S91" s="33">
        <f>-38*E91</f>
        <v>-6840</v>
      </c>
      <c r="T91" s="33">
        <f>X91*F91*0.0045</f>
        <v>4122.4093592417057</v>
      </c>
      <c r="U91" s="2">
        <f>E91*5</f>
        <v>900</v>
      </c>
      <c r="W91" s="2">
        <v>0.3</v>
      </c>
      <c r="X91" s="2">
        <f>((O91*F91)+Q91+R91+S91+U91)/G91</f>
        <v>48.291563981042657</v>
      </c>
      <c r="Y91" s="2">
        <f>((O91*F91)+Q91+R91+S91+T91+U91)/G91+W91</f>
        <v>48.982313683340443</v>
      </c>
      <c r="Z91" s="3">
        <f>Y91*G91</f>
        <v>516763.40935924166</v>
      </c>
      <c r="AA91" s="34">
        <v>43565</v>
      </c>
      <c r="AB91" s="3"/>
      <c r="AC91" s="35" t="s">
        <v>2976</v>
      </c>
    </row>
    <row r="92" spans="1:32" x14ac:dyDescent="0.25">
      <c r="A92" s="161"/>
      <c r="B92" s="27" t="s">
        <v>2764</v>
      </c>
      <c r="C92" s="28" t="s">
        <v>40</v>
      </c>
      <c r="D92" s="28" t="s">
        <v>40</v>
      </c>
      <c r="E92" t="s">
        <v>2960</v>
      </c>
      <c r="F92" s="29">
        <f>25992*0.4536</f>
        <v>11789.9712</v>
      </c>
      <c r="G92" s="30">
        <v>11804.7</v>
      </c>
      <c r="H92" s="30">
        <f t="shared" ref="H92" si="53">G92-F92</f>
        <v>14.728800000000774</v>
      </c>
      <c r="I92" s="28" t="s">
        <v>2769</v>
      </c>
      <c r="J92" s="52" t="s">
        <v>196</v>
      </c>
      <c r="K92" s="31">
        <v>43552</v>
      </c>
      <c r="L92" s="31">
        <v>43553</v>
      </c>
      <c r="M92" s="28" t="s">
        <v>45</v>
      </c>
      <c r="N92" s="28"/>
      <c r="O92" s="2"/>
      <c r="P92" s="32">
        <v>0.87</v>
      </c>
      <c r="Q92" s="2">
        <f>(26000*G92)/(G92+G93+G94+G95+G96)</f>
        <v>16327.229550945889</v>
      </c>
      <c r="R92" s="2">
        <v>10000</v>
      </c>
      <c r="S92" s="68">
        <v>19.024999999999999</v>
      </c>
      <c r="T92" s="33">
        <f t="shared" ref="T92:T96" si="54">X92*F92*0.005</f>
        <v>2289.6254281970264</v>
      </c>
      <c r="V92" s="2">
        <v>0.12</v>
      </c>
      <c r="W92" s="2">
        <v>0.3</v>
      </c>
      <c r="X92" s="2">
        <f t="shared" ref="X92" si="55">IF(O92&gt;0,O92,((P92*2.2046*S92)+(Q92+R92)/G92)+V92)</f>
        <v>38.840220885306763</v>
      </c>
      <c r="Y92" s="2">
        <f t="shared" ref="Y92" si="56">IF(O92&gt;0,O92,((P92*2.2046*S92)+(Q92+R92+T92)/G92)+V92+W92)</f>
        <v>39.334179683768141</v>
      </c>
      <c r="Z92" s="3">
        <f t="shared" ref="Z92" si="57">Y92*F92</f>
        <v>463748.84564725147</v>
      </c>
      <c r="AA92" s="34">
        <v>43543</v>
      </c>
    </row>
    <row r="93" spans="1:32" x14ac:dyDescent="0.25">
      <c r="A93" s="161"/>
      <c r="B93" s="27" t="s">
        <v>2765</v>
      </c>
      <c r="C93" s="28" t="s">
        <v>40</v>
      </c>
      <c r="D93" s="28" t="s">
        <v>40</v>
      </c>
      <c r="E93" t="s">
        <v>2961</v>
      </c>
      <c r="F93" s="29">
        <f>10992.5*0.4536</f>
        <v>4986.1980000000003</v>
      </c>
      <c r="G93" s="30">
        <v>4985.7</v>
      </c>
      <c r="H93" s="30">
        <f>G93-F93</f>
        <v>-0.49800000000050204</v>
      </c>
      <c r="I93" s="28" t="s">
        <v>2769</v>
      </c>
      <c r="K93" s="31">
        <v>43552</v>
      </c>
      <c r="L93" s="31">
        <v>43553</v>
      </c>
      <c r="M93" s="28" t="s">
        <v>45</v>
      </c>
      <c r="N93" s="28"/>
      <c r="O93" s="2"/>
      <c r="P93" s="32">
        <v>0.91</v>
      </c>
      <c r="Q93" s="2">
        <f>(26000*G93)/(G93+G94+G95+G96+G92)</f>
        <v>6895.7845919126212</v>
      </c>
      <c r="R93" s="2">
        <v>35428</v>
      </c>
      <c r="S93" s="68">
        <v>19.024999999999999</v>
      </c>
      <c r="T93" s="33">
        <f t="shared" si="54"/>
        <v>1166.1900435143712</v>
      </c>
      <c r="V93" s="2">
        <v>0.12</v>
      </c>
      <c r="W93" s="2">
        <v>0.3</v>
      </c>
      <c r="X93" s="2">
        <f>IF(O93&gt;0,O93,((P93*2.2046*S93)+(Q93+R93)/G93)+V93)</f>
        <v>46.77672421008436</v>
      </c>
      <c r="Y93" s="2">
        <f>IF(O93&gt;0,O93,((P93*2.2046*S93)+(Q93+R93+T93)/G93)+V93+W93)</f>
        <v>47.310631192757675</v>
      </c>
      <c r="Z93" s="3">
        <f>Y93*F93</f>
        <v>235900.17463206596</v>
      </c>
      <c r="AA93" s="34">
        <v>43544</v>
      </c>
      <c r="AB93" s="3"/>
      <c r="AC93" s="35"/>
    </row>
    <row r="94" spans="1:32" x14ac:dyDescent="0.25">
      <c r="A94" s="161"/>
      <c r="B94" s="27" t="s">
        <v>2766</v>
      </c>
      <c r="C94" s="28" t="s">
        <v>40</v>
      </c>
      <c r="D94" s="28" t="s">
        <v>40</v>
      </c>
      <c r="E94" t="s">
        <v>2962</v>
      </c>
      <c r="F94" s="29">
        <f>2160*0.4536</f>
        <v>979.77599999999995</v>
      </c>
      <c r="G94" s="30">
        <v>993.53</v>
      </c>
      <c r="H94" s="30">
        <f>G94-F94</f>
        <v>13.754000000000019</v>
      </c>
      <c r="I94" s="28" t="s">
        <v>2769</v>
      </c>
      <c r="K94" s="31">
        <v>43552</v>
      </c>
      <c r="L94" s="31">
        <v>43553</v>
      </c>
      <c r="M94" s="28" t="s">
        <v>45</v>
      </c>
      <c r="N94" s="28"/>
      <c r="O94" s="2"/>
      <c r="P94" s="32">
        <v>0.91</v>
      </c>
      <c r="Q94" s="2">
        <f>(26000*G94)/(G94+G95+G96+G92+G93)</f>
        <v>1374.163881822602</v>
      </c>
      <c r="R94" s="2">
        <v>1000</v>
      </c>
      <c r="S94" s="68">
        <v>19.024999999999999</v>
      </c>
      <c r="T94" s="33">
        <f t="shared" si="54"/>
        <v>199.2732770884937</v>
      </c>
      <c r="V94" s="2">
        <v>0.12</v>
      </c>
      <c r="W94" s="2">
        <v>0.3</v>
      </c>
      <c r="X94" s="2">
        <f>IF(O94&gt;0,O94,((P94*2.2046*S94)+(Q94+R94)/G94)+V94)</f>
        <v>40.677313403980854</v>
      </c>
      <c r="Y94" s="2">
        <f>IF(O94&gt;0,O94,((P94*2.2046*S94)+(Q94+R94+T94)/G94)+V94+W94)</f>
        <v>41.177884375253477</v>
      </c>
      <c r="Z94" s="3">
        <f>Y94*F94</f>
        <v>40345.102841648346</v>
      </c>
      <c r="AA94" s="34">
        <v>43544</v>
      </c>
      <c r="AB94" s="3"/>
      <c r="AC94" s="35"/>
    </row>
    <row r="95" spans="1:32" x14ac:dyDescent="0.25">
      <c r="A95" s="161"/>
      <c r="B95" s="27" t="s">
        <v>2767</v>
      </c>
      <c r="C95" s="28" t="s">
        <v>40</v>
      </c>
      <c r="D95" s="28" t="s">
        <v>40</v>
      </c>
      <c r="E95" t="s">
        <v>2963</v>
      </c>
      <c r="F95" s="29">
        <f>1110*0.4536</f>
        <v>503.49599999999998</v>
      </c>
      <c r="G95" s="30">
        <v>503.57</v>
      </c>
      <c r="H95" s="30">
        <f>G95-F95</f>
        <v>7.4000000000012278E-2</v>
      </c>
      <c r="I95" s="28" t="s">
        <v>2769</v>
      </c>
      <c r="K95" s="31">
        <v>43552</v>
      </c>
      <c r="L95" s="31">
        <v>43553</v>
      </c>
      <c r="M95" s="28" t="s">
        <v>45</v>
      </c>
      <c r="N95" s="28"/>
      <c r="O95" s="2"/>
      <c r="P95" s="32">
        <v>0.59</v>
      </c>
      <c r="Q95" s="2">
        <f>(26000*G95)/(G95+G96+G92+G93+G94)</f>
        <v>696.49402229364762</v>
      </c>
      <c r="R95" s="2">
        <v>500</v>
      </c>
      <c r="S95" s="68">
        <v>19.024999999999999</v>
      </c>
      <c r="T95" s="33">
        <f t="shared" si="54"/>
        <v>68.581459753567941</v>
      </c>
      <c r="V95" s="2">
        <v>0.12</v>
      </c>
      <c r="W95" s="2">
        <v>0.3</v>
      </c>
      <c r="X95" s="2">
        <f>IF(O95&gt;0,O95,((P95*2.2046*S95)+(Q95+R95)/G95)+V95)</f>
        <v>27.242107088663239</v>
      </c>
      <c r="Y95" s="2">
        <f>IF(O95&gt;0,O95,((P95*2.2046*S95)+(Q95+R95+T95)/G95)+V95+W95)</f>
        <v>27.678297607863286</v>
      </c>
      <c r="Z95" s="3">
        <f>Y95*F95</f>
        <v>13935.912132368732</v>
      </c>
      <c r="AA95" s="34">
        <v>43544</v>
      </c>
      <c r="AB95" s="3"/>
      <c r="AC95" s="35"/>
    </row>
    <row r="96" spans="1:32" x14ac:dyDescent="0.25">
      <c r="A96" s="161"/>
      <c r="B96" s="27" t="s">
        <v>2768</v>
      </c>
      <c r="C96" s="28" t="s">
        <v>40</v>
      </c>
      <c r="D96" s="28" t="s">
        <v>40</v>
      </c>
      <c r="E96" t="s">
        <v>2964</v>
      </c>
      <c r="F96" s="29">
        <f>1125.4*0.4536</f>
        <v>510.48144000000002</v>
      </c>
      <c r="G96" s="30">
        <v>510.68</v>
      </c>
      <c r="H96" s="30">
        <f>G96-F96</f>
        <v>0.1985599999999863</v>
      </c>
      <c r="I96" s="28" t="s">
        <v>2769</v>
      </c>
      <c r="K96" s="31">
        <v>43552</v>
      </c>
      <c r="L96" s="31">
        <v>43553</v>
      </c>
      <c r="M96" s="28" t="s">
        <v>45</v>
      </c>
      <c r="N96" s="28"/>
      <c r="O96" s="2"/>
      <c r="P96" s="32">
        <v>0.9</v>
      </c>
      <c r="Q96" s="2">
        <f>(26000*G96)/(G96+G92+G93+G94+G95)</f>
        <v>706.32795302523971</v>
      </c>
      <c r="R96" s="2">
        <v>500</v>
      </c>
      <c r="S96" s="68">
        <v>19.024999999999999</v>
      </c>
      <c r="T96" s="33">
        <f t="shared" si="54"/>
        <v>102.68452298253018</v>
      </c>
      <c r="V96" s="2">
        <v>0.12</v>
      </c>
      <c r="W96" s="2">
        <v>0.3</v>
      </c>
      <c r="X96" s="2">
        <f>IF(O96&gt;0,O96,((P96*2.2046*S96)+(Q96+R96)/G96)+V96)</f>
        <v>40.230462828395943</v>
      </c>
      <c r="Y96" s="2">
        <f>IF(O96&gt;0,O96,((P96*2.2046*S96)+(Q96+R96+T96)/G96)+V96+W96)</f>
        <v>40.731536931518306</v>
      </c>
      <c r="Z96" s="3">
        <f>Y96*F96</f>
        <v>20792.693626214648</v>
      </c>
      <c r="AA96" s="34">
        <v>43544</v>
      </c>
      <c r="AB96" s="3"/>
      <c r="AC96" s="35"/>
    </row>
    <row r="97" spans="1:29" x14ac:dyDescent="0.25">
      <c r="A97" s="161"/>
      <c r="B97" s="27" t="s">
        <v>26</v>
      </c>
      <c r="C97" t="s">
        <v>43</v>
      </c>
      <c r="D97" s="28" t="s">
        <v>44</v>
      </c>
      <c r="E97">
        <v>210</v>
      </c>
      <c r="F97" s="29">
        <v>19670</v>
      </c>
      <c r="G97" s="30">
        <v>19680</v>
      </c>
      <c r="H97" s="30">
        <f t="shared" ref="H97:H99" si="58">G97-F97</f>
        <v>10</v>
      </c>
      <c r="I97" t="s">
        <v>3033</v>
      </c>
      <c r="K97" s="31"/>
      <c r="L97" s="31">
        <v>43553</v>
      </c>
      <c r="M97" s="28" t="s">
        <v>45</v>
      </c>
      <c r="O97" s="2">
        <v>33.700000000000003</v>
      </c>
      <c r="P97" s="32"/>
      <c r="Q97" s="138">
        <v>22800</v>
      </c>
      <c r="R97" s="2"/>
      <c r="S97" s="33"/>
      <c r="T97" s="33">
        <f>X97*F97*0.0045</f>
        <v>3088.7102355182924</v>
      </c>
      <c r="U97" s="2">
        <f>E97*5</f>
        <v>1050</v>
      </c>
      <c r="W97" s="2">
        <v>0.3</v>
      </c>
      <c r="X97" s="2">
        <f>((O97*F97)+Q97+R97+S97+U97)/G97</f>
        <v>34.894766260162605</v>
      </c>
      <c r="Y97" s="2">
        <f>((O97*F97)+Q97+R97+S97+T97+U97)/G97+W97</f>
        <v>35.351712918471456</v>
      </c>
      <c r="Z97" s="3">
        <f>Y97*G97</f>
        <v>695721.71023551829</v>
      </c>
      <c r="AA97" s="34">
        <v>43559</v>
      </c>
      <c r="AB97" s="3"/>
      <c r="AC97" s="35"/>
    </row>
    <row r="98" spans="1:29" x14ac:dyDescent="0.25">
      <c r="A98" s="161"/>
      <c r="B98" s="27" t="s">
        <v>26</v>
      </c>
      <c r="C98" t="s">
        <v>27</v>
      </c>
      <c r="D98" s="28" t="s">
        <v>2862</v>
      </c>
      <c r="E98">
        <v>130</v>
      </c>
      <c r="F98" s="29">
        <v>16390</v>
      </c>
      <c r="G98" s="30">
        <v>13270</v>
      </c>
      <c r="H98" s="30">
        <f t="shared" si="58"/>
        <v>-3120</v>
      </c>
      <c r="I98" s="28" t="s">
        <v>2975</v>
      </c>
      <c r="K98" s="31"/>
      <c r="L98" s="31">
        <v>43553</v>
      </c>
      <c r="M98" s="28" t="s">
        <v>45</v>
      </c>
      <c r="O98" s="2">
        <v>25.5</v>
      </c>
      <c r="P98" s="32"/>
      <c r="Q98" s="140">
        <v>18100</v>
      </c>
      <c r="R98" s="2">
        <f t="shared" ref="R98" si="59">75.45*E98</f>
        <v>9808.5</v>
      </c>
      <c r="S98" s="33">
        <f>-38*E98</f>
        <v>-4940</v>
      </c>
      <c r="T98" s="33">
        <f>X98*F98*0.0045</f>
        <v>2454.2212466088918</v>
      </c>
      <c r="U98" s="2">
        <f>E98*5</f>
        <v>650</v>
      </c>
      <c r="W98" s="2">
        <v>0.3</v>
      </c>
      <c r="X98" s="2">
        <f>((O98*F98)+Q98+R98+S98+U98)/G98</f>
        <v>33.275320271288621</v>
      </c>
      <c r="Y98" s="2">
        <f>((O98*F98)+Q98+R98+S98+T98+U98)/G98+W98</f>
        <v>33.760265353926819</v>
      </c>
      <c r="Z98" s="3">
        <f>Y98*G98</f>
        <v>447998.72124660888</v>
      </c>
      <c r="AA98" s="34">
        <v>43566</v>
      </c>
      <c r="AB98" s="3"/>
      <c r="AC98" s="35" t="s">
        <v>2977</v>
      </c>
    </row>
    <row r="99" spans="1:29" x14ac:dyDescent="0.25">
      <c r="A99" s="161"/>
      <c r="B99" s="179" t="s">
        <v>30</v>
      </c>
      <c r="C99" s="180" t="s">
        <v>40</v>
      </c>
      <c r="D99" s="181" t="s">
        <v>40</v>
      </c>
      <c r="E99" s="180" t="s">
        <v>37</v>
      </c>
      <c r="F99" s="182">
        <v>19000</v>
      </c>
      <c r="G99" s="183">
        <v>19000</v>
      </c>
      <c r="H99" s="183">
        <f t="shared" si="58"/>
        <v>0</v>
      </c>
      <c r="I99" s="181" t="s">
        <v>3030</v>
      </c>
      <c r="J99" s="48" t="s">
        <v>563</v>
      </c>
      <c r="K99" s="184">
        <v>43553</v>
      </c>
      <c r="L99" s="184">
        <v>43554</v>
      </c>
      <c r="M99" s="181" t="s">
        <v>46</v>
      </c>
      <c r="N99" s="181" t="s">
        <v>2653</v>
      </c>
      <c r="O99" s="185"/>
      <c r="P99" s="186">
        <f>0.7317+0.105</f>
        <v>0.8367</v>
      </c>
      <c r="Q99" s="185">
        <v>26000</v>
      </c>
      <c r="R99" s="185">
        <f>7000+(F99/0.4536*S99*P99*0.2)</f>
        <v>140809.28439153437</v>
      </c>
      <c r="S99" s="187">
        <v>19.09</v>
      </c>
      <c r="T99" s="188">
        <f>X99*F99*0.005</f>
        <v>4190.7004764686717</v>
      </c>
      <c r="U99" s="180"/>
      <c r="V99" s="185">
        <v>0.12</v>
      </c>
      <c r="W99" s="185">
        <v>0.3</v>
      </c>
      <c r="X99" s="185">
        <f>IF(O99&gt;0,O99,((P99*2.2046*S99)+(Q99+R99)/G99)+V99)</f>
        <v>44.112636594407071</v>
      </c>
      <c r="Y99" s="185">
        <f>IF(O99&gt;0,O99,((P99*2.2046*S99)+(Q99+R99+T99)/G99)+V99+W99)</f>
        <v>44.633199777379104</v>
      </c>
      <c r="Z99" s="167">
        <f>Y99*F99</f>
        <v>848030.795770203</v>
      </c>
      <c r="AA99" s="48" t="s">
        <v>563</v>
      </c>
      <c r="AB99" s="3"/>
      <c r="AC99" s="35"/>
    </row>
    <row r="100" spans="1:29" ht="15.75" thickBot="1" x14ac:dyDescent="0.3">
      <c r="A100" s="162"/>
      <c r="B100" s="41"/>
      <c r="C100" s="4"/>
      <c r="D100" s="4"/>
      <c r="E100" s="4"/>
      <c r="F100" s="42"/>
      <c r="G100" s="42"/>
      <c r="H100" s="42"/>
      <c r="I100" s="7"/>
      <c r="J100" s="4"/>
      <c r="K100" s="8"/>
      <c r="L100" s="8"/>
      <c r="M100" s="4"/>
      <c r="N100" s="4"/>
      <c r="O100" s="9"/>
      <c r="P100" s="10"/>
      <c r="Q100" s="9"/>
      <c r="R100" s="9"/>
      <c r="S100" s="9"/>
      <c r="T100" s="9"/>
      <c r="U100" s="9"/>
      <c r="V100" s="9"/>
      <c r="W100" s="9"/>
      <c r="X100" s="9"/>
      <c r="Y100" s="9"/>
      <c r="Z100" s="13"/>
      <c r="AA100" s="43"/>
      <c r="AB100" s="3"/>
      <c r="AC100" s="35"/>
    </row>
    <row r="101" spans="1:29" x14ac:dyDescent="0.25">
      <c r="A101" s="129"/>
      <c r="B101" s="14" t="s">
        <v>26</v>
      </c>
      <c r="C101" s="14" t="s">
        <v>27</v>
      </c>
      <c r="D101" s="15" t="s">
        <v>1718</v>
      </c>
      <c r="E101" s="14">
        <v>200</v>
      </c>
      <c r="F101" s="16">
        <v>23050</v>
      </c>
      <c r="G101" s="17">
        <v>17472</v>
      </c>
      <c r="H101" s="30">
        <f t="shared" ref="H101:H102" si="60">G101-F101</f>
        <v>-5578</v>
      </c>
      <c r="I101" s="19" t="s">
        <v>3003</v>
      </c>
      <c r="J101" s="14"/>
      <c r="K101" s="20"/>
      <c r="L101" s="20">
        <v>43555</v>
      </c>
      <c r="M101" s="15" t="s">
        <v>28</v>
      </c>
      <c r="N101" s="14"/>
      <c r="O101" s="21">
        <v>25.5</v>
      </c>
      <c r="P101" s="22"/>
      <c r="Q101" s="139">
        <v>22800</v>
      </c>
      <c r="R101" s="2">
        <f t="shared" ref="R101:R102" si="61">75.45*E101</f>
        <v>15090</v>
      </c>
      <c r="S101" s="21">
        <f>-38*E101</f>
        <v>-7600</v>
      </c>
      <c r="T101" s="23">
        <f>X101*F101*0.0045</f>
        <v>3675.1669599931311</v>
      </c>
      <c r="U101" s="21">
        <f>E101*5</f>
        <v>1000</v>
      </c>
      <c r="V101" s="14"/>
      <c r="W101" s="21">
        <v>0.3</v>
      </c>
      <c r="X101" s="21">
        <f>((O101*F101)+Q101+R101+S101+U101)/G101</f>
        <v>35.431833791208788</v>
      </c>
      <c r="Y101" s="24">
        <f>((O101*F101)+Q101+R101+S101+T101+U101)/G101+W101</f>
        <v>35.942179885530734</v>
      </c>
      <c r="Z101" s="24">
        <f>Y101*G101</f>
        <v>627981.76695999294</v>
      </c>
      <c r="AA101" s="25">
        <v>43570</v>
      </c>
      <c r="AB101" s="3" t="s">
        <v>3028</v>
      </c>
      <c r="AC101" s="3"/>
    </row>
    <row r="102" spans="1:29" x14ac:dyDescent="0.25">
      <c r="A102" s="130"/>
      <c r="B102" s="27" t="s">
        <v>26</v>
      </c>
      <c r="C102" t="s">
        <v>27</v>
      </c>
      <c r="D102" s="28" t="s">
        <v>1720</v>
      </c>
      <c r="E102">
        <v>130</v>
      </c>
      <c r="F102" s="29">
        <v>14105</v>
      </c>
      <c r="G102" s="30">
        <v>11850</v>
      </c>
      <c r="H102" s="30">
        <f t="shared" si="60"/>
        <v>-2255</v>
      </c>
      <c r="I102" s="28" t="s">
        <v>3004</v>
      </c>
      <c r="K102" s="31"/>
      <c r="L102" s="31">
        <v>43555</v>
      </c>
      <c r="M102" s="28" t="s">
        <v>28</v>
      </c>
      <c r="O102" s="2">
        <v>25.5</v>
      </c>
      <c r="P102" s="32"/>
      <c r="Q102" s="140">
        <v>18100</v>
      </c>
      <c r="R102" s="2">
        <f t="shared" si="61"/>
        <v>9808.5</v>
      </c>
      <c r="S102" s="33">
        <f>-38*E102</f>
        <v>-4940</v>
      </c>
      <c r="T102" s="33">
        <f>X102*F102*0.0045</f>
        <v>2053.0595240506327</v>
      </c>
      <c r="U102" s="2">
        <f>E102*5</f>
        <v>650</v>
      </c>
      <c r="W102" s="2">
        <v>0.3</v>
      </c>
      <c r="X102" s="2">
        <f>((O102*F102)+Q102+R102+S102+U102)/G102</f>
        <v>32.345654008438821</v>
      </c>
      <c r="Y102" s="2">
        <f>((O102*F102)+Q102+R102+S102+T102+U102)/G102+W102</f>
        <v>32.818907976713128</v>
      </c>
      <c r="Z102" s="3">
        <f>Y102*G102</f>
        <v>388904.05952405056</v>
      </c>
      <c r="AA102" s="34">
        <v>43570</v>
      </c>
      <c r="AB102" s="3">
        <v>34.590000000000003</v>
      </c>
      <c r="AC102" s="35" t="s">
        <v>3010</v>
      </c>
    </row>
    <row r="103" spans="1:29" ht="15.75" thickBot="1" x14ac:dyDescent="0.3">
      <c r="A103" s="131"/>
      <c r="B103" s="41"/>
      <c r="C103" s="4"/>
      <c r="D103" s="4"/>
      <c r="E103" s="4"/>
      <c r="F103" s="42"/>
      <c r="G103" s="42"/>
      <c r="H103" s="42"/>
      <c r="I103" s="7"/>
      <c r="J103" s="4"/>
      <c r="K103" s="8"/>
      <c r="L103" s="8"/>
      <c r="M103" s="4"/>
      <c r="N103" s="4"/>
      <c r="O103" s="9"/>
      <c r="P103" s="10"/>
      <c r="Q103" s="9"/>
      <c r="R103" s="9"/>
      <c r="S103" s="9"/>
      <c r="T103" s="9"/>
      <c r="U103" s="9"/>
      <c r="V103" s="9"/>
      <c r="W103" s="9"/>
      <c r="X103" s="9"/>
      <c r="Y103" s="9"/>
      <c r="Z103" s="13"/>
      <c r="AA103" s="43"/>
      <c r="AB103" s="3"/>
      <c r="AC103" s="35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G86"/>
  <sheetViews>
    <sheetView topLeftCell="A43" zoomScale="80" zoomScaleNormal="80" workbookViewId="0">
      <selection activeCell="T82" sqref="T82:T83"/>
    </sheetView>
  </sheetViews>
  <sheetFormatPr baseColWidth="10" defaultRowHeight="15" x14ac:dyDescent="0.25"/>
  <cols>
    <col min="1" max="1" width="3.7109375" customWidth="1"/>
    <col min="2" max="3" width="16.140625" customWidth="1"/>
    <col min="4" max="4" width="24.140625" bestFit="1" customWidth="1"/>
    <col min="5" max="5" width="11.42578125" bestFit="1" customWidth="1"/>
    <col min="7" max="7" width="12.42578125" bestFit="1" customWidth="1"/>
    <col min="8" max="8" width="11.140625" bestFit="1" customWidth="1"/>
    <col min="13" max="13" width="4.140625" customWidth="1"/>
    <col min="14" max="14" width="7.28515625" customWidth="1"/>
    <col min="15" max="15" width="12.28515625" customWidth="1"/>
    <col min="18" max="18" width="12.85546875" customWidth="1"/>
    <col min="22" max="22" width="6.5703125" customWidth="1"/>
    <col min="24" max="24" width="0" hidden="1" customWidth="1"/>
    <col min="26" max="26" width="16.140625" customWidth="1"/>
  </cols>
  <sheetData>
    <row r="2" spans="1:32" x14ac:dyDescent="0.25">
      <c r="A2" s="1" t="s">
        <v>2646</v>
      </c>
      <c r="S2" s="2"/>
      <c r="W2" s="2"/>
      <c r="Z2" s="3"/>
    </row>
    <row r="3" spans="1:32" ht="30.75" thickBot="1" x14ac:dyDescent="0.3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 t="s">
        <v>7</v>
      </c>
      <c r="I3" s="7" t="s">
        <v>8</v>
      </c>
      <c r="J3" s="4" t="s">
        <v>9</v>
      </c>
      <c r="K3" s="8" t="s">
        <v>10</v>
      </c>
      <c r="L3" s="8" t="s">
        <v>11</v>
      </c>
      <c r="M3" s="4" t="s">
        <v>12</v>
      </c>
      <c r="N3" s="4" t="s">
        <v>13</v>
      </c>
      <c r="O3" s="9" t="s">
        <v>14</v>
      </c>
      <c r="P3" s="10" t="s">
        <v>15</v>
      </c>
      <c r="Q3" s="9" t="s">
        <v>16</v>
      </c>
      <c r="R3" s="11" t="s">
        <v>17</v>
      </c>
      <c r="S3" s="11" t="s">
        <v>18</v>
      </c>
      <c r="T3" s="12" t="s">
        <v>19</v>
      </c>
      <c r="U3" s="9" t="s">
        <v>20</v>
      </c>
      <c r="V3" s="9" t="s">
        <v>21</v>
      </c>
      <c r="W3" s="12" t="s">
        <v>22</v>
      </c>
      <c r="X3" s="9" t="s">
        <v>23</v>
      </c>
      <c r="Y3" s="9" t="s">
        <v>24</v>
      </c>
      <c r="Z3" s="13" t="s">
        <v>25</v>
      </c>
      <c r="AA3" s="9"/>
    </row>
    <row r="4" spans="1:32" x14ac:dyDescent="0.25">
      <c r="A4" s="161"/>
      <c r="B4" s="27" t="s">
        <v>26</v>
      </c>
      <c r="C4" t="s">
        <v>27</v>
      </c>
      <c r="D4" s="28" t="s">
        <v>3005</v>
      </c>
      <c r="E4">
        <v>200</v>
      </c>
      <c r="F4" s="29">
        <v>23480</v>
      </c>
      <c r="G4" s="30">
        <f>12000+6450</f>
        <v>18450</v>
      </c>
      <c r="H4" s="30">
        <f t="shared" ref="H4:H6" si="0">G4-F4</f>
        <v>-5030</v>
      </c>
      <c r="I4" s="28" t="s">
        <v>3006</v>
      </c>
      <c r="J4" s="55">
        <v>199</v>
      </c>
      <c r="K4" s="31"/>
      <c r="L4" s="31">
        <v>43556</v>
      </c>
      <c r="M4" s="28" t="s">
        <v>29</v>
      </c>
      <c r="O4" s="2">
        <v>25.5</v>
      </c>
      <c r="P4" s="32"/>
      <c r="Q4" s="138">
        <v>22800</v>
      </c>
      <c r="R4" s="2">
        <f t="shared" ref="R4" si="1">75.45*E4</f>
        <v>15090</v>
      </c>
      <c r="S4" s="153">
        <f>-38*E4</f>
        <v>-7600</v>
      </c>
      <c r="T4" s="141">
        <f>X4*F4*0.0045</f>
        <v>3608.0742439024389</v>
      </c>
      <c r="U4" s="2">
        <f>E4*5</f>
        <v>1000</v>
      </c>
      <c r="W4" s="2">
        <v>0.3</v>
      </c>
      <c r="X4" s="2">
        <f>((O4*F4)+Q4+R4+S4+U4)/G4</f>
        <v>34.147967479674797</v>
      </c>
      <c r="Y4" s="2">
        <f>((O4*F4)+Q4+R4+S4+T4+U4)/G4+W4</f>
        <v>34.643527059290101</v>
      </c>
      <c r="Z4" s="3">
        <f>Y4*G4</f>
        <v>639173.07424390235</v>
      </c>
      <c r="AA4" s="34">
        <v>43570</v>
      </c>
      <c r="AB4" s="3" t="s">
        <v>3027</v>
      </c>
      <c r="AC4" s="35" t="s">
        <v>3024</v>
      </c>
    </row>
    <row r="5" spans="1:32" x14ac:dyDescent="0.25">
      <c r="A5" s="161"/>
      <c r="B5" s="27" t="s">
        <v>1732</v>
      </c>
      <c r="C5" t="s">
        <v>1733</v>
      </c>
      <c r="D5" s="28" t="s">
        <v>1734</v>
      </c>
      <c r="E5" t="s">
        <v>2368</v>
      </c>
      <c r="F5" s="29">
        <v>18506.88</v>
      </c>
      <c r="G5" s="30">
        <v>18509.599999999999</v>
      </c>
      <c r="H5" s="30">
        <f t="shared" si="0"/>
        <v>2.7199999999975262</v>
      </c>
      <c r="I5" s="28" t="s">
        <v>3062</v>
      </c>
      <c r="K5" s="31"/>
      <c r="L5" s="31">
        <v>43556</v>
      </c>
      <c r="M5" s="28" t="s">
        <v>29</v>
      </c>
      <c r="O5" s="2">
        <v>56</v>
      </c>
      <c r="P5" s="32"/>
      <c r="Q5" s="2"/>
      <c r="R5" s="2"/>
      <c r="S5" s="33"/>
      <c r="T5" s="33"/>
      <c r="U5" s="2"/>
      <c r="W5" s="2"/>
      <c r="X5" s="2">
        <f>IF(O5&gt;0,O5,((P5*2.2046*S5)+(Q5+R5)/G5)+V5)</f>
        <v>56</v>
      </c>
      <c r="Y5" s="2">
        <f>IF(O5&gt;0,O5,((P5*2.2046*S5)+(Q5+R5+T5)/G5)+V5+W5)</f>
        <v>56</v>
      </c>
      <c r="Z5" s="3">
        <f>Y5*F5</f>
        <v>1036385.28</v>
      </c>
      <c r="AA5" s="34">
        <v>43563</v>
      </c>
      <c r="AB5" s="3"/>
      <c r="AC5" s="35"/>
    </row>
    <row r="6" spans="1:32" x14ac:dyDescent="0.25">
      <c r="A6" s="161"/>
      <c r="B6" s="27" t="s">
        <v>30</v>
      </c>
      <c r="C6" s="28" t="s">
        <v>1790</v>
      </c>
      <c r="D6" s="28" t="s">
        <v>1790</v>
      </c>
      <c r="E6" t="s">
        <v>32</v>
      </c>
      <c r="F6" s="29">
        <f>42696*0.4536</f>
        <v>19366.905600000002</v>
      </c>
      <c r="G6" s="30">
        <v>19564.509999999998</v>
      </c>
      <c r="H6" s="30">
        <f t="shared" si="0"/>
        <v>197.60439999999653</v>
      </c>
      <c r="I6" s="28" t="s">
        <v>2889</v>
      </c>
      <c r="J6" s="52" t="s">
        <v>1690</v>
      </c>
      <c r="K6" s="31">
        <v>43556</v>
      </c>
      <c r="L6" s="31">
        <v>43557</v>
      </c>
      <c r="M6" s="28" t="s">
        <v>48</v>
      </c>
      <c r="N6" s="28" t="s">
        <v>2882</v>
      </c>
      <c r="O6" s="2"/>
      <c r="P6" s="32">
        <f>0.7305+0.095</f>
        <v>0.82550000000000001</v>
      </c>
      <c r="Q6" s="140">
        <v>26000</v>
      </c>
      <c r="R6" s="2">
        <v>137170</v>
      </c>
      <c r="S6" s="68">
        <v>19.22</v>
      </c>
      <c r="T6" s="141">
        <f t="shared" ref="T6" si="2">X6*F6*0.005</f>
        <v>4206.3493217126424</v>
      </c>
      <c r="V6" s="2">
        <v>0.12</v>
      </c>
      <c r="W6" s="2">
        <v>0.3</v>
      </c>
      <c r="X6" s="2">
        <f>IF(O6&gt;0,O6,((P6*2.2046*S6)+(Q6+R6)/G6)+V6)</f>
        <v>43.438527647004605</v>
      </c>
      <c r="Y6" s="2">
        <f>IF(O6&gt;0,O6,((P6*2.2046*S6)+(Q6+R6+T6)/G6)+V6+W6)</f>
        <v>43.953526607965678</v>
      </c>
      <c r="Z6" s="3">
        <f>Y6*F6</f>
        <v>851243.80060355959</v>
      </c>
      <c r="AA6" s="34">
        <v>43556</v>
      </c>
      <c r="AB6" s="3"/>
      <c r="AC6" s="35"/>
    </row>
    <row r="7" spans="1:32" x14ac:dyDescent="0.25">
      <c r="A7" s="161"/>
      <c r="B7" s="27" t="s">
        <v>30</v>
      </c>
      <c r="C7" s="28" t="s">
        <v>35</v>
      </c>
      <c r="D7" s="28" t="s">
        <v>36</v>
      </c>
      <c r="E7" t="s">
        <v>37</v>
      </c>
      <c r="F7" s="29">
        <f>41058*0.4536</f>
        <v>18623.908800000001</v>
      </c>
      <c r="G7" s="30">
        <v>18527.87</v>
      </c>
      <c r="H7" s="30">
        <f>G7-F7</f>
        <v>-96.038800000002084</v>
      </c>
      <c r="I7" t="s">
        <v>2890</v>
      </c>
      <c r="J7" s="52" t="s">
        <v>196</v>
      </c>
      <c r="K7" s="31">
        <v>43556</v>
      </c>
      <c r="L7" s="31">
        <v>43557</v>
      </c>
      <c r="M7" s="28" t="s">
        <v>48</v>
      </c>
      <c r="N7" s="28" t="s">
        <v>2883</v>
      </c>
      <c r="O7" s="2"/>
      <c r="P7" s="32">
        <f>0.7305+0.1</f>
        <v>0.83050000000000002</v>
      </c>
      <c r="Q7" s="140">
        <v>26000</v>
      </c>
      <c r="R7" s="2">
        <v>136316</v>
      </c>
      <c r="S7" s="68">
        <v>19.239999999999998</v>
      </c>
      <c r="T7" s="141">
        <f>X7*F7*0.005</f>
        <v>4107.2746285843668</v>
      </c>
      <c r="V7" s="2">
        <v>0.12</v>
      </c>
      <c r="W7" s="2">
        <v>0.3</v>
      </c>
      <c r="X7" s="2">
        <f>IF(O7&gt;0,O7,((P7*2.2046*S7)+(Q7+R7)/G7)+V7)</f>
        <v>44.107546623986543</v>
      </c>
      <c r="Y7" s="2">
        <f>IF(O7&gt;0,O7,((P7*2.2046*S7)+(Q7+R7+T7)/G7)+V7+W7)</f>
        <v>44.629227509516518</v>
      </c>
      <c r="Z7" s="3">
        <f>Y7*F7</f>
        <v>831170.66295168677</v>
      </c>
      <c r="AA7" s="34">
        <v>43556</v>
      </c>
      <c r="AB7" s="3"/>
      <c r="AC7" s="35"/>
    </row>
    <row r="8" spans="1:32" x14ac:dyDescent="0.25">
      <c r="A8" s="161"/>
      <c r="B8" s="27" t="s">
        <v>30</v>
      </c>
      <c r="C8" s="28" t="s">
        <v>31</v>
      </c>
      <c r="D8" s="28" t="s">
        <v>31</v>
      </c>
      <c r="E8" t="s">
        <v>32</v>
      </c>
      <c r="F8" s="29">
        <f>41704*0.4536</f>
        <v>18916.934400000002</v>
      </c>
      <c r="G8" s="30">
        <v>18843.330000000002</v>
      </c>
      <c r="H8" s="30">
        <f>G8-F8</f>
        <v>-73.604400000000169</v>
      </c>
      <c r="I8">
        <v>57065</v>
      </c>
      <c r="J8" s="52" t="s">
        <v>196</v>
      </c>
      <c r="K8" s="31">
        <v>43556</v>
      </c>
      <c r="L8" s="31">
        <v>43557</v>
      </c>
      <c r="M8" s="28" t="s">
        <v>48</v>
      </c>
      <c r="N8" s="28" t="s">
        <v>2884</v>
      </c>
      <c r="O8" s="2"/>
      <c r="P8" s="32">
        <f>0.7383+0.1</f>
        <v>0.83829999999999993</v>
      </c>
      <c r="Q8" s="140">
        <v>26000</v>
      </c>
      <c r="R8" s="2">
        <v>136175</v>
      </c>
      <c r="S8" s="68">
        <v>19.067</v>
      </c>
      <c r="T8" s="141">
        <f>X8*F8*0.005</f>
        <v>4158.3701630080386</v>
      </c>
      <c r="V8" s="2">
        <v>0.12</v>
      </c>
      <c r="W8" s="2">
        <v>0.3</v>
      </c>
      <c r="X8" s="2">
        <f>IF(O8&gt;0,O8,((P8*2.2046*S8)+(Q8+R8)/G8)+V8)</f>
        <v>43.964524854598409</v>
      </c>
      <c r="Y8" s="2">
        <f>IF(O8&gt;0,O8,((P8*2.2046*S8)+(Q8+R8+T8)/G8)+V8+W8)</f>
        <v>44.48520613349168</v>
      </c>
      <c r="Z8" s="3">
        <f>Y8*F8</f>
        <v>841523.72619773983</v>
      </c>
      <c r="AA8" s="34">
        <v>43550</v>
      </c>
      <c r="AB8" s="3"/>
      <c r="AC8" s="35"/>
    </row>
    <row r="9" spans="1:32" x14ac:dyDescent="0.25">
      <c r="A9" s="161"/>
      <c r="B9" s="27" t="s">
        <v>26</v>
      </c>
      <c r="C9" t="s">
        <v>27</v>
      </c>
      <c r="D9" s="28" t="s">
        <v>3005</v>
      </c>
      <c r="E9">
        <v>199</v>
      </c>
      <c r="F9" s="29">
        <v>23870</v>
      </c>
      <c r="G9" s="30">
        <f>12280+6670</f>
        <v>18950</v>
      </c>
      <c r="H9" s="30">
        <f>G9-F9</f>
        <v>-4920</v>
      </c>
      <c r="I9" t="s">
        <v>3029</v>
      </c>
      <c r="K9" s="31"/>
      <c r="L9" s="31">
        <v>43557</v>
      </c>
      <c r="M9" s="28" t="s">
        <v>48</v>
      </c>
      <c r="O9" s="2">
        <v>25.5</v>
      </c>
      <c r="P9" s="32"/>
      <c r="Q9" s="138">
        <v>22800</v>
      </c>
      <c r="R9" s="2">
        <f>75.45*E9</f>
        <v>15014.550000000001</v>
      </c>
      <c r="S9" s="33">
        <f>-38*E9</f>
        <v>-7562</v>
      </c>
      <c r="T9" s="141">
        <f>X9*F9*0.005</f>
        <v>4030.393131530343</v>
      </c>
      <c r="U9" s="2">
        <f>E9*5</f>
        <v>995</v>
      </c>
      <c r="W9" s="2">
        <v>0.3</v>
      </c>
      <c r="X9" s="2">
        <f>((O9*F9)+Q9+R9+S9+U9)/G9</f>
        <v>33.76952770448549</v>
      </c>
      <c r="Y9" s="2">
        <f>((O9*F9)+Q9+R9+S9+T9+U9)/G9+W9</f>
        <v>34.2822133578644</v>
      </c>
      <c r="Z9" s="3">
        <f>Y9*G9</f>
        <v>649647.94313153042</v>
      </c>
      <c r="AA9" s="34">
        <v>43571</v>
      </c>
      <c r="AB9" s="3"/>
      <c r="AC9" s="35" t="s">
        <v>3037</v>
      </c>
      <c r="AF9" s="30"/>
    </row>
    <row r="10" spans="1:32" x14ac:dyDescent="0.25">
      <c r="A10" s="161"/>
      <c r="B10" s="27" t="s">
        <v>26</v>
      </c>
      <c r="C10" t="s">
        <v>27</v>
      </c>
      <c r="D10" s="28" t="s">
        <v>3005</v>
      </c>
      <c r="E10">
        <v>200</v>
      </c>
      <c r="F10" s="29">
        <v>25380</v>
      </c>
      <c r="G10" s="30">
        <f>13290+6850</f>
        <v>20140</v>
      </c>
      <c r="H10" s="30">
        <f t="shared" ref="H10:H13" si="3">G10-F10</f>
        <v>-5240</v>
      </c>
      <c r="I10" t="s">
        <v>3047</v>
      </c>
      <c r="K10" s="31"/>
      <c r="L10" s="31">
        <v>43558</v>
      </c>
      <c r="M10" s="28" t="s">
        <v>33</v>
      </c>
      <c r="O10" s="2">
        <v>25.5</v>
      </c>
      <c r="P10" s="32"/>
      <c r="Q10" s="138">
        <v>22800</v>
      </c>
      <c r="R10" s="2">
        <f>75.45*E10</f>
        <v>15090</v>
      </c>
      <c r="S10" s="33">
        <f>-38*E10</f>
        <v>-7600</v>
      </c>
      <c r="T10" s="141">
        <f t="shared" ref="T10" si="4">X10*F10*0.005</f>
        <v>4275.0303872889772</v>
      </c>
      <c r="U10" s="2">
        <f>E10*5</f>
        <v>1000</v>
      </c>
      <c r="W10" s="2">
        <v>0.3</v>
      </c>
      <c r="X10" s="2">
        <f t="shared" ref="X10" si="5">((O10*F10)+Q10+R10+S10+U10)/G10</f>
        <v>33.688182720953328</v>
      </c>
      <c r="Y10" s="2">
        <f>((O10*F10)+Q10+R10+S10+T10+U10)/G10+W10</f>
        <v>34.200448380699548</v>
      </c>
      <c r="Z10" s="3">
        <f>Y10*G10</f>
        <v>688797.03038728889</v>
      </c>
      <c r="AA10" s="34">
        <v>43571</v>
      </c>
      <c r="AB10" s="3"/>
      <c r="AC10" s="35" t="s">
        <v>3050</v>
      </c>
    </row>
    <row r="11" spans="1:32" x14ac:dyDescent="0.25">
      <c r="A11" s="161"/>
      <c r="B11" s="27" t="s">
        <v>3066</v>
      </c>
      <c r="C11" s="28" t="s">
        <v>3067</v>
      </c>
      <c r="D11" s="28" t="s">
        <v>1806</v>
      </c>
      <c r="E11" t="s">
        <v>1914</v>
      </c>
      <c r="F11" s="29">
        <v>1000</v>
      </c>
      <c r="G11" s="30">
        <v>1000</v>
      </c>
      <c r="H11" s="30">
        <f t="shared" si="3"/>
        <v>0</v>
      </c>
      <c r="I11" t="s">
        <v>3068</v>
      </c>
      <c r="K11" s="31"/>
      <c r="L11" s="31">
        <v>43559</v>
      </c>
      <c r="M11" s="28" t="s">
        <v>33</v>
      </c>
      <c r="O11" s="2">
        <v>29.5</v>
      </c>
      <c r="P11" s="32"/>
      <c r="Q11" s="2"/>
      <c r="R11" s="2"/>
      <c r="S11" s="33"/>
      <c r="T11" s="33"/>
      <c r="U11" s="2"/>
      <c r="W11" s="2"/>
      <c r="X11" s="2">
        <f>IF(O11&gt;0,O11,((P11*2.2046*S11)+(Q11+R11)/G11)+V11)</f>
        <v>29.5</v>
      </c>
      <c r="Y11" s="2">
        <f>IF(O11&gt;0,O11,((P11*2.2046*S11)+(Q11+R11+T11)/G11)+V11+W11)</f>
        <v>29.5</v>
      </c>
      <c r="Z11" s="3">
        <f>Y11*F11</f>
        <v>29500</v>
      </c>
      <c r="AA11" s="34">
        <v>43565</v>
      </c>
      <c r="AB11" s="3"/>
      <c r="AC11" s="35"/>
    </row>
    <row r="12" spans="1:32" x14ac:dyDescent="0.25">
      <c r="A12" s="161"/>
      <c r="B12" s="27" t="s">
        <v>1909</v>
      </c>
      <c r="C12" s="28" t="s">
        <v>2006</v>
      </c>
      <c r="D12" s="28" t="s">
        <v>1806</v>
      </c>
      <c r="E12" t="s">
        <v>1807</v>
      </c>
      <c r="F12" s="29">
        <v>884</v>
      </c>
      <c r="G12" s="30">
        <v>884</v>
      </c>
      <c r="H12" s="30">
        <f t="shared" si="3"/>
        <v>0</v>
      </c>
      <c r="I12" t="s">
        <v>3068</v>
      </c>
      <c r="K12" s="31"/>
      <c r="L12" s="31">
        <v>43560</v>
      </c>
      <c r="M12" s="28" t="s">
        <v>33</v>
      </c>
      <c r="O12" s="2">
        <v>17.5</v>
      </c>
      <c r="P12" s="32"/>
      <c r="Q12" s="2"/>
      <c r="R12" s="2"/>
      <c r="S12" s="33"/>
      <c r="T12" s="33"/>
      <c r="U12" s="2"/>
      <c r="W12" s="2"/>
      <c r="X12" s="2">
        <f>IF(O12&gt;0,O12,((P12*2.2046*S12)+(Q12+R12)/G12)+V12)</f>
        <v>17.5</v>
      </c>
      <c r="Y12" s="2">
        <f>IF(O12&gt;0,O12,((P12*2.2046*S12)+(Q12+R12+T12)/G12)+V12+W12)</f>
        <v>17.5</v>
      </c>
      <c r="Z12" s="3">
        <f>Y12*F12</f>
        <v>15470</v>
      </c>
      <c r="AA12" s="34">
        <v>43565</v>
      </c>
      <c r="AB12" s="3"/>
      <c r="AC12" s="35"/>
    </row>
    <row r="13" spans="1:32" x14ac:dyDescent="0.25">
      <c r="A13" s="161"/>
      <c r="B13" s="27" t="s">
        <v>30</v>
      </c>
      <c r="C13" s="28" t="s">
        <v>40</v>
      </c>
      <c r="D13" s="28" t="s">
        <v>40</v>
      </c>
      <c r="E13" t="s">
        <v>37</v>
      </c>
      <c r="F13" s="29">
        <f>42025*0.4536</f>
        <v>19062.54</v>
      </c>
      <c r="G13" s="196">
        <v>19030.93</v>
      </c>
      <c r="H13" s="30">
        <f t="shared" si="3"/>
        <v>-31.610000000000582</v>
      </c>
      <c r="I13" t="s">
        <v>2891</v>
      </c>
      <c r="J13" s="52" t="s">
        <v>196</v>
      </c>
      <c r="K13" s="31">
        <v>43558</v>
      </c>
      <c r="L13" s="31">
        <v>43559</v>
      </c>
      <c r="M13" s="28" t="s">
        <v>41</v>
      </c>
      <c r="N13" s="28" t="s">
        <v>2885</v>
      </c>
      <c r="O13" s="2"/>
      <c r="P13" s="32">
        <f>0.7083+0.105</f>
        <v>0.81330000000000002</v>
      </c>
      <c r="Q13" s="140">
        <v>26000</v>
      </c>
      <c r="R13" s="2">
        <v>132041</v>
      </c>
      <c r="S13" s="68">
        <v>19.09</v>
      </c>
      <c r="T13" s="141">
        <f>X13*F13*0.005</f>
        <v>4065.3555472773505</v>
      </c>
      <c r="V13" s="2">
        <v>0.12</v>
      </c>
      <c r="W13" s="2">
        <v>0.3</v>
      </c>
      <c r="X13" s="2">
        <f>IF(O13&gt;0,O13,((P13*2.2046*S13)+(Q13+R13)/G13)+V13)</f>
        <v>42.652821158957309</v>
      </c>
      <c r="Y13" s="2">
        <f>IF(O13&gt;0,O13,((P13*2.2046*S13)+(Q13+R13+T13)/G13)+V13+W13)</f>
        <v>43.16643949223252</v>
      </c>
      <c r="Z13" s="3">
        <f>Y13*F13</f>
        <v>822861.97947826213</v>
      </c>
      <c r="AA13" s="34">
        <v>43549</v>
      </c>
      <c r="AB13" s="3"/>
      <c r="AC13" s="35"/>
    </row>
    <row r="14" spans="1:32" x14ac:dyDescent="0.25">
      <c r="A14" s="161"/>
      <c r="B14" s="27" t="s">
        <v>26</v>
      </c>
      <c r="C14" t="s">
        <v>27</v>
      </c>
      <c r="D14" s="28" t="s">
        <v>3005</v>
      </c>
      <c r="E14">
        <v>200</v>
      </c>
      <c r="F14" s="29">
        <v>21705</v>
      </c>
      <c r="G14" s="30">
        <v>21330</v>
      </c>
      <c r="H14" s="30">
        <f t="shared" ref="H14:H15" si="6">G14-F14</f>
        <v>-375</v>
      </c>
      <c r="I14" t="s">
        <v>3057</v>
      </c>
      <c r="J14" s="55">
        <v>250</v>
      </c>
      <c r="K14" s="31"/>
      <c r="L14" s="31">
        <v>43559</v>
      </c>
      <c r="M14" s="28" t="s">
        <v>41</v>
      </c>
      <c r="O14" s="2">
        <v>25.5</v>
      </c>
      <c r="P14" s="32"/>
      <c r="Q14" s="138">
        <v>22800</v>
      </c>
      <c r="R14" s="2">
        <f t="shared" ref="R14:R15" si="7">75.45*E14</f>
        <v>15090</v>
      </c>
      <c r="S14" s="33">
        <f>-38*E14</f>
        <v>-7600</v>
      </c>
      <c r="T14" s="141">
        <f>X14*F14*0.0045</f>
        <v>2677.7170015822785</v>
      </c>
      <c r="U14" s="2">
        <f>E14*5</f>
        <v>1000</v>
      </c>
      <c r="W14" s="2">
        <v>0.3</v>
      </c>
      <c r="X14" s="2">
        <f t="shared" ref="X14" si="8">((O14*F14)+Q14+R14+S14+U14)/G14</f>
        <v>27.415260196905766</v>
      </c>
      <c r="Y14" s="2">
        <f>((O14*F14)+Q14+R14+S14+T14+U14)/G14+W14</f>
        <v>27.840797796604889</v>
      </c>
      <c r="Z14" s="3">
        <f>Y14*G14</f>
        <v>593844.21700158226</v>
      </c>
      <c r="AA14" s="34">
        <v>43572</v>
      </c>
      <c r="AB14" s="3"/>
      <c r="AC14" s="35"/>
    </row>
    <row r="15" spans="1:32" x14ac:dyDescent="0.25">
      <c r="A15" s="161"/>
      <c r="B15" s="27" t="s">
        <v>26</v>
      </c>
      <c r="C15" t="s">
        <v>27</v>
      </c>
      <c r="D15" s="28" t="s">
        <v>1720</v>
      </c>
      <c r="E15">
        <v>180</v>
      </c>
      <c r="F15" s="29">
        <v>19795</v>
      </c>
      <c r="G15" s="196">
        <v>11110</v>
      </c>
      <c r="H15" s="30">
        <f t="shared" si="6"/>
        <v>-8685</v>
      </c>
      <c r="I15" t="s">
        <v>3058</v>
      </c>
      <c r="J15" s="55">
        <v>129</v>
      </c>
      <c r="K15" s="31"/>
      <c r="L15" s="31">
        <v>43559</v>
      </c>
      <c r="M15" s="28" t="s">
        <v>41</v>
      </c>
      <c r="O15" s="2">
        <v>25.5</v>
      </c>
      <c r="P15" s="32"/>
      <c r="Q15" s="140">
        <v>18100</v>
      </c>
      <c r="R15" s="2">
        <f t="shared" si="7"/>
        <v>13581</v>
      </c>
      <c r="S15" s="33">
        <f>-38*E15</f>
        <v>-6840</v>
      </c>
      <c r="T15" s="141">
        <f>X15*F15*0.0045</f>
        <v>4253.5388205445543</v>
      </c>
      <c r="U15" s="2">
        <f>E15*5</f>
        <v>900</v>
      </c>
      <c r="W15" s="2">
        <v>0.3</v>
      </c>
      <c r="X15" s="2">
        <f>((O15*F15)+Q15+R15+S15+U15)/G15</f>
        <v>47.750990099009904</v>
      </c>
      <c r="Y15" s="2">
        <f>((O15*F15)+Q15+R15+S15+T15+U15)/G15+W15</f>
        <v>48.433846878536869</v>
      </c>
      <c r="Z15" s="3">
        <f>Y15*G15</f>
        <v>538100.03882054461</v>
      </c>
      <c r="AA15" s="34">
        <v>43572</v>
      </c>
      <c r="AB15" s="3">
        <v>35.51</v>
      </c>
      <c r="AC15" s="35" t="s">
        <v>3059</v>
      </c>
    </row>
    <row r="16" spans="1:32" x14ac:dyDescent="0.25">
      <c r="A16" s="161"/>
      <c r="B16" s="27" t="s">
        <v>30</v>
      </c>
      <c r="C16" s="28" t="s">
        <v>1790</v>
      </c>
      <c r="D16" s="28" t="s">
        <v>1790</v>
      </c>
      <c r="E16" t="s">
        <v>32</v>
      </c>
      <c r="F16" s="29">
        <f>41308*0.4536</f>
        <v>18737.308799999999</v>
      </c>
      <c r="G16" s="196">
        <v>18875.439999999999</v>
      </c>
      <c r="H16" s="30">
        <f>G16-F16</f>
        <v>138.13119999999981</v>
      </c>
      <c r="I16" s="28" t="s">
        <v>2892</v>
      </c>
      <c r="J16" s="52" t="s">
        <v>196</v>
      </c>
      <c r="K16" s="31">
        <v>43559</v>
      </c>
      <c r="L16" s="31">
        <v>43560</v>
      </c>
      <c r="M16" s="28" t="s">
        <v>45</v>
      </c>
      <c r="N16" s="28" t="s">
        <v>2886</v>
      </c>
      <c r="O16" s="2"/>
      <c r="P16" s="32">
        <f>0.7083+0.095</f>
        <v>0.80330000000000001</v>
      </c>
      <c r="Q16" s="140">
        <v>26000</v>
      </c>
      <c r="R16" s="2">
        <v>128472</v>
      </c>
      <c r="S16" s="68">
        <v>19.283000000000001</v>
      </c>
      <c r="T16" s="141">
        <f>X16*F16*0.005</f>
        <v>3977.2828141161235</v>
      </c>
      <c r="V16" s="2">
        <v>0.12</v>
      </c>
      <c r="W16" s="2">
        <v>0.3</v>
      </c>
      <c r="X16" s="2">
        <f>IF(O16&gt;0,O16,((P16*2.2046*S16)+(Q16+R16)/G16)+V16)</f>
        <v>42.453084982152014</v>
      </c>
      <c r="Y16" s="2">
        <f>IF(O16&gt;0,O16,((P16*2.2046*S16)+(Q16+R16+T16)/G16)+V16+W16)</f>
        <v>42.963797040473089</v>
      </c>
      <c r="Z16" s="3">
        <f>Y16*F16</f>
        <v>805025.93236787035</v>
      </c>
      <c r="AA16" s="34">
        <v>43558</v>
      </c>
      <c r="AB16" s="3"/>
      <c r="AC16" s="35"/>
    </row>
    <row r="17" spans="1:32" x14ac:dyDescent="0.25">
      <c r="A17" s="161"/>
      <c r="B17" s="27" t="s">
        <v>30</v>
      </c>
      <c r="C17" s="28" t="s">
        <v>31</v>
      </c>
      <c r="D17" s="28" t="s">
        <v>31</v>
      </c>
      <c r="E17" t="s">
        <v>32</v>
      </c>
      <c r="F17" s="29">
        <f>41590*0.4536</f>
        <v>18865.223999999998</v>
      </c>
      <c r="G17" s="196">
        <v>18790.650000000001</v>
      </c>
      <c r="H17" s="30">
        <f>G17-F17</f>
        <v>-74.573999999996886</v>
      </c>
      <c r="I17" s="28">
        <v>57066</v>
      </c>
      <c r="J17" s="52" t="s">
        <v>196</v>
      </c>
      <c r="K17" s="31">
        <v>43559</v>
      </c>
      <c r="L17" s="31">
        <v>43560</v>
      </c>
      <c r="M17" s="28" t="s">
        <v>45</v>
      </c>
      <c r="N17" s="28" t="s">
        <v>2887</v>
      </c>
      <c r="O17" s="2"/>
      <c r="P17" s="32">
        <f>0.666+0.1</f>
        <v>0.76600000000000001</v>
      </c>
      <c r="Q17" s="140">
        <v>26000</v>
      </c>
      <c r="R17" s="2">
        <v>123301</v>
      </c>
      <c r="S17" s="68">
        <v>19.41</v>
      </c>
      <c r="T17" s="141">
        <f>X17*F17*0.005</f>
        <v>3852.6201301044466</v>
      </c>
      <c r="V17" s="2">
        <v>0.12</v>
      </c>
      <c r="W17" s="2">
        <v>0.3</v>
      </c>
      <c r="X17" s="2">
        <f>IF(O17&gt;0,O17,((P17*2.2046*S17)+(Q17+R17)/G17)+V17)</f>
        <v>40.843619244642383</v>
      </c>
      <c r="Y17" s="2">
        <f>IF(O17&gt;0,O17,((P17*2.2046*S17)+(Q17+R17+T17)/G17)+V17+W17)</f>
        <v>41.348647816304585</v>
      </c>
      <c r="Z17" s="3">
        <f>Y17*F17</f>
        <v>780051.50315169676</v>
      </c>
      <c r="AA17" s="34">
        <v>43552</v>
      </c>
      <c r="AB17" s="3"/>
      <c r="AC17" s="35"/>
    </row>
    <row r="18" spans="1:32" x14ac:dyDescent="0.25">
      <c r="A18" s="161"/>
      <c r="B18" s="27" t="s">
        <v>26</v>
      </c>
      <c r="C18" t="s">
        <v>43</v>
      </c>
      <c r="D18" s="28" t="s">
        <v>44</v>
      </c>
      <c r="E18">
        <v>240</v>
      </c>
      <c r="F18" s="29">
        <v>20980</v>
      </c>
      <c r="G18" s="30">
        <v>21110</v>
      </c>
      <c r="H18" s="30">
        <f t="shared" ref="H18:H20" si="9">G18-F18</f>
        <v>130</v>
      </c>
      <c r="I18" s="191" t="s">
        <v>3090</v>
      </c>
      <c r="K18" s="31"/>
      <c r="L18" s="31">
        <v>43560</v>
      </c>
      <c r="M18" s="28" t="s">
        <v>45</v>
      </c>
      <c r="O18" s="2">
        <v>33.700000000000003</v>
      </c>
      <c r="P18" s="32"/>
      <c r="Q18" s="138">
        <v>22800</v>
      </c>
      <c r="R18" s="2"/>
      <c r="S18" s="33"/>
      <c r="T18" s="141">
        <f>X18*F18*0.0045</f>
        <v>3269.3588185693984</v>
      </c>
      <c r="U18" s="2">
        <f>E18*5</f>
        <v>1200</v>
      </c>
      <c r="W18" s="2">
        <v>0.3</v>
      </c>
      <c r="X18" s="2">
        <f>((O18*F18)+Q18+R18+S18+U18)/G18</f>
        <v>34.629369966840365</v>
      </c>
      <c r="Y18" s="2">
        <f>((O18*F18)+Q18+R18+S18+T18+U18)/G18+W18</f>
        <v>35.08424248311556</v>
      </c>
      <c r="Z18" s="3">
        <f>Y18*G18</f>
        <v>740628.35881856945</v>
      </c>
      <c r="AA18" s="34">
        <v>43566</v>
      </c>
      <c r="AB18" s="3"/>
      <c r="AC18" s="35"/>
    </row>
    <row r="19" spans="1:32" x14ac:dyDescent="0.25">
      <c r="A19" s="161"/>
      <c r="B19" s="27" t="s">
        <v>26</v>
      </c>
      <c r="C19" t="s">
        <v>27</v>
      </c>
      <c r="D19" s="28" t="s">
        <v>1718</v>
      </c>
      <c r="E19">
        <v>130</v>
      </c>
      <c r="F19" s="29">
        <v>15360</v>
      </c>
      <c r="G19" s="30">
        <v>12280</v>
      </c>
      <c r="H19" s="30">
        <f t="shared" si="9"/>
        <v>-3080</v>
      </c>
      <c r="I19" s="28" t="s">
        <v>3061</v>
      </c>
      <c r="K19" s="31"/>
      <c r="L19" s="31">
        <v>43560</v>
      </c>
      <c r="M19" s="28" t="s">
        <v>45</v>
      </c>
      <c r="O19" s="2">
        <v>25.5</v>
      </c>
      <c r="P19" s="32"/>
      <c r="Q19" s="140">
        <v>18100</v>
      </c>
      <c r="R19" s="2">
        <f t="shared" ref="R19" si="10">75.45*E19</f>
        <v>9808.5</v>
      </c>
      <c r="S19" s="33">
        <f>-38*E19</f>
        <v>-4940</v>
      </c>
      <c r="T19" s="141">
        <f>X19*F19*0.0045</f>
        <v>2337.5759218241042</v>
      </c>
      <c r="U19" s="2">
        <f>E19*5</f>
        <v>650</v>
      </c>
      <c r="W19" s="2">
        <v>0.3</v>
      </c>
      <c r="X19" s="2">
        <f>((O19*F19)+Q19+R19+S19+U19)/G19</f>
        <v>33.819096091205211</v>
      </c>
      <c r="Y19" s="2">
        <f>((O19*F19)+Q19+R19+S19+T19+U19)/G19+W19</f>
        <v>34.309452436630622</v>
      </c>
      <c r="Z19" s="3">
        <f>Y19*G19</f>
        <v>421320.07592182403</v>
      </c>
      <c r="AA19" s="34">
        <v>43573</v>
      </c>
      <c r="AB19" s="3"/>
      <c r="AC19" s="35" t="s">
        <v>3064</v>
      </c>
    </row>
    <row r="20" spans="1:32" x14ac:dyDescent="0.25">
      <c r="A20" s="161"/>
      <c r="B20" s="27" t="s">
        <v>30</v>
      </c>
      <c r="C20" t="s">
        <v>40</v>
      </c>
      <c r="D20" s="28" t="s">
        <v>40</v>
      </c>
      <c r="E20" t="s">
        <v>37</v>
      </c>
      <c r="F20" s="29">
        <f>40981*0.4536</f>
        <v>18588.981599999999</v>
      </c>
      <c r="G20" s="196">
        <v>18493.3</v>
      </c>
      <c r="H20" s="30">
        <f t="shared" si="9"/>
        <v>-95.681599999999889</v>
      </c>
      <c r="I20" s="28" t="s">
        <v>2893</v>
      </c>
      <c r="J20" s="52" t="s">
        <v>196</v>
      </c>
      <c r="K20" s="31">
        <v>43560</v>
      </c>
      <c r="L20" s="31">
        <v>43561</v>
      </c>
      <c r="M20" s="28" t="s">
        <v>46</v>
      </c>
      <c r="N20" s="28" t="s">
        <v>2888</v>
      </c>
      <c r="O20" s="2"/>
      <c r="P20" s="32">
        <f>0.647+0.105</f>
        <v>0.752</v>
      </c>
      <c r="Q20" s="140">
        <v>26000</v>
      </c>
      <c r="R20" s="2">
        <v>119501</v>
      </c>
      <c r="S20" s="68">
        <v>19.440000000000001</v>
      </c>
      <c r="T20" s="141">
        <f>X20*F20*0.005</f>
        <v>3737.9236490290768</v>
      </c>
      <c r="V20" s="2">
        <v>0.12</v>
      </c>
      <c r="W20" s="2">
        <v>0.3</v>
      </c>
      <c r="X20" s="2">
        <f>IF(O20&gt;0,O20,((P20*2.2046*S20)+(Q20+R20)/G20)+V20)</f>
        <v>40.216551174907579</v>
      </c>
      <c r="Y20" s="2">
        <f>IF(O20&gt;0,O20,((P20*2.2046*S20)+(Q20+R20+T20)/G20)+V20+W20)</f>
        <v>40.718674303231303</v>
      </c>
      <c r="Z20" s="3">
        <f>Y20*F20</f>
        <v>756918.68739915953</v>
      </c>
      <c r="AA20" s="34">
        <v>43553</v>
      </c>
      <c r="AB20" s="3"/>
      <c r="AC20" s="35"/>
    </row>
    <row r="21" spans="1:32" ht="15.75" thickBot="1" x14ac:dyDescent="0.3">
      <c r="A21" s="162"/>
      <c r="B21" s="41"/>
      <c r="C21" s="4"/>
      <c r="D21" s="4"/>
      <c r="E21" s="4"/>
      <c r="F21" s="42"/>
      <c r="G21" s="42"/>
      <c r="H21" s="42"/>
      <c r="I21" s="7"/>
      <c r="J21" s="4"/>
      <c r="K21" s="8"/>
      <c r="L21" s="8"/>
      <c r="M21" s="4"/>
      <c r="N21" s="4"/>
      <c r="O21" s="9"/>
      <c r="P21" s="10"/>
      <c r="Q21" s="9"/>
      <c r="R21" s="9"/>
      <c r="S21" s="9"/>
      <c r="T21" s="9"/>
      <c r="U21" s="9"/>
      <c r="V21" s="9"/>
      <c r="W21" s="9"/>
      <c r="X21" s="9"/>
      <c r="Y21" s="9"/>
      <c r="Z21" s="13"/>
      <c r="AA21" s="43"/>
      <c r="AB21" s="3"/>
      <c r="AC21" s="35"/>
    </row>
    <row r="22" spans="1:32" x14ac:dyDescent="0.25">
      <c r="A22" s="129"/>
      <c r="B22" s="14" t="s">
        <v>26</v>
      </c>
      <c r="C22" s="14" t="s">
        <v>27</v>
      </c>
      <c r="D22" s="15" t="s">
        <v>2862</v>
      </c>
      <c r="E22" s="14">
        <v>199</v>
      </c>
      <c r="F22" s="16">
        <v>23545</v>
      </c>
      <c r="G22" s="17">
        <v>20600</v>
      </c>
      <c r="H22" s="30">
        <f t="shared" ref="H22:H25" si="11">G22-F22</f>
        <v>-2945</v>
      </c>
      <c r="I22" s="19" t="s">
        <v>3076</v>
      </c>
      <c r="J22" s="121">
        <v>227</v>
      </c>
      <c r="K22" s="20"/>
      <c r="L22" s="20">
        <v>43562</v>
      </c>
      <c r="M22" s="15" t="s">
        <v>28</v>
      </c>
      <c r="N22" s="14"/>
      <c r="O22" s="21">
        <v>25.5</v>
      </c>
      <c r="P22" s="22"/>
      <c r="Q22" s="139">
        <v>22800</v>
      </c>
      <c r="R22" s="2">
        <f t="shared" ref="R22:R24" si="12">75.45*E22</f>
        <v>15014.550000000001</v>
      </c>
      <c r="S22" s="21">
        <f>-38*E22</f>
        <v>-7562</v>
      </c>
      <c r="T22" s="157">
        <f>X22*F22*0.0045</f>
        <v>3248.7559301031552</v>
      </c>
      <c r="U22" s="21">
        <f>E22*5</f>
        <v>995</v>
      </c>
      <c r="V22" s="14"/>
      <c r="W22" s="21">
        <v>0.3</v>
      </c>
      <c r="X22" s="21">
        <f>((O22*F22)+Q22+R22+S22+U22)/G22</f>
        <v>30.662381067961167</v>
      </c>
      <c r="Y22" s="24">
        <f>((O22*F22)+Q22+R22+S22+T22+U22)/G22+W22</f>
        <v>31.120087666509864</v>
      </c>
      <c r="Z22" s="24">
        <f>Y22*G22</f>
        <v>641073.80593010318</v>
      </c>
      <c r="AA22" s="25">
        <v>43577</v>
      </c>
      <c r="AB22" s="3" t="s">
        <v>3093</v>
      </c>
      <c r="AC22" s="3"/>
    </row>
    <row r="23" spans="1:32" x14ac:dyDescent="0.25">
      <c r="A23" s="130"/>
      <c r="B23" s="27" t="s">
        <v>26</v>
      </c>
      <c r="C23" t="s">
        <v>27</v>
      </c>
      <c r="D23" s="28" t="s">
        <v>1829</v>
      </c>
      <c r="E23">
        <v>158</v>
      </c>
      <c r="F23" s="29">
        <v>18485</v>
      </c>
      <c r="G23" s="30">
        <v>12150</v>
      </c>
      <c r="H23" s="30">
        <f t="shared" si="11"/>
        <v>-6335</v>
      </c>
      <c r="I23" s="28" t="s">
        <v>3075</v>
      </c>
      <c r="J23" s="55">
        <v>130</v>
      </c>
      <c r="K23" s="31"/>
      <c r="L23" s="31">
        <v>43562</v>
      </c>
      <c r="M23" s="28" t="s">
        <v>28</v>
      </c>
      <c r="O23" s="2">
        <v>25.5</v>
      </c>
      <c r="P23" s="32"/>
      <c r="Q23" s="140">
        <v>18100</v>
      </c>
      <c r="R23" s="2">
        <f t="shared" si="12"/>
        <v>11921.1</v>
      </c>
      <c r="S23" s="33">
        <f>-38*E23</f>
        <v>-6004</v>
      </c>
      <c r="T23" s="141">
        <f>X23*F23*0.0045</f>
        <v>3396.958326296296</v>
      </c>
      <c r="U23" s="2">
        <f>E23*5</f>
        <v>790</v>
      </c>
      <c r="W23" s="2">
        <v>0.3</v>
      </c>
      <c r="X23" s="2">
        <f>((O23*F23)+Q23+R23+S23+U23)/G23</f>
        <v>40.837415637860083</v>
      </c>
      <c r="Y23" s="2">
        <f>((O23*F23)+Q23+R23+S23+T23+U23)/G23+W23</f>
        <v>41.417000685291875</v>
      </c>
      <c r="Z23" s="3">
        <f>Y23*G23</f>
        <v>503216.55832629628</v>
      </c>
      <c r="AA23" s="34">
        <v>43577</v>
      </c>
      <c r="AB23" s="3">
        <v>34.94</v>
      </c>
      <c r="AC23" s="35" t="s">
        <v>3077</v>
      </c>
    </row>
    <row r="24" spans="1:32" x14ac:dyDescent="0.25">
      <c r="A24" s="130"/>
      <c r="B24" s="27" t="s">
        <v>26</v>
      </c>
      <c r="C24" t="s">
        <v>27</v>
      </c>
      <c r="D24" s="28" t="s">
        <v>2862</v>
      </c>
      <c r="E24">
        <v>220</v>
      </c>
      <c r="F24" s="29">
        <v>24975</v>
      </c>
      <c r="G24" s="30">
        <f>13570+6190</f>
        <v>19760</v>
      </c>
      <c r="H24" s="30">
        <f t="shared" si="11"/>
        <v>-5215</v>
      </c>
      <c r="I24" s="28" t="s">
        <v>3092</v>
      </c>
      <c r="K24" s="31"/>
      <c r="L24" s="31">
        <v>43563</v>
      </c>
      <c r="M24" s="28" t="s">
        <v>29</v>
      </c>
      <c r="O24" s="2">
        <v>25.5</v>
      </c>
      <c r="P24" s="32"/>
      <c r="Q24" s="138">
        <v>22800</v>
      </c>
      <c r="R24" s="2">
        <f t="shared" si="12"/>
        <v>16599</v>
      </c>
      <c r="S24" s="33">
        <f>-38*E24</f>
        <v>-8360</v>
      </c>
      <c r="T24" s="141">
        <f>X24*F24*0.0045</f>
        <v>3805.0306721280363</v>
      </c>
      <c r="U24" s="2">
        <f>E24*5</f>
        <v>1100</v>
      </c>
      <c r="W24" s="2">
        <v>0.3</v>
      </c>
      <c r="X24" s="2">
        <f>((O24*F24)+Q24+R24+S24+U24)/G24</f>
        <v>33.8563512145749</v>
      </c>
      <c r="Y24" s="2">
        <f>((O24*F24)+Q24+R24+S24+T24+U24)/G24+W24</f>
        <v>34.348913495553035</v>
      </c>
      <c r="Z24" s="3">
        <f>Y24*G24</f>
        <v>678734.53067212796</v>
      </c>
      <c r="AA24" s="34">
        <v>43577</v>
      </c>
      <c r="AB24" s="3"/>
      <c r="AC24" s="35" t="s">
        <v>3094</v>
      </c>
    </row>
    <row r="25" spans="1:32" x14ac:dyDescent="0.25">
      <c r="A25" s="130"/>
      <c r="B25" s="27" t="s">
        <v>30</v>
      </c>
      <c r="C25" s="28" t="s">
        <v>1790</v>
      </c>
      <c r="D25" s="28" t="s">
        <v>1790</v>
      </c>
      <c r="E25" t="s">
        <v>32</v>
      </c>
      <c r="F25" s="29">
        <f>41417*0.4536</f>
        <v>18786.751199999999</v>
      </c>
      <c r="G25" s="196">
        <v>18938.78</v>
      </c>
      <c r="H25" s="30">
        <f t="shared" si="11"/>
        <v>152.02880000000005</v>
      </c>
      <c r="I25" s="28" t="s">
        <v>2900</v>
      </c>
      <c r="J25" s="52" t="s">
        <v>196</v>
      </c>
      <c r="K25" s="31">
        <v>43563</v>
      </c>
      <c r="L25" s="31">
        <v>43564</v>
      </c>
      <c r="M25" s="28" t="s">
        <v>48</v>
      </c>
      <c r="N25" s="28" t="s">
        <v>2894</v>
      </c>
      <c r="O25" s="2"/>
      <c r="P25" s="32">
        <f>0.6063+0.095</f>
        <v>0.70129999999999992</v>
      </c>
      <c r="Q25" s="140">
        <v>26000</v>
      </c>
      <c r="R25" s="190">
        <v>111244</v>
      </c>
      <c r="S25" s="194">
        <v>18.98</v>
      </c>
      <c r="T25" s="141">
        <f t="shared" ref="T25" si="13">X25*F25*0.005</f>
        <v>3448.4425089717552</v>
      </c>
      <c r="V25" s="2">
        <v>0.12</v>
      </c>
      <c r="W25" s="2">
        <v>0.3</v>
      </c>
      <c r="X25" s="2">
        <f>IF(O25&gt;0,O25,((P25*2.2046*S25)+(Q25+R25)/G25)+V25)</f>
        <v>36.71143001001424</v>
      </c>
      <c r="Y25" s="2">
        <f>IF(O25&gt;0,O25,((P25*2.2046*S25)+(Q25+R25+T25)/G25)+V25+W25)</f>
        <v>37.19351367691209</v>
      </c>
      <c r="Z25" s="3">
        <f>Y25*F25</f>
        <v>698745.28770194459</v>
      </c>
      <c r="AA25" s="34">
        <v>43563</v>
      </c>
      <c r="AB25" s="3"/>
      <c r="AC25" s="35"/>
    </row>
    <row r="26" spans="1:32" x14ac:dyDescent="0.25">
      <c r="A26" s="130"/>
      <c r="B26" s="27" t="s">
        <v>30</v>
      </c>
      <c r="C26" s="28" t="s">
        <v>35</v>
      </c>
      <c r="D26" s="28" t="s">
        <v>36</v>
      </c>
      <c r="E26" t="s">
        <v>37</v>
      </c>
      <c r="F26" s="29">
        <f>41481*0.4536</f>
        <v>18815.781599999998</v>
      </c>
      <c r="G26" s="196">
        <v>18727.43</v>
      </c>
      <c r="H26" s="30">
        <f>G26-F26</f>
        <v>-88.351599999998143</v>
      </c>
      <c r="I26" t="s">
        <v>2901</v>
      </c>
      <c r="J26" s="52" t="s">
        <v>196</v>
      </c>
      <c r="K26" s="31">
        <v>43563</v>
      </c>
      <c r="L26" s="31">
        <v>43564</v>
      </c>
      <c r="M26" s="28" t="s">
        <v>48</v>
      </c>
      <c r="N26" s="28" t="s">
        <v>2895</v>
      </c>
      <c r="O26" s="2"/>
      <c r="P26" s="32">
        <f>0.6063+0.1</f>
        <v>0.70629999999999993</v>
      </c>
      <c r="Q26" s="140">
        <v>26000</v>
      </c>
      <c r="R26" s="190">
        <v>116431.4</v>
      </c>
      <c r="S26" s="68">
        <v>19.114000000000001</v>
      </c>
      <c r="T26" s="141">
        <f>X26*F26*0.005</f>
        <v>3526.8373816592334</v>
      </c>
      <c r="V26" s="2">
        <v>0.12</v>
      </c>
      <c r="W26" s="2">
        <v>0.3</v>
      </c>
      <c r="X26" s="2">
        <f>IF(O26&gt;0,O26,((P26*2.2046*S26)+(Q26+R26)/G26)+V26)</f>
        <v>37.488077366493599</v>
      </c>
      <c r="Y26" s="2">
        <f>IF(O26&gt;0,O26,((P26*2.2046*S26)+(Q26+R26+T26)/G26)+V26+W26)</f>
        <v>37.976402052884588</v>
      </c>
      <c r="Z26" s="3">
        <f>Y26*F26</f>
        <v>714555.68698086799</v>
      </c>
      <c r="AA26" s="34">
        <v>43564</v>
      </c>
      <c r="AB26" s="3"/>
      <c r="AC26" s="35"/>
    </row>
    <row r="27" spans="1:32" x14ac:dyDescent="0.25">
      <c r="A27" s="130"/>
      <c r="B27" s="27" t="s">
        <v>26</v>
      </c>
      <c r="C27" t="s">
        <v>27</v>
      </c>
      <c r="D27" s="28" t="s">
        <v>2862</v>
      </c>
      <c r="E27">
        <v>220</v>
      </c>
      <c r="F27" s="29">
        <v>24945</v>
      </c>
      <c r="G27" s="30">
        <f>13100+6570</f>
        <v>19670</v>
      </c>
      <c r="H27" s="30">
        <f>G27-F27</f>
        <v>-5275</v>
      </c>
      <c r="I27" s="28" t="s">
        <v>3096</v>
      </c>
      <c r="K27" s="31"/>
      <c r="L27" s="31">
        <v>43564</v>
      </c>
      <c r="M27" s="28" t="s">
        <v>48</v>
      </c>
      <c r="O27" s="2">
        <v>25.5</v>
      </c>
      <c r="P27" s="32"/>
      <c r="Q27" s="138">
        <v>22800</v>
      </c>
      <c r="R27" s="2">
        <f>75.45*E27</f>
        <v>16599</v>
      </c>
      <c r="S27" s="33">
        <f>-38*E27</f>
        <v>-8360</v>
      </c>
      <c r="T27" s="141">
        <f>X27*F27*0.005</f>
        <v>4237.2037347483474</v>
      </c>
      <c r="U27" s="2">
        <f>E27*5</f>
        <v>1100</v>
      </c>
      <c r="W27" s="2">
        <v>0.3</v>
      </c>
      <c r="X27" s="2">
        <f>((O27*F27)+Q27+R27+S27+U27)/G27</f>
        <v>33.972369089984745</v>
      </c>
      <c r="Y27" s="2">
        <f>((O27*F27)+Q27+R27+S27+T27+U27)/G27+W27</f>
        <v>34.487783616408144</v>
      </c>
      <c r="Z27" s="3">
        <f>Y27*G27</f>
        <v>678374.70373474818</v>
      </c>
      <c r="AA27" s="34">
        <v>43578</v>
      </c>
      <c r="AB27" s="3"/>
      <c r="AC27" s="35" t="s">
        <v>3097</v>
      </c>
      <c r="AF27" s="30"/>
    </row>
    <row r="28" spans="1:32" x14ac:dyDescent="0.25">
      <c r="A28" s="130"/>
      <c r="B28" s="27" t="s">
        <v>30</v>
      </c>
      <c r="C28" s="28" t="s">
        <v>31</v>
      </c>
      <c r="D28" s="28" t="s">
        <v>31</v>
      </c>
      <c r="E28" t="s">
        <v>32</v>
      </c>
      <c r="F28" s="29">
        <f>41242*0.4536</f>
        <v>18707.371200000001</v>
      </c>
      <c r="G28" s="196">
        <v>18617.240000000002</v>
      </c>
      <c r="H28" s="30">
        <f t="shared" ref="H28:H29" si="14">G28-F28</f>
        <v>-90.131199999999808</v>
      </c>
      <c r="I28" s="28" t="s">
        <v>2902</v>
      </c>
      <c r="J28" s="52" t="s">
        <v>1690</v>
      </c>
      <c r="K28" s="31">
        <v>43564</v>
      </c>
      <c r="L28" s="31">
        <v>43565</v>
      </c>
      <c r="M28" s="28" t="s">
        <v>33</v>
      </c>
      <c r="N28" s="28" t="s">
        <v>2895</v>
      </c>
      <c r="O28" s="2"/>
      <c r="P28" s="32">
        <f>0.6063+0.1</f>
        <v>0.70629999999999993</v>
      </c>
      <c r="Q28" s="140">
        <v>26000</v>
      </c>
      <c r="R28" s="190">
        <v>119840</v>
      </c>
      <c r="S28" s="68">
        <v>19.238</v>
      </c>
      <c r="T28" s="141">
        <f t="shared" ref="T28:T29" si="15">X28*F28*0.005</f>
        <v>3545.9131762900893</v>
      </c>
      <c r="V28" s="2">
        <v>0.12</v>
      </c>
      <c r="W28" s="2">
        <v>0.3</v>
      </c>
      <c r="X28" s="2">
        <f>IF(O28&gt;0,O28,((P28*2.2046*S28)+(Q28+R28)/G28)+V28)</f>
        <v>37.909261952209391</v>
      </c>
      <c r="Y28" s="2">
        <f>IF(O28&gt;0,O28,((P28*2.2046*S28)+(Q28+R28+T28)/G28)+V28+W28)</f>
        <v>38.399725907999297</v>
      </c>
      <c r="Z28" s="3">
        <f>Y28*F28</f>
        <v>718357.92653920001</v>
      </c>
      <c r="AA28" s="34">
        <v>43557</v>
      </c>
      <c r="AB28" s="3" t="s">
        <v>3088</v>
      </c>
      <c r="AC28" s="35"/>
    </row>
    <row r="29" spans="1:32" x14ac:dyDescent="0.25">
      <c r="A29" s="130"/>
      <c r="B29" s="27" t="s">
        <v>26</v>
      </c>
      <c r="C29" t="s">
        <v>27</v>
      </c>
      <c r="D29" s="28" t="s">
        <v>1720</v>
      </c>
      <c r="E29">
        <v>220</v>
      </c>
      <c r="F29" s="29">
        <v>23885</v>
      </c>
      <c r="G29" s="30">
        <f>5910+12852</f>
        <v>18762</v>
      </c>
      <c r="H29" s="30">
        <f t="shared" si="14"/>
        <v>-5123</v>
      </c>
      <c r="I29" s="28" t="s">
        <v>3110</v>
      </c>
      <c r="K29" s="31"/>
      <c r="L29" s="31">
        <v>43565</v>
      </c>
      <c r="M29" s="28" t="s">
        <v>33</v>
      </c>
      <c r="O29" s="2">
        <v>25.5</v>
      </c>
      <c r="P29" s="32"/>
      <c r="Q29" s="138">
        <v>22800</v>
      </c>
      <c r="R29" s="2">
        <f>75.45*E29</f>
        <v>16599</v>
      </c>
      <c r="S29" s="33">
        <f>-38*E29</f>
        <v>-8360</v>
      </c>
      <c r="T29" s="141">
        <f t="shared" si="15"/>
        <v>4081.4458086824434</v>
      </c>
      <c r="U29" s="2">
        <f>E29*5</f>
        <v>1100</v>
      </c>
      <c r="W29" s="2">
        <v>0.3</v>
      </c>
      <c r="X29" s="2">
        <f t="shared" ref="X29" si="16">((O29*F29)+Q29+R29+S29+U29)/G29</f>
        <v>34.175807483210747</v>
      </c>
      <c r="Y29" s="2">
        <f>((O29*F29)+Q29+R29+S29+T29+U29)/G29+W29</f>
        <v>34.69334536876039</v>
      </c>
      <c r="Z29" s="3">
        <f>Y29*G29</f>
        <v>650916.54580868245</v>
      </c>
      <c r="AA29" s="34">
        <v>43578</v>
      </c>
      <c r="AB29" s="3"/>
      <c r="AC29" s="35" t="s">
        <v>3116</v>
      </c>
    </row>
    <row r="30" spans="1:32" x14ac:dyDescent="0.25">
      <c r="A30" s="130"/>
      <c r="B30" s="27" t="s">
        <v>30</v>
      </c>
      <c r="C30" s="28" t="s">
        <v>40</v>
      </c>
      <c r="D30" s="28" t="s">
        <v>40</v>
      </c>
      <c r="E30" t="s">
        <v>37</v>
      </c>
      <c r="F30" s="29">
        <f>42349*0.4536</f>
        <v>19209.506399999998</v>
      </c>
      <c r="G30" s="196">
        <v>19138.349999999999</v>
      </c>
      <c r="H30" s="30">
        <f>G30-F30</f>
        <v>-71.156399999999849</v>
      </c>
      <c r="I30" t="s">
        <v>2903</v>
      </c>
      <c r="J30" s="52" t="s">
        <v>196</v>
      </c>
      <c r="K30" s="31">
        <v>43565</v>
      </c>
      <c r="L30" s="31">
        <v>43566</v>
      </c>
      <c r="M30" s="28" t="s">
        <v>41</v>
      </c>
      <c r="N30" s="28" t="s">
        <v>2896</v>
      </c>
      <c r="O30" s="2"/>
      <c r="P30" s="32">
        <f>0.6061+0.105</f>
        <v>0.71109999999999995</v>
      </c>
      <c r="Q30" s="195">
        <v>26000</v>
      </c>
      <c r="R30" s="190">
        <v>115148</v>
      </c>
      <c r="S30" s="68">
        <v>19.260000000000002</v>
      </c>
      <c r="T30" s="141">
        <f>X30*F30*0.005</f>
        <v>3619.9228763652682</v>
      </c>
      <c r="V30" s="2">
        <v>0.12</v>
      </c>
      <c r="W30" s="2">
        <v>0.3</v>
      </c>
      <c r="X30" s="2">
        <f>IF(O30&gt;0,O30,((P30*2.2046*S30)+(Q30+R30)/G30)+V30)</f>
        <v>37.688869260745484</v>
      </c>
      <c r="Y30" s="2">
        <f>IF(O30&gt;0,O30,((P30*2.2046*S30)+(Q30+R30+T30)/G30)+V30+W30)</f>
        <v>38.178014243273509</v>
      </c>
      <c r="Z30" s="3">
        <f>Y30*F30</f>
        <v>733380.80894545361</v>
      </c>
      <c r="AA30" s="34">
        <v>43559</v>
      </c>
      <c r="AB30" s="3"/>
      <c r="AC30" s="35"/>
    </row>
    <row r="31" spans="1:32" x14ac:dyDescent="0.25">
      <c r="A31" s="130"/>
      <c r="B31" s="27" t="s">
        <v>26</v>
      </c>
      <c r="C31" t="s">
        <v>27</v>
      </c>
      <c r="D31" s="28" t="s">
        <v>1720</v>
      </c>
      <c r="E31">
        <v>220</v>
      </c>
      <c r="F31" s="29">
        <v>23325</v>
      </c>
      <c r="G31" s="30">
        <v>20900</v>
      </c>
      <c r="H31" s="30">
        <f t="shared" ref="H31:H33" si="17">G31-F31</f>
        <v>-2425</v>
      </c>
      <c r="I31" s="28" t="s">
        <v>3111</v>
      </c>
      <c r="J31">
        <v>250</v>
      </c>
      <c r="K31" s="31"/>
      <c r="L31" s="31">
        <v>43566</v>
      </c>
      <c r="M31" s="28" t="s">
        <v>41</v>
      </c>
      <c r="O31" s="2">
        <v>25.5</v>
      </c>
      <c r="P31" s="32"/>
      <c r="Q31" s="138">
        <v>22800</v>
      </c>
      <c r="R31" s="2">
        <f t="shared" ref="R31:R32" si="18">75.45*E31</f>
        <v>16599</v>
      </c>
      <c r="S31" s="33">
        <f>-38*E31</f>
        <v>-8360</v>
      </c>
      <c r="T31" s="141">
        <f>X31*F31*0.0045</f>
        <v>3148.5058735047842</v>
      </c>
      <c r="U31" s="2">
        <f>E31*5</f>
        <v>1100</v>
      </c>
      <c r="W31" s="2">
        <v>0.3</v>
      </c>
      <c r="X31" s="2">
        <f t="shared" ref="X31" si="19">((O31*F31)+Q31+R31+S31+U31)/G31</f>
        <v>29.996483253588515</v>
      </c>
      <c r="Y31" s="2">
        <f>((O31*F31)+Q31+R31+S31+T31+U31)/G31+W31</f>
        <v>30.447129467631807</v>
      </c>
      <c r="Z31" s="3">
        <f>Y31*G31</f>
        <v>636345.00587350479</v>
      </c>
      <c r="AA31" s="34">
        <v>43579</v>
      </c>
      <c r="AB31" s="3"/>
      <c r="AC31" s="35"/>
    </row>
    <row r="32" spans="1:32" x14ac:dyDescent="0.25">
      <c r="A32" s="130"/>
      <c r="B32" s="27" t="s">
        <v>26</v>
      </c>
      <c r="C32" t="s">
        <v>27</v>
      </c>
      <c r="D32" s="28" t="s">
        <v>1718</v>
      </c>
      <c r="E32">
        <v>160</v>
      </c>
      <c r="F32" s="29">
        <v>20165</v>
      </c>
      <c r="G32" s="196">
        <v>12900</v>
      </c>
      <c r="H32" s="30">
        <f t="shared" si="17"/>
        <v>-7265</v>
      </c>
      <c r="I32" s="28" t="s">
        <v>3112</v>
      </c>
      <c r="J32">
        <v>130</v>
      </c>
      <c r="K32" s="31"/>
      <c r="L32" s="31">
        <v>43566</v>
      </c>
      <c r="M32" s="28" t="s">
        <v>41</v>
      </c>
      <c r="O32" s="2">
        <v>25.5</v>
      </c>
      <c r="P32" s="32"/>
      <c r="Q32" s="140">
        <v>18100</v>
      </c>
      <c r="R32" s="190">
        <f t="shared" si="18"/>
        <v>12072</v>
      </c>
      <c r="S32" s="33">
        <f>-38*E32</f>
        <v>-6080</v>
      </c>
      <c r="T32" s="141">
        <f>X32*F32*0.0045</f>
        <v>3792.188866569767</v>
      </c>
      <c r="U32" s="2">
        <f>E32*5</f>
        <v>800</v>
      </c>
      <c r="W32" s="2">
        <v>0.3</v>
      </c>
      <c r="X32" s="2">
        <f>((O32*F32)+Q32+R32+S32+U32)/G32</f>
        <v>41.790658914728681</v>
      </c>
      <c r="Y32" s="2">
        <f>((O32*F32)+Q32+R32+S32+T32+U32)/G32+W32</f>
        <v>42.384627043920133</v>
      </c>
      <c r="Z32" s="3">
        <f>Y32*G32</f>
        <v>546761.68886656978</v>
      </c>
      <c r="AA32" s="34">
        <v>43579</v>
      </c>
      <c r="AB32" s="3">
        <v>35</v>
      </c>
      <c r="AC32" s="35" t="s">
        <v>3128</v>
      </c>
    </row>
    <row r="33" spans="1:32" x14ac:dyDescent="0.25">
      <c r="A33" s="130"/>
      <c r="B33" s="27" t="s">
        <v>1805</v>
      </c>
      <c r="C33" t="s">
        <v>2450</v>
      </c>
      <c r="D33" s="28" t="s">
        <v>1806</v>
      </c>
      <c r="E33" t="s">
        <v>2007</v>
      </c>
      <c r="F33" s="29">
        <f>884+855</f>
        <v>1739</v>
      </c>
      <c r="G33" s="196">
        <v>1739</v>
      </c>
      <c r="H33" s="30">
        <f t="shared" si="17"/>
        <v>0</v>
      </c>
      <c r="I33" s="28" t="s">
        <v>3183</v>
      </c>
      <c r="K33" s="31"/>
      <c r="L33" s="31">
        <v>43566</v>
      </c>
      <c r="M33" s="28" t="s">
        <v>41</v>
      </c>
      <c r="O33" s="2">
        <v>17.5</v>
      </c>
      <c r="P33" s="32"/>
      <c r="Q33" s="190"/>
      <c r="R33" s="190"/>
      <c r="S33" s="33"/>
      <c r="T33" s="33"/>
      <c r="U33" s="2"/>
      <c r="W33" s="2"/>
      <c r="X33" s="2">
        <f>IF(O33&gt;0,O33,((P33*2.2046*S33)+(Q33+R33)/G33)+V33)</f>
        <v>17.5</v>
      </c>
      <c r="Y33" s="2">
        <f>IF(O33&gt;0,O33,((P33*2.2046*S33)+(Q33+R33+T33)/G33)+V33+W33)</f>
        <v>17.5</v>
      </c>
      <c r="Z33" s="3">
        <f>Y33*F33</f>
        <v>30432.5</v>
      </c>
      <c r="AA33" s="34">
        <v>43573</v>
      </c>
      <c r="AB33" s="3"/>
      <c r="AC33" s="35"/>
    </row>
    <row r="34" spans="1:32" x14ac:dyDescent="0.25">
      <c r="A34" s="130"/>
      <c r="B34" s="27" t="s">
        <v>30</v>
      </c>
      <c r="C34" s="28" t="s">
        <v>1790</v>
      </c>
      <c r="D34" s="28" t="s">
        <v>1790</v>
      </c>
      <c r="E34" t="s">
        <v>32</v>
      </c>
      <c r="F34" s="29">
        <f>41865*0.4536</f>
        <v>18989.964</v>
      </c>
      <c r="G34" s="196">
        <v>19289.37</v>
      </c>
      <c r="H34" s="30">
        <f>G34-F34</f>
        <v>299.40599999999904</v>
      </c>
      <c r="I34" s="28" t="s">
        <v>2904</v>
      </c>
      <c r="J34" s="52" t="s">
        <v>196</v>
      </c>
      <c r="K34" s="31">
        <v>43566</v>
      </c>
      <c r="L34" s="31">
        <v>43567</v>
      </c>
      <c r="M34" s="28" t="s">
        <v>45</v>
      </c>
      <c r="N34" s="28" t="s">
        <v>2897</v>
      </c>
      <c r="O34" s="2"/>
      <c r="P34" s="32">
        <f>0.6061+0.095</f>
        <v>0.70109999999999995</v>
      </c>
      <c r="Q34" s="140">
        <v>26000</v>
      </c>
      <c r="R34" s="190">
        <v>111972</v>
      </c>
      <c r="S34" s="194">
        <v>18.890999999999998</v>
      </c>
      <c r="T34" s="141">
        <f>X34*F34*0.005</f>
        <v>3462.9650841519597</v>
      </c>
      <c r="V34" s="2">
        <v>0.12</v>
      </c>
      <c r="W34" s="2">
        <v>0.3</v>
      </c>
      <c r="X34" s="2">
        <f>IF(O34&gt;0,O34,((P34*2.2046*S34)+(Q34+R34)/G34)+V34)</f>
        <v>36.471528689069231</v>
      </c>
      <c r="Y34" s="2">
        <f>IF(O34&gt;0,O34,((P34*2.2046*S34)+(Q34+R34+T34)/G34)+V34+W34)</f>
        <v>36.951055811217437</v>
      </c>
      <c r="Z34" s="3">
        <f>Y34*F34</f>
        <v>701699.21961700986</v>
      </c>
      <c r="AA34" s="34">
        <v>43570</v>
      </c>
      <c r="AB34" s="3"/>
      <c r="AC34" s="35"/>
    </row>
    <row r="35" spans="1:32" x14ac:dyDescent="0.25">
      <c r="A35" s="130"/>
      <c r="B35" s="27" t="s">
        <v>30</v>
      </c>
      <c r="C35" s="28" t="s">
        <v>31</v>
      </c>
      <c r="D35" s="28" t="s">
        <v>31</v>
      </c>
      <c r="E35" t="s">
        <v>32</v>
      </c>
      <c r="F35" s="29">
        <f>40973*0.4536</f>
        <v>18585.352800000001</v>
      </c>
      <c r="G35" s="196">
        <v>18472.95</v>
      </c>
      <c r="H35" s="30">
        <f>G35-F35</f>
        <v>-112.40279999999984</v>
      </c>
      <c r="I35" t="s">
        <v>2905</v>
      </c>
      <c r="J35" s="52" t="s">
        <v>196</v>
      </c>
      <c r="K35" s="31">
        <v>43566</v>
      </c>
      <c r="L35" s="31">
        <v>43567</v>
      </c>
      <c r="M35" s="28" t="s">
        <v>45</v>
      </c>
      <c r="N35" s="28" t="s">
        <v>2898</v>
      </c>
      <c r="O35" s="2"/>
      <c r="P35" s="32">
        <f>0.6299+0.1</f>
        <v>0.72989999999999999</v>
      </c>
      <c r="Q35" s="140">
        <v>26000</v>
      </c>
      <c r="R35" s="190">
        <v>114307</v>
      </c>
      <c r="S35" s="68">
        <v>19.25</v>
      </c>
      <c r="T35" s="141">
        <f>X35*F35*0.005</f>
        <v>3595.4447885922627</v>
      </c>
      <c r="V35" s="2">
        <v>0.12</v>
      </c>
      <c r="W35" s="2">
        <v>0.3</v>
      </c>
      <c r="X35" s="2">
        <f>IF(O35&gt;0,O35,((P35*2.2046*S35)+(Q35+R35)/G35)+V35)</f>
        <v>38.691165320168288</v>
      </c>
      <c r="Y35" s="2">
        <f>IF(O35&gt;0,O35,((P35*2.2046*S35)+(Q35+R35+T35)/G35)+V35+W35)</f>
        <v>39.185798272056978</v>
      </c>
      <c r="Z35" s="3">
        <f>Y35*F35</f>
        <v>728281.88563580939</v>
      </c>
      <c r="AA35" s="34">
        <v>43559</v>
      </c>
      <c r="AB35" s="3"/>
      <c r="AC35" s="35"/>
    </row>
    <row r="36" spans="1:32" x14ac:dyDescent="0.25">
      <c r="A36" s="130"/>
      <c r="B36" s="27" t="s">
        <v>26</v>
      </c>
      <c r="C36" t="s">
        <v>43</v>
      </c>
      <c r="D36" s="28" t="s">
        <v>44</v>
      </c>
      <c r="E36">
        <v>240</v>
      </c>
      <c r="F36" s="29">
        <v>23200</v>
      </c>
      <c r="G36" s="196">
        <v>23180</v>
      </c>
      <c r="H36" s="30">
        <f t="shared" ref="H36:H38" si="20">G36-F36</f>
        <v>-20</v>
      </c>
      <c r="I36" s="191" t="s">
        <v>3146</v>
      </c>
      <c r="K36" s="31"/>
      <c r="L36" s="31">
        <v>43567</v>
      </c>
      <c r="M36" s="28" t="s">
        <v>45</v>
      </c>
      <c r="O36" s="2">
        <v>33.700000000000003</v>
      </c>
      <c r="P36" s="32"/>
      <c r="Q36" s="138">
        <v>22800</v>
      </c>
      <c r="R36" s="2"/>
      <c r="S36" s="33"/>
      <c r="T36" s="141">
        <f>X36*F36*0.0045</f>
        <v>3629.4088006902502</v>
      </c>
      <c r="U36" s="2">
        <f>E36*5</f>
        <v>1200</v>
      </c>
      <c r="W36" s="2">
        <v>0.3</v>
      </c>
      <c r="X36" s="2">
        <f>((O36*F36)+Q36+R36+S36+U36)/G36</f>
        <v>34.764452113891288</v>
      </c>
      <c r="Y36" s="2">
        <f>((O36*F36)+Q36+R36+S36+T36+U36)/G36+W36</f>
        <v>35.221027126863255</v>
      </c>
      <c r="Z36" s="3">
        <f>Y36*G36</f>
        <v>816423.4088006902</v>
      </c>
      <c r="AA36" s="34">
        <v>43573</v>
      </c>
      <c r="AB36" s="3"/>
      <c r="AC36" s="35"/>
    </row>
    <row r="37" spans="1:32" x14ac:dyDescent="0.25">
      <c r="A37" s="130"/>
      <c r="B37" s="27" t="s">
        <v>26</v>
      </c>
      <c r="C37" t="s">
        <v>27</v>
      </c>
      <c r="D37" s="28" t="s">
        <v>1718</v>
      </c>
      <c r="E37">
        <v>130</v>
      </c>
      <c r="F37" s="29">
        <v>15265</v>
      </c>
      <c r="G37" s="196">
        <v>12080</v>
      </c>
      <c r="H37" s="30">
        <f t="shared" si="20"/>
        <v>-3185</v>
      </c>
      <c r="I37" s="28" t="s">
        <v>3129</v>
      </c>
      <c r="K37" s="31"/>
      <c r="L37" s="31">
        <v>43567</v>
      </c>
      <c r="M37" s="28" t="s">
        <v>45</v>
      </c>
      <c r="O37" s="2">
        <v>25.5</v>
      </c>
      <c r="P37" s="32"/>
      <c r="Q37" s="140">
        <v>18100</v>
      </c>
      <c r="R37" s="2">
        <f t="shared" ref="R37" si="21">75.45*E37</f>
        <v>9808.5</v>
      </c>
      <c r="S37" s="33">
        <f>-38*E37</f>
        <v>-4940</v>
      </c>
      <c r="T37" s="141">
        <f>X37*F37*0.0045</f>
        <v>2347.8050190397353</v>
      </c>
      <c r="U37" s="2">
        <f>E37*5</f>
        <v>650</v>
      </c>
      <c r="W37" s="2">
        <v>0.3</v>
      </c>
      <c r="X37" s="2">
        <f>((O37*F37)+Q37+R37+S37+U37)/G37</f>
        <v>34.178476821192056</v>
      </c>
      <c r="Y37" s="2">
        <f>((O37*F37)+Q37+R37+S37+T37+U37)/G37+W37</f>
        <v>34.672831541311233</v>
      </c>
      <c r="Z37" s="3">
        <f>Y37*G37</f>
        <v>418847.80501903972</v>
      </c>
      <c r="AA37" s="34">
        <v>43580</v>
      </c>
      <c r="AB37" s="3"/>
      <c r="AC37" s="35" t="s">
        <v>3142</v>
      </c>
    </row>
    <row r="38" spans="1:32" x14ac:dyDescent="0.25">
      <c r="A38" s="130"/>
      <c r="B38" s="27" t="s">
        <v>30</v>
      </c>
      <c r="C38" t="s">
        <v>40</v>
      </c>
      <c r="D38" s="28" t="s">
        <v>40</v>
      </c>
      <c r="E38" t="s">
        <v>37</v>
      </c>
      <c r="F38" s="29">
        <f>42285*0.4536</f>
        <v>19180.475999999999</v>
      </c>
      <c r="G38" s="196">
        <v>19118.34</v>
      </c>
      <c r="H38" s="30">
        <f t="shared" si="20"/>
        <v>-62.135999999998603</v>
      </c>
      <c r="I38" s="28" t="s">
        <v>2906</v>
      </c>
      <c r="J38" s="52" t="s">
        <v>196</v>
      </c>
      <c r="K38" s="31">
        <v>43567</v>
      </c>
      <c r="L38" s="31">
        <v>43568</v>
      </c>
      <c r="M38" s="28" t="s">
        <v>46</v>
      </c>
      <c r="N38" s="28" t="s">
        <v>2899</v>
      </c>
      <c r="O38" s="2"/>
      <c r="P38" s="32">
        <f>0.6436+0.105</f>
        <v>0.74859999999999993</v>
      </c>
      <c r="Q38" s="140">
        <v>26000</v>
      </c>
      <c r="R38" s="190">
        <v>120077</v>
      </c>
      <c r="S38" s="194">
        <v>19.193999999999999</v>
      </c>
      <c r="T38" s="141">
        <f>X38*F38*0.005</f>
        <v>3782.1742781541211</v>
      </c>
      <c r="V38" s="2">
        <v>0.12</v>
      </c>
      <c r="W38" s="2">
        <v>0.3</v>
      </c>
      <c r="X38" s="2">
        <f>IF(O38&gt;0,O38,((P38*2.2046*S38)+(Q38+R38)/G38)+V38)</f>
        <v>39.437751994831842</v>
      </c>
      <c r="Y38" s="2">
        <f>IF(O38&gt;0,O38,((P38*2.2046*S38)+(Q38+R38+T38)/G38)+V38+W38)</f>
        <v>39.93558163266411</v>
      </c>
      <c r="Z38" s="3">
        <f>Y38*F38</f>
        <v>765983.46505135472</v>
      </c>
      <c r="AA38" s="34">
        <v>43563</v>
      </c>
      <c r="AB38" s="3"/>
      <c r="AC38" s="35"/>
    </row>
    <row r="39" spans="1:32" ht="15.75" thickBot="1" x14ac:dyDescent="0.3">
      <c r="A39" s="131"/>
      <c r="B39" s="41"/>
      <c r="C39" s="4"/>
      <c r="D39" s="4"/>
      <c r="E39" s="4"/>
      <c r="F39" s="42"/>
      <c r="G39" s="42"/>
      <c r="H39" s="42"/>
      <c r="I39" s="7"/>
      <c r="J39" s="4"/>
      <c r="K39" s="8"/>
      <c r="L39" s="8"/>
      <c r="M39" s="4"/>
      <c r="N39" s="4"/>
      <c r="O39" s="9"/>
      <c r="P39" s="10"/>
      <c r="Q39" s="9"/>
      <c r="R39" s="9"/>
      <c r="S39" s="9"/>
      <c r="T39" s="9"/>
      <c r="U39" s="9"/>
      <c r="V39" s="9"/>
      <c r="W39" s="9"/>
      <c r="X39" s="9"/>
      <c r="Y39" s="9"/>
      <c r="Z39" s="13"/>
      <c r="AA39" s="43"/>
      <c r="AB39" s="3"/>
      <c r="AC39" s="35"/>
    </row>
    <row r="40" spans="1:32" x14ac:dyDescent="0.25">
      <c r="A40" s="168"/>
      <c r="B40" s="14" t="s">
        <v>26</v>
      </c>
      <c r="C40" s="14" t="s">
        <v>43</v>
      </c>
      <c r="D40" s="15" t="s">
        <v>44</v>
      </c>
      <c r="E40" s="14">
        <v>200</v>
      </c>
      <c r="F40" s="16">
        <v>18236.5</v>
      </c>
      <c r="G40" s="17">
        <v>18200</v>
      </c>
      <c r="H40" s="30">
        <f t="shared" ref="H40:H43" si="22">G40-F40</f>
        <v>-36.5</v>
      </c>
      <c r="I40" s="198" t="s">
        <v>3155</v>
      </c>
      <c r="J40" s="14"/>
      <c r="K40" s="20"/>
      <c r="L40" s="20">
        <v>43569</v>
      </c>
      <c r="M40" s="15" t="s">
        <v>28</v>
      </c>
      <c r="N40" s="14"/>
      <c r="O40" s="21">
        <v>33.700000000000003</v>
      </c>
      <c r="P40" s="22"/>
      <c r="Q40" s="139">
        <v>22800</v>
      </c>
      <c r="R40" s="2"/>
      <c r="S40" s="21"/>
      <c r="T40" s="157">
        <f>X40*F40*0.0045</f>
        <v>2878.4263393248625</v>
      </c>
      <c r="U40" s="21">
        <f>E40*5</f>
        <v>1000</v>
      </c>
      <c r="V40" s="14"/>
      <c r="W40" s="21">
        <v>0.3</v>
      </c>
      <c r="X40" s="21">
        <f>((O40*F40)+Q40+R40+S40+U40)/G40</f>
        <v>35.075277472527475</v>
      </c>
      <c r="Y40" s="24">
        <f>((O40*F40)+Q40+R40+S40+T40+U40)/G40+W40</f>
        <v>35.533432765896976</v>
      </c>
      <c r="Z40" s="24">
        <f>Y40*G40</f>
        <v>646708.47633932496</v>
      </c>
      <c r="AA40" s="25">
        <v>43572</v>
      </c>
      <c r="AB40" s="3"/>
      <c r="AC40" s="3"/>
    </row>
    <row r="41" spans="1:32" x14ac:dyDescent="0.25">
      <c r="A41" s="169"/>
      <c r="B41" s="27" t="s">
        <v>26</v>
      </c>
      <c r="C41" t="s">
        <v>43</v>
      </c>
      <c r="D41" s="28" t="s">
        <v>44</v>
      </c>
      <c r="E41">
        <v>130</v>
      </c>
      <c r="F41" s="29">
        <v>10940</v>
      </c>
      <c r="G41" s="30">
        <v>10960</v>
      </c>
      <c r="H41" s="30">
        <f t="shared" si="22"/>
        <v>20</v>
      </c>
      <c r="I41" s="199" t="s">
        <v>3156</v>
      </c>
      <c r="K41" s="31"/>
      <c r="L41" s="31">
        <v>43569</v>
      </c>
      <c r="M41" s="28" t="s">
        <v>28</v>
      </c>
      <c r="O41" s="2">
        <v>33.700000000000003</v>
      </c>
      <c r="P41" s="32"/>
      <c r="Q41" s="140">
        <v>22100</v>
      </c>
      <c r="R41" s="2"/>
      <c r="S41" s="33"/>
      <c r="T41" s="141">
        <f>X41*F41*0.0045</f>
        <v>1755.2920565693432</v>
      </c>
      <c r="U41" s="2"/>
      <c r="W41" s="2">
        <v>0.3</v>
      </c>
      <c r="X41" s="2">
        <f>((O41*F41)+Q41+R41+S41+U41)/G41</f>
        <v>35.654927007299278</v>
      </c>
      <c r="Y41" s="2">
        <f>((O41*F41)+Q41+R41+S41+T41+U41)/G41+W41</f>
        <v>36.115081392022752</v>
      </c>
      <c r="Z41" s="3">
        <f>Y41*G41</f>
        <v>395821.29205656936</v>
      </c>
      <c r="AA41" s="34">
        <v>43572</v>
      </c>
      <c r="AB41" s="3"/>
      <c r="AC41" s="35" t="s">
        <v>3150</v>
      </c>
    </row>
    <row r="42" spans="1:32" x14ac:dyDescent="0.25">
      <c r="A42" s="169"/>
      <c r="B42" s="27" t="s">
        <v>26</v>
      </c>
      <c r="C42" t="s">
        <v>43</v>
      </c>
      <c r="D42" s="28" t="s">
        <v>44</v>
      </c>
      <c r="E42">
        <v>200</v>
      </c>
      <c r="F42" s="29">
        <v>18353.900000000001</v>
      </c>
      <c r="G42" s="30">
        <f>11930+6390</f>
        <v>18320</v>
      </c>
      <c r="H42" s="30">
        <f t="shared" si="22"/>
        <v>-33.900000000001455</v>
      </c>
      <c r="I42" s="199" t="s">
        <v>3157</v>
      </c>
      <c r="K42" s="31"/>
      <c r="L42" s="31">
        <v>43570</v>
      </c>
      <c r="M42" s="28" t="s">
        <v>29</v>
      </c>
      <c r="O42" s="2">
        <v>33.700000000000003</v>
      </c>
      <c r="P42" s="32"/>
      <c r="Q42" s="138">
        <v>22800</v>
      </c>
      <c r="R42" s="2"/>
      <c r="S42" s="33"/>
      <c r="T42" s="141">
        <f>X42*F42*0.0045</f>
        <v>2895.817564743259</v>
      </c>
      <c r="U42" s="2">
        <f>E42*5</f>
        <v>1000</v>
      </c>
      <c r="W42" s="2">
        <v>0.3</v>
      </c>
      <c r="X42" s="2">
        <f>((O42*F42)+Q42+R42+S42+U42)/G42</f>
        <v>35.061486353711793</v>
      </c>
      <c r="Y42" s="2">
        <f>((O42*F42)+Q42+R42+S42+T42+U42)/G42+W42</f>
        <v>35.519554998075506</v>
      </c>
      <c r="Z42" s="3">
        <f>Y42*G42</f>
        <v>650718.24756474327</v>
      </c>
      <c r="AA42" s="34">
        <v>43577</v>
      </c>
      <c r="AB42" s="3"/>
      <c r="AC42" s="35" t="s">
        <v>3151</v>
      </c>
    </row>
    <row r="43" spans="1:32" x14ac:dyDescent="0.25">
      <c r="A43" s="169"/>
      <c r="B43" s="27" t="s">
        <v>30</v>
      </c>
      <c r="C43" s="28" t="s">
        <v>1790</v>
      </c>
      <c r="D43" s="28" t="s">
        <v>1790</v>
      </c>
      <c r="E43" t="s">
        <v>32</v>
      </c>
      <c r="F43" s="29">
        <f>41652*0.4536</f>
        <v>18893.3472</v>
      </c>
      <c r="G43" s="196">
        <v>19128.189999999999</v>
      </c>
      <c r="H43" s="30">
        <f t="shared" si="22"/>
        <v>234.84279999999853</v>
      </c>
      <c r="I43" s="28" t="s">
        <v>2913</v>
      </c>
      <c r="J43" s="52" t="s">
        <v>196</v>
      </c>
      <c r="K43" s="31">
        <v>43570</v>
      </c>
      <c r="L43" s="31">
        <v>43571</v>
      </c>
      <c r="M43" s="28" t="s">
        <v>48</v>
      </c>
      <c r="N43" s="28" t="s">
        <v>2907</v>
      </c>
      <c r="O43" s="2"/>
      <c r="P43" s="32">
        <f>0.6085+0.095</f>
        <v>0.70350000000000001</v>
      </c>
      <c r="Q43" s="140">
        <v>26000</v>
      </c>
      <c r="R43" s="190">
        <v>111420</v>
      </c>
      <c r="S43" s="194">
        <v>18.93</v>
      </c>
      <c r="T43" s="141">
        <f t="shared" ref="T43" si="23">X43*F43*0.005</f>
        <v>3463.4699858287581</v>
      </c>
      <c r="V43" s="2">
        <v>0.12</v>
      </c>
      <c r="W43" s="2">
        <v>0.3</v>
      </c>
      <c r="X43" s="2">
        <f>IF(O43&gt;0,O43,((P43*2.2046*S43)+(Q43+R43)/G43)+V43)</f>
        <v>36.663381550821846</v>
      </c>
      <c r="Y43" s="2">
        <f>IF(O43&gt;0,O43,((P43*2.2046*S43)+(Q43+R43+T43)/G43)+V43+W43)</f>
        <v>37.144447819288892</v>
      </c>
      <c r="Z43" s="3">
        <f>Y43*F43</f>
        <v>701782.94920210785</v>
      </c>
      <c r="AA43" s="34">
        <v>43572</v>
      </c>
      <c r="AB43" s="3"/>
      <c r="AC43" s="35"/>
    </row>
    <row r="44" spans="1:32" x14ac:dyDescent="0.25">
      <c r="A44" s="169"/>
      <c r="B44" s="27" t="s">
        <v>30</v>
      </c>
      <c r="C44" s="28" t="s">
        <v>31</v>
      </c>
      <c r="D44" s="28" t="s">
        <v>31</v>
      </c>
      <c r="E44" t="s">
        <v>32</v>
      </c>
      <c r="F44" s="29">
        <f>41535*0.4536</f>
        <v>18840.276000000002</v>
      </c>
      <c r="G44" s="196">
        <v>18802.23</v>
      </c>
      <c r="H44" s="30">
        <f>G44-F44</f>
        <v>-38.046000000002095</v>
      </c>
      <c r="I44" t="s">
        <v>2914</v>
      </c>
      <c r="J44" s="52" t="s">
        <v>196</v>
      </c>
      <c r="K44" s="31">
        <v>43570</v>
      </c>
      <c r="L44" s="31">
        <v>43571</v>
      </c>
      <c r="M44" s="28" t="s">
        <v>48</v>
      </c>
      <c r="N44" s="28" t="s">
        <v>2909</v>
      </c>
      <c r="O44" s="2"/>
      <c r="P44" s="32">
        <f>0.6353+0.1</f>
        <v>0.73529999999999995</v>
      </c>
      <c r="Q44" s="140">
        <v>26000</v>
      </c>
      <c r="R44" s="190">
        <v>116268</v>
      </c>
      <c r="S44" s="194">
        <v>19.137</v>
      </c>
      <c r="T44" s="141">
        <f>X44*F44*0.005</f>
        <v>3646.3882125311893</v>
      </c>
      <c r="V44" s="2">
        <v>0.12</v>
      </c>
      <c r="W44" s="2">
        <v>0.3</v>
      </c>
      <c r="X44" s="2">
        <f>IF(O44&gt;0,O44,((P44*2.2046*S44)+(Q44+R44)/G44)+V44)</f>
        <v>38.708437313032874</v>
      </c>
      <c r="Y44" s="2">
        <f>IF(O44&gt;0,O44,((P44*2.2046*S44)+(Q44+R44+T44)/G44)+V44+W44)</f>
        <v>39.202371128996788</v>
      </c>
      <c r="Z44" s="3">
        <f>Y44*F44</f>
        <v>738583.49192473118</v>
      </c>
      <c r="AA44" s="34">
        <v>43564</v>
      </c>
      <c r="AB44" s="3"/>
      <c r="AC44" s="35"/>
    </row>
    <row r="45" spans="1:32" x14ac:dyDescent="0.25">
      <c r="A45" s="169"/>
      <c r="B45" s="27" t="s">
        <v>26</v>
      </c>
      <c r="C45" t="s">
        <v>43</v>
      </c>
      <c r="D45" s="28" t="s">
        <v>44</v>
      </c>
      <c r="E45">
        <v>220</v>
      </c>
      <c r="F45" s="29">
        <v>19956</v>
      </c>
      <c r="G45" s="196">
        <f>13440+6390</f>
        <v>19830</v>
      </c>
      <c r="H45" s="30">
        <f>G45-F45</f>
        <v>-126</v>
      </c>
      <c r="I45" t="s">
        <v>3158</v>
      </c>
      <c r="J45" s="191"/>
      <c r="K45" s="31"/>
      <c r="L45" s="31">
        <v>43571</v>
      </c>
      <c r="M45" s="28" t="s">
        <v>48</v>
      </c>
      <c r="O45" s="2">
        <v>33.700000000000003</v>
      </c>
      <c r="P45" s="32"/>
      <c r="Q45" s="138">
        <v>22800</v>
      </c>
      <c r="R45" s="190"/>
      <c r="S45" s="197"/>
      <c r="T45" s="141">
        <f>X45*F45*0.005</f>
        <v>3504.2112060514378</v>
      </c>
      <c r="U45" s="2">
        <f>E45*5</f>
        <v>1100</v>
      </c>
      <c r="W45" s="2">
        <v>0.3</v>
      </c>
      <c r="X45" s="2">
        <f>((O45*F45)+Q45+R45+S45+U45)/G45</f>
        <v>35.119374684820983</v>
      </c>
      <c r="Y45" s="2">
        <f>((O45*F45)+Q45+R45+S45+T45+U45)/G45+W45</f>
        <v>35.596087302372737</v>
      </c>
      <c r="Z45" s="3">
        <f>Y45*G45</f>
        <v>705870.41120605136</v>
      </c>
      <c r="AA45" s="34">
        <v>43577</v>
      </c>
      <c r="AB45" s="3"/>
      <c r="AC45" s="35" t="s">
        <v>3172</v>
      </c>
      <c r="AF45" s="30"/>
    </row>
    <row r="46" spans="1:32" x14ac:dyDescent="0.25">
      <c r="A46" s="169"/>
      <c r="B46" s="27" t="s">
        <v>30</v>
      </c>
      <c r="C46" s="28" t="s">
        <v>1790</v>
      </c>
      <c r="D46" s="28" t="s">
        <v>1790</v>
      </c>
      <c r="E46" t="s">
        <v>32</v>
      </c>
      <c r="F46" s="29">
        <f>42159*0.4536</f>
        <v>19123.322400000001</v>
      </c>
      <c r="G46" s="196">
        <v>19258.759999999998</v>
      </c>
      <c r="H46" s="30">
        <f>G46-F46</f>
        <v>135.43759999999747</v>
      </c>
      <c r="I46" s="28" t="s">
        <v>2915</v>
      </c>
      <c r="J46" s="52" t="s">
        <v>196</v>
      </c>
      <c r="K46" s="31">
        <v>43571</v>
      </c>
      <c r="L46" s="31">
        <v>43572</v>
      </c>
      <c r="M46" s="28" t="s">
        <v>33</v>
      </c>
      <c r="N46" s="28" t="s">
        <v>2910</v>
      </c>
      <c r="O46" s="2"/>
      <c r="P46" s="32">
        <f>0.6082+0.095</f>
        <v>0.70319999999999994</v>
      </c>
      <c r="Q46" s="140">
        <v>26000</v>
      </c>
      <c r="R46" s="190">
        <v>112201</v>
      </c>
      <c r="S46" s="194">
        <v>18.943000000000001</v>
      </c>
      <c r="T46" s="141">
        <f>X46*F46*0.005</f>
        <v>3505.5785740738952</v>
      </c>
      <c r="V46" s="2">
        <v>0.12</v>
      </c>
      <c r="W46" s="2">
        <v>0.3</v>
      </c>
      <c r="X46" s="2">
        <f>IF(O46&gt;0,O46,((P46*2.2046*S46)+(Q46+R46)/G46)+V46)</f>
        <v>36.662861198992232</v>
      </c>
      <c r="Y46" s="2">
        <f>IF(O46&gt;0,O46,((P46*2.2046*S46)+(Q46+R46+T46)/G46)+V46+W46)</f>
        <v>37.144886343605584</v>
      </c>
      <c r="Z46" s="3">
        <f>Y46*F46</f>
        <v>710333.63706012676</v>
      </c>
      <c r="AA46" s="34">
        <v>43572</v>
      </c>
      <c r="AB46" s="3"/>
      <c r="AC46" s="35"/>
    </row>
    <row r="47" spans="1:32" x14ac:dyDescent="0.25">
      <c r="A47" s="169"/>
      <c r="B47" s="27" t="s">
        <v>30</v>
      </c>
      <c r="C47" s="28" t="s">
        <v>31</v>
      </c>
      <c r="D47" s="28" t="s">
        <v>31</v>
      </c>
      <c r="E47" t="s">
        <v>32</v>
      </c>
      <c r="F47" s="29">
        <f>41535*0.4536</f>
        <v>18840.276000000002</v>
      </c>
      <c r="G47" s="196">
        <v>18776.14</v>
      </c>
      <c r="H47" s="30">
        <f t="shared" ref="H47:H51" si="24">G47-F47</f>
        <v>-64.136000000002241</v>
      </c>
      <c r="I47" s="28" t="s">
        <v>2916</v>
      </c>
      <c r="J47" s="52" t="s">
        <v>196</v>
      </c>
      <c r="K47" s="31">
        <v>43571</v>
      </c>
      <c r="L47" s="31">
        <v>43572</v>
      </c>
      <c r="M47" s="28" t="s">
        <v>33</v>
      </c>
      <c r="N47" s="28" t="s">
        <v>2908</v>
      </c>
      <c r="O47" s="2"/>
      <c r="P47" s="32">
        <f>0.6085+0.1</f>
        <v>0.70850000000000002</v>
      </c>
      <c r="Q47" s="140">
        <v>26000</v>
      </c>
      <c r="R47" s="190">
        <v>111544</v>
      </c>
      <c r="S47" s="194">
        <v>18.96</v>
      </c>
      <c r="T47" s="141">
        <f t="shared" ref="T47:T49" si="25">X47*F47*0.005</f>
        <v>3491.123100099423</v>
      </c>
      <c r="V47" s="2">
        <v>0.12</v>
      </c>
      <c r="W47" s="2">
        <v>0.3</v>
      </c>
      <c r="X47" s="2">
        <f>IF(O47&gt;0,O47,((P47*2.2046*S47)+(Q47+R47)/G47)+V47)</f>
        <v>37.060211857824399</v>
      </c>
      <c r="Y47" s="2">
        <f>IF(O47&gt;0,O47,((P47*2.2046*S47)+(Q47+R47+T47)/G47)+V47+W47)</f>
        <v>37.546145873021317</v>
      </c>
      <c r="Z47" s="3">
        <f>Y47*F47</f>
        <v>707379.75098398258</v>
      </c>
      <c r="AA47" s="34">
        <v>43565</v>
      </c>
      <c r="AB47" s="3"/>
      <c r="AC47" s="35"/>
    </row>
    <row r="48" spans="1:32" x14ac:dyDescent="0.25">
      <c r="A48" s="169"/>
      <c r="B48" s="27" t="s">
        <v>30</v>
      </c>
      <c r="C48" s="28" t="s">
        <v>31</v>
      </c>
      <c r="D48" s="28" t="s">
        <v>31</v>
      </c>
      <c r="E48" t="s">
        <v>32</v>
      </c>
      <c r="F48" s="29">
        <f>40760*0.4536</f>
        <v>18488.736000000001</v>
      </c>
      <c r="G48" s="196">
        <v>18459.349999999999</v>
      </c>
      <c r="H48" s="30">
        <f t="shared" ref="H48" si="26">G48-F48</f>
        <v>-29.386000000002241</v>
      </c>
      <c r="I48" s="28" t="s">
        <v>2917</v>
      </c>
      <c r="J48" s="52" t="s">
        <v>1690</v>
      </c>
      <c r="K48" s="31">
        <v>43571</v>
      </c>
      <c r="L48" s="31">
        <v>43572</v>
      </c>
      <c r="M48" s="28" t="s">
        <v>33</v>
      </c>
      <c r="N48" s="28" t="s">
        <v>2908</v>
      </c>
      <c r="O48" s="2"/>
      <c r="P48" s="32">
        <f>0.6085+0.1</f>
        <v>0.70850000000000002</v>
      </c>
      <c r="Q48" s="140">
        <v>26000</v>
      </c>
      <c r="R48" s="190">
        <v>109686</v>
      </c>
      <c r="S48" s="194">
        <v>18.969000000000001</v>
      </c>
      <c r="T48" s="141">
        <f t="shared" ref="T48" si="27">X48*F48*0.005</f>
        <v>3429.598761318151</v>
      </c>
      <c r="V48" s="2">
        <v>0.12</v>
      </c>
      <c r="W48" s="2">
        <v>0.3</v>
      </c>
      <c r="X48" s="2">
        <f>IF(O48&gt;0,O48,((P48*2.2046*S48)+(Q48+R48)/G48)+V48)</f>
        <v>37.099331845272175</v>
      </c>
      <c r="Y48" s="2">
        <f>IF(O48&gt;0,O48,((P48*2.2046*S48)+(Q48+R48+T48)/G48)+V48+W48)</f>
        <v>37.585123802265144</v>
      </c>
      <c r="Z48" s="3">
        <f>Y48*F48</f>
        <v>694901.43150739651</v>
      </c>
      <c r="AA48" s="34">
        <v>43565</v>
      </c>
      <c r="AB48" s="3"/>
      <c r="AC48" s="35"/>
    </row>
    <row r="49" spans="1:32" x14ac:dyDescent="0.25">
      <c r="A49" s="169"/>
      <c r="B49" s="27" t="s">
        <v>26</v>
      </c>
      <c r="C49" t="s">
        <v>43</v>
      </c>
      <c r="D49" s="28" t="s">
        <v>44</v>
      </c>
      <c r="E49">
        <v>250</v>
      </c>
      <c r="F49" s="29">
        <v>22970</v>
      </c>
      <c r="G49" s="196">
        <f>16640+6390</f>
        <v>23030</v>
      </c>
      <c r="H49" s="30">
        <f t="shared" si="24"/>
        <v>60</v>
      </c>
      <c r="I49" s="191" t="s">
        <v>3284</v>
      </c>
      <c r="K49" s="31"/>
      <c r="L49" s="31">
        <v>43572</v>
      </c>
      <c r="M49" s="28" t="s">
        <v>33</v>
      </c>
      <c r="O49" s="2">
        <v>33.700000000000003</v>
      </c>
      <c r="P49" s="32"/>
      <c r="Q49" s="138">
        <v>22800</v>
      </c>
      <c r="R49" s="190"/>
      <c r="S49" s="33"/>
      <c r="T49" s="141">
        <f t="shared" si="25"/>
        <v>3980.2980525401654</v>
      </c>
      <c r="U49" s="2">
        <f>E49*5</f>
        <v>1250</v>
      </c>
      <c r="W49" s="2">
        <v>0.3</v>
      </c>
      <c r="X49" s="2">
        <f t="shared" ref="X49" si="28">((O49*F49)+Q49+R49+S49+U49)/G49</f>
        <v>34.656491532783328</v>
      </c>
      <c r="Y49" s="2">
        <f>((O49*F49)+Q49+R49+S49+T49+U49)/G49+W49</f>
        <v>35.129322538104219</v>
      </c>
      <c r="Z49" s="3">
        <f>Y49*G49</f>
        <v>809028.29805254017</v>
      </c>
      <c r="AA49" s="34">
        <v>43581</v>
      </c>
      <c r="AB49" s="3"/>
      <c r="AC49" s="35" t="s">
        <v>3182</v>
      </c>
    </row>
    <row r="50" spans="1:32" x14ac:dyDescent="0.25">
      <c r="A50" s="169"/>
      <c r="B50" s="27" t="s">
        <v>1729</v>
      </c>
      <c r="C50" s="28" t="s">
        <v>3185</v>
      </c>
      <c r="D50" s="28" t="s">
        <v>1734</v>
      </c>
      <c r="E50" t="s">
        <v>3186</v>
      </c>
      <c r="F50" s="29">
        <v>9015.7999999999993</v>
      </c>
      <c r="G50" s="196">
        <v>9015.7800000000007</v>
      </c>
      <c r="H50" s="30">
        <f t="shared" si="24"/>
        <v>-1.9999999998617568E-2</v>
      </c>
      <c r="I50" s="191" t="s">
        <v>3216</v>
      </c>
      <c r="J50" s="191"/>
      <c r="K50" s="201"/>
      <c r="L50" s="201">
        <v>43572</v>
      </c>
      <c r="M50" s="199" t="s">
        <v>33</v>
      </c>
      <c r="N50" s="191"/>
      <c r="O50" s="190">
        <v>92</v>
      </c>
      <c r="P50" s="202"/>
      <c r="Q50" s="190"/>
      <c r="R50" s="190"/>
      <c r="S50" s="33"/>
      <c r="T50" s="33"/>
      <c r="U50" s="2"/>
      <c r="W50" s="2"/>
      <c r="X50" s="2">
        <f>IF(O50&gt;0,O50,((P50*2.2046*S50)+(Q50+R50)/G50)+V50)</f>
        <v>92</v>
      </c>
      <c r="Y50" s="2">
        <f>IF(O50&gt;0,O50,((P50*2.2046*S50)+(Q50+R50+T50)/G50)+V50+W50)</f>
        <v>92</v>
      </c>
      <c r="Z50" s="3">
        <f>Y50*F50</f>
        <v>829453.6</v>
      </c>
      <c r="AA50" s="34">
        <v>43579</v>
      </c>
      <c r="AB50" s="3"/>
      <c r="AC50" s="35"/>
    </row>
    <row r="51" spans="1:32" x14ac:dyDescent="0.25">
      <c r="A51" s="169"/>
      <c r="B51" s="27" t="s">
        <v>1805</v>
      </c>
      <c r="C51" t="s">
        <v>2450</v>
      </c>
      <c r="D51" s="28" t="s">
        <v>1806</v>
      </c>
      <c r="E51" t="s">
        <v>2455</v>
      </c>
      <c r="F51" s="29">
        <f>839+881+860+882</f>
        <v>3462</v>
      </c>
      <c r="G51" s="196">
        <v>3462</v>
      </c>
      <c r="H51" s="30">
        <f t="shared" si="24"/>
        <v>0</v>
      </c>
      <c r="I51" s="191" t="s">
        <v>3238</v>
      </c>
      <c r="J51" s="191"/>
      <c r="K51" s="201"/>
      <c r="L51" s="201">
        <v>43572</v>
      </c>
      <c r="M51" s="199" t="s">
        <v>33</v>
      </c>
      <c r="N51" s="191"/>
      <c r="O51" s="190">
        <v>17.5</v>
      </c>
      <c r="P51" s="202"/>
      <c r="Q51" s="190"/>
      <c r="R51" s="190"/>
      <c r="S51" s="33"/>
      <c r="T51" s="33"/>
      <c r="U51" s="2"/>
      <c r="W51" s="2"/>
      <c r="X51" s="2">
        <f>IF(O51&gt;0,O51,((P51*2.2046*S51)+(Q51+R51)/G51)+V51)</f>
        <v>17.5</v>
      </c>
      <c r="Y51" s="2">
        <f>IF(O51&gt;0,O51,((P51*2.2046*S51)+(Q51+R51+T51)/G51)+V51+W51)</f>
        <v>17.5</v>
      </c>
      <c r="Z51" s="3">
        <f>Y51*F51</f>
        <v>60585</v>
      </c>
      <c r="AA51" s="34">
        <v>43579</v>
      </c>
      <c r="AB51" s="3"/>
      <c r="AC51" s="35"/>
    </row>
    <row r="52" spans="1:32" x14ac:dyDescent="0.25">
      <c r="A52" s="169"/>
      <c r="B52" s="27" t="s">
        <v>30</v>
      </c>
      <c r="C52" s="28" t="s">
        <v>40</v>
      </c>
      <c r="D52" s="28" t="s">
        <v>40</v>
      </c>
      <c r="E52" t="s">
        <v>37</v>
      </c>
      <c r="F52" s="29">
        <f>41765*0.4536</f>
        <v>18944.603999999999</v>
      </c>
      <c r="G52" s="196">
        <v>18884.48</v>
      </c>
      <c r="H52" s="30">
        <f>G52-F52</f>
        <v>-60.123999999999796</v>
      </c>
      <c r="I52" s="199" t="s">
        <v>2918</v>
      </c>
      <c r="J52" s="52" t="s">
        <v>196</v>
      </c>
      <c r="K52" s="31">
        <v>43572</v>
      </c>
      <c r="L52" s="31">
        <v>43573</v>
      </c>
      <c r="M52" s="28" t="s">
        <v>41</v>
      </c>
      <c r="N52" s="28" t="s">
        <v>2911</v>
      </c>
      <c r="O52" s="2"/>
      <c r="P52" s="32">
        <f>0.6082+0.105</f>
        <v>0.71319999999999995</v>
      </c>
      <c r="Q52" s="140">
        <v>26000</v>
      </c>
      <c r="R52" s="190">
        <v>113247</v>
      </c>
      <c r="S52" s="194">
        <v>18.954999999999998</v>
      </c>
      <c r="T52" s="141">
        <f>X52*F52*0.005</f>
        <v>3532.8807199892476</v>
      </c>
      <c r="V52" s="2">
        <v>0.12</v>
      </c>
      <c r="W52" s="2">
        <v>0.3</v>
      </c>
      <c r="X52" s="2">
        <f>IF(O52&gt;0,O52,((P52*2.2046*S52)+(Q52+R52)/G52)+V52)</f>
        <v>37.29696033751086</v>
      </c>
      <c r="Y52" s="2">
        <f>IF(O52&gt;0,O52,((P52*2.2046*S52)+(Q52+R52+T52)/G52)+V52+W52)</f>
        <v>37.7840388654867</v>
      </c>
      <c r="Z52" s="3">
        <f>Y52*F52</f>
        <v>715803.65382725478</v>
      </c>
      <c r="AA52" s="34">
        <v>43566</v>
      </c>
      <c r="AB52" s="3"/>
      <c r="AC52" s="35"/>
    </row>
    <row r="53" spans="1:32" x14ac:dyDescent="0.25">
      <c r="A53" s="169"/>
      <c r="B53" s="27" t="s">
        <v>26</v>
      </c>
      <c r="C53" t="s">
        <v>43</v>
      </c>
      <c r="D53" s="28" t="s">
        <v>44</v>
      </c>
      <c r="E53">
        <v>250</v>
      </c>
      <c r="F53" s="29">
        <v>22860</v>
      </c>
      <c r="G53" s="30">
        <v>22870</v>
      </c>
      <c r="H53" s="30">
        <f t="shared" ref="H53" si="29">G53-F53</f>
        <v>10</v>
      </c>
      <c r="I53" s="191" t="s">
        <v>3285</v>
      </c>
      <c r="K53" s="31"/>
      <c r="L53" s="31">
        <v>43573</v>
      </c>
      <c r="M53" s="28" t="s">
        <v>41</v>
      </c>
      <c r="O53" s="2">
        <v>33.700000000000003</v>
      </c>
      <c r="P53" s="32"/>
      <c r="Q53" s="138">
        <v>22800</v>
      </c>
      <c r="R53" s="190"/>
      <c r="S53" s="33"/>
      <c r="T53" s="141">
        <f>X53*F53*0.0045</f>
        <v>3573.3808412767821</v>
      </c>
      <c r="U53" s="2">
        <f>E53*5</f>
        <v>1250</v>
      </c>
      <c r="W53" s="2">
        <v>0.3</v>
      </c>
      <c r="X53" s="2">
        <f t="shared" ref="X53" si="30">((O53*F53)+Q53+R53+S53+U53)/G53</f>
        <v>34.736860515959776</v>
      </c>
      <c r="Y53" s="2">
        <f>((O53*F53)+Q53+R53+S53+T53+U53)/G53+W53</f>
        <v>35.193108038534184</v>
      </c>
      <c r="Z53" s="3">
        <f>Y53*G53</f>
        <v>804866.38084127684</v>
      </c>
      <c r="AA53" s="34">
        <v>43584</v>
      </c>
      <c r="AB53" s="3"/>
      <c r="AC53" s="35"/>
    </row>
    <row r="54" spans="1:32" x14ac:dyDescent="0.25">
      <c r="A54" s="169"/>
      <c r="B54" s="27" t="s">
        <v>26</v>
      </c>
      <c r="C54" t="s">
        <v>43</v>
      </c>
      <c r="D54" s="28" t="s">
        <v>44</v>
      </c>
      <c r="E54">
        <v>249</v>
      </c>
      <c r="F54" s="204">
        <v>22827.7</v>
      </c>
      <c r="G54" s="196">
        <v>22640</v>
      </c>
      <c r="H54" s="122">
        <f t="shared" ref="H54" si="31">G54-F54</f>
        <v>-187.70000000000073</v>
      </c>
      <c r="I54" s="191" t="s">
        <v>3298</v>
      </c>
      <c r="K54" s="31"/>
      <c r="L54" s="31">
        <v>43573</v>
      </c>
      <c r="M54" s="28" t="s">
        <v>41</v>
      </c>
      <c r="O54" s="2">
        <v>34.700000000000003</v>
      </c>
      <c r="P54" s="32"/>
      <c r="Q54" s="190"/>
      <c r="R54" s="190"/>
      <c r="S54" s="197"/>
      <c r="T54" s="33"/>
      <c r="U54" s="2">
        <f>E54*5</f>
        <v>1245</v>
      </c>
      <c r="W54" s="2">
        <v>0.3</v>
      </c>
      <c r="X54" s="2">
        <f t="shared" ref="X54" si="32">((O54*F54)+Q54+R54+S54+U54)/G54</f>
        <v>35.042676236749116</v>
      </c>
      <c r="Y54" s="2">
        <f>((O54*F54)+Q54+R54+S54+T54+U54)/G54+W54</f>
        <v>35.342676236749114</v>
      </c>
      <c r="Z54" s="3">
        <f>Y54*G54</f>
        <v>800158.19</v>
      </c>
      <c r="AA54" s="34">
        <v>43585</v>
      </c>
      <c r="AB54" s="3"/>
      <c r="AC54" s="35" t="s">
        <v>3200</v>
      </c>
    </row>
    <row r="55" spans="1:32" x14ac:dyDescent="0.25">
      <c r="A55" s="169"/>
      <c r="B55" s="27" t="s">
        <v>30</v>
      </c>
      <c r="C55" t="s">
        <v>40</v>
      </c>
      <c r="D55" s="28" t="s">
        <v>40</v>
      </c>
      <c r="E55" t="s">
        <v>37</v>
      </c>
      <c r="F55" s="29">
        <f>42386*0.4536</f>
        <v>19226.2896</v>
      </c>
      <c r="G55" s="196">
        <v>19149.689999999999</v>
      </c>
      <c r="H55" s="30">
        <f t="shared" ref="H55" si="33">G55-F55</f>
        <v>-76.599600000001374</v>
      </c>
      <c r="I55" s="28" t="s">
        <v>2919</v>
      </c>
      <c r="J55" s="52" t="s">
        <v>196</v>
      </c>
      <c r="K55" s="31">
        <v>43573</v>
      </c>
      <c r="L55" s="31">
        <v>43575</v>
      </c>
      <c r="M55" s="28" t="s">
        <v>46</v>
      </c>
      <c r="N55" s="28" t="s">
        <v>2912</v>
      </c>
      <c r="O55" s="2"/>
      <c r="P55" s="32">
        <f>0.6292+0.105</f>
        <v>0.73419999999999996</v>
      </c>
      <c r="Q55" s="140">
        <v>26000</v>
      </c>
      <c r="R55" s="190">
        <v>114247</v>
      </c>
      <c r="S55" s="194">
        <v>18.873000000000001</v>
      </c>
      <c r="T55" s="141">
        <f>X55*F55*0.005</f>
        <v>3652.2150489850947</v>
      </c>
      <c r="V55" s="2">
        <v>0.12</v>
      </c>
      <c r="W55" s="2">
        <v>0.3</v>
      </c>
      <c r="X55" s="2">
        <f>IF(O55&gt;0,O55,((P55*2.2046*S55)+(Q55+R55)/G55)+V55)</f>
        <v>37.991886369849489</v>
      </c>
      <c r="Y55" s="2">
        <f>IF(O55&gt;0,O55,((P55*2.2046*S55)+(Q55+R55+T55)/G55)+V55+W55)</f>
        <v>38.482605647758689</v>
      </c>
      <c r="Z55" s="3">
        <f>Y55*F55</f>
        <v>739877.72074640414</v>
      </c>
      <c r="AA55" s="34">
        <v>43567</v>
      </c>
      <c r="AB55" s="3" t="s">
        <v>3159</v>
      </c>
      <c r="AC55" s="35"/>
    </row>
    <row r="56" spans="1:32" ht="15.75" thickBot="1" x14ac:dyDescent="0.3">
      <c r="A56" s="170"/>
      <c r="B56" s="41"/>
      <c r="C56" s="4"/>
      <c r="D56" s="4"/>
      <c r="E56" s="4"/>
      <c r="F56" s="42"/>
      <c r="G56" s="42"/>
      <c r="H56" s="42"/>
      <c r="I56" s="7"/>
      <c r="J56" s="4"/>
      <c r="K56" s="8"/>
      <c r="L56" s="8"/>
      <c r="M56" s="4"/>
      <c r="N56" s="4"/>
      <c r="O56" s="9"/>
      <c r="P56" s="10"/>
      <c r="Q56" s="9"/>
      <c r="R56" s="9"/>
      <c r="S56" s="9"/>
      <c r="T56" s="9"/>
      <c r="U56" s="9"/>
      <c r="V56" s="9"/>
      <c r="W56" s="9"/>
      <c r="X56" s="9"/>
      <c r="Y56" s="9"/>
      <c r="Z56" s="13"/>
      <c r="AA56" s="43"/>
      <c r="AB56" s="3"/>
      <c r="AC56" s="35"/>
    </row>
    <row r="57" spans="1:32" x14ac:dyDescent="0.25">
      <c r="A57" s="171"/>
      <c r="B57" s="14" t="s">
        <v>26</v>
      </c>
      <c r="C57" s="14" t="s">
        <v>27</v>
      </c>
      <c r="D57" s="15" t="s">
        <v>1720</v>
      </c>
      <c r="E57" s="14">
        <v>250</v>
      </c>
      <c r="F57" s="16">
        <v>26860</v>
      </c>
      <c r="G57" s="17">
        <f>15210+5970</f>
        <v>21180</v>
      </c>
      <c r="H57" s="30">
        <f t="shared" ref="H57:H61" si="34">G57-F57</f>
        <v>-5680</v>
      </c>
      <c r="I57" s="19" t="s">
        <v>3223</v>
      </c>
      <c r="J57" s="14"/>
      <c r="K57" s="20"/>
      <c r="L57" s="20">
        <v>43576</v>
      </c>
      <c r="M57" s="15" t="s">
        <v>28</v>
      </c>
      <c r="N57" s="14"/>
      <c r="O57" s="21">
        <v>25.5</v>
      </c>
      <c r="P57" s="22"/>
      <c r="Q57" s="139">
        <v>22800</v>
      </c>
      <c r="R57" s="2">
        <f t="shared" ref="R57:R58" si="35">75.45*E57</f>
        <v>18862.5</v>
      </c>
      <c r="S57" s="21">
        <f>-38*E57</f>
        <v>-9500</v>
      </c>
      <c r="T57" s="157">
        <f>X57*F57*0.0045</f>
        <v>4099.4361650141645</v>
      </c>
      <c r="U57" s="21">
        <f>E57*5</f>
        <v>1250</v>
      </c>
      <c r="V57" s="14"/>
      <c r="W57" s="21">
        <v>0.3</v>
      </c>
      <c r="X57" s="21">
        <f>((O57*F57)+Q57+R57+S57+U57)/G57</f>
        <v>33.916076487252127</v>
      </c>
      <c r="Y57" s="24">
        <f>((O57*F57)+Q57+R57+S57+T57+U57)/G57+W57</f>
        <v>34.409628714117758</v>
      </c>
      <c r="Z57" s="24">
        <f>Y57*G57</f>
        <v>728795.93616501417</v>
      </c>
      <c r="AA57" s="25">
        <v>43591</v>
      </c>
      <c r="AB57" s="3"/>
      <c r="AC57" s="3" t="s">
        <v>3225</v>
      </c>
    </row>
    <row r="58" spans="1:32" x14ac:dyDescent="0.25">
      <c r="A58" s="172"/>
      <c r="B58" s="27" t="s">
        <v>26</v>
      </c>
      <c r="C58" t="s">
        <v>27</v>
      </c>
      <c r="D58" s="28" t="s">
        <v>1720</v>
      </c>
      <c r="E58">
        <v>219</v>
      </c>
      <c r="F58" s="29">
        <v>23040</v>
      </c>
      <c r="G58" s="30">
        <f>12270+5830</f>
        <v>18100</v>
      </c>
      <c r="H58" s="30">
        <f t="shared" si="34"/>
        <v>-4940</v>
      </c>
      <c r="I58" s="28" t="s">
        <v>3224</v>
      </c>
      <c r="K58" s="31"/>
      <c r="L58" s="31">
        <v>43577</v>
      </c>
      <c r="M58" s="28" t="s">
        <v>29</v>
      </c>
      <c r="O58" s="2">
        <v>25.5</v>
      </c>
      <c r="P58" s="32"/>
      <c r="Q58" s="138">
        <v>22800</v>
      </c>
      <c r="R58" s="2">
        <f t="shared" si="35"/>
        <v>16523.55</v>
      </c>
      <c r="S58" s="33">
        <f>-38*E58</f>
        <v>-8322</v>
      </c>
      <c r="T58" s="141">
        <f>X58*F58*0.0045</f>
        <v>3549.2731438674036</v>
      </c>
      <c r="U58" s="2">
        <f>E58*5</f>
        <v>1095</v>
      </c>
      <c r="W58" s="2">
        <v>0.3</v>
      </c>
      <c r="X58" s="2">
        <f>((O58*F58)+Q58+R58+S58+U58)/G58</f>
        <v>34.232958563535917</v>
      </c>
      <c r="Y58" s="2">
        <f>((O58*F58)+Q58+R58+S58+T58+U58)/G58+W58</f>
        <v>34.72905100242361</v>
      </c>
      <c r="Z58" s="3">
        <f>Y58*G58</f>
        <v>628595.82314386731</v>
      </c>
      <c r="AA58" s="34">
        <v>43591</v>
      </c>
      <c r="AB58" s="3"/>
      <c r="AC58" s="35" t="s">
        <v>3226</v>
      </c>
    </row>
    <row r="59" spans="1:32" x14ac:dyDescent="0.25">
      <c r="A59" s="172"/>
      <c r="B59" s="27" t="s">
        <v>2447</v>
      </c>
      <c r="C59" t="s">
        <v>2448</v>
      </c>
      <c r="D59" s="28" t="s">
        <v>1806</v>
      </c>
      <c r="E59" t="s">
        <v>1914</v>
      </c>
      <c r="F59" s="29">
        <v>1000</v>
      </c>
      <c r="G59" s="30">
        <v>1000</v>
      </c>
      <c r="H59" s="30">
        <f t="shared" si="34"/>
        <v>0</v>
      </c>
      <c r="I59" s="28" t="s">
        <v>3239</v>
      </c>
      <c r="K59" s="31"/>
      <c r="L59" s="31">
        <v>43577</v>
      </c>
      <c r="M59" s="28" t="s">
        <v>29</v>
      </c>
      <c r="O59" s="2">
        <v>29.5</v>
      </c>
      <c r="P59" s="32"/>
      <c r="Q59" s="190"/>
      <c r="R59" s="190"/>
      <c r="S59" s="33"/>
      <c r="T59" s="33"/>
      <c r="U59" s="2"/>
      <c r="W59" s="2"/>
      <c r="X59" s="2">
        <f t="shared" ref="X59:X60" si="36">IF(O59&gt;0,O59,((P59*2.2046*S59)+(Q59+R59)/G59)+V59)</f>
        <v>29.5</v>
      </c>
      <c r="Y59" s="2">
        <f t="shared" ref="Y59:Y60" si="37">IF(O59&gt;0,O59,((P59*2.2046*S59)+(Q59+R59+T59)/G59)+V59+W59)</f>
        <v>29.5</v>
      </c>
      <c r="Z59" s="3">
        <f t="shared" ref="Z59:Z60" si="38">Y59*F59</f>
        <v>29500</v>
      </c>
      <c r="AA59" s="34">
        <v>43584</v>
      </c>
      <c r="AB59" s="3"/>
      <c r="AC59" s="35"/>
    </row>
    <row r="60" spans="1:32" x14ac:dyDescent="0.25">
      <c r="A60" s="172"/>
      <c r="B60" s="27" t="s">
        <v>2766</v>
      </c>
      <c r="C60" t="s">
        <v>2226</v>
      </c>
      <c r="D60" s="28" t="s">
        <v>1806</v>
      </c>
      <c r="E60" t="s">
        <v>2963</v>
      </c>
      <c r="F60" s="29">
        <v>503.94</v>
      </c>
      <c r="G60" s="30">
        <v>503.94</v>
      </c>
      <c r="H60" s="30">
        <f t="shared" si="34"/>
        <v>0</v>
      </c>
      <c r="I60" s="28" t="s">
        <v>3240</v>
      </c>
      <c r="K60" s="31"/>
      <c r="L60" s="31">
        <v>43577</v>
      </c>
      <c r="M60" s="28" t="s">
        <v>29</v>
      </c>
      <c r="O60" s="2">
        <v>53</v>
      </c>
      <c r="P60" s="32"/>
      <c r="Q60" s="190"/>
      <c r="R60" s="190"/>
      <c r="S60" s="33"/>
      <c r="T60" s="33"/>
      <c r="U60" s="2"/>
      <c r="W60" s="2"/>
      <c r="X60" s="2">
        <f t="shared" si="36"/>
        <v>53</v>
      </c>
      <c r="Y60" s="2">
        <f t="shared" si="37"/>
        <v>53</v>
      </c>
      <c r="Z60" s="3">
        <f t="shared" si="38"/>
        <v>26708.82</v>
      </c>
      <c r="AA60" s="34">
        <v>43584</v>
      </c>
      <c r="AB60" s="3"/>
      <c r="AC60" s="35"/>
    </row>
    <row r="61" spans="1:32" x14ac:dyDescent="0.25">
      <c r="A61" s="172"/>
      <c r="B61" s="27" t="s">
        <v>30</v>
      </c>
      <c r="C61" s="28" t="s">
        <v>1790</v>
      </c>
      <c r="D61" s="28" t="s">
        <v>1790</v>
      </c>
      <c r="E61" t="s">
        <v>32</v>
      </c>
      <c r="F61" s="29">
        <f>43163*0.4536</f>
        <v>19578.736799999999</v>
      </c>
      <c r="G61" s="196">
        <v>19822.310000000001</v>
      </c>
      <c r="H61" s="30">
        <f t="shared" si="34"/>
        <v>243.57320000000254</v>
      </c>
      <c r="I61" s="28" t="s">
        <v>2925</v>
      </c>
      <c r="J61" s="52" t="s">
        <v>196</v>
      </c>
      <c r="K61" s="31">
        <v>43577</v>
      </c>
      <c r="L61" s="31">
        <v>43578</v>
      </c>
      <c r="M61" s="28" t="s">
        <v>48</v>
      </c>
      <c r="N61" s="28" t="s">
        <v>2920</v>
      </c>
      <c r="O61" s="2"/>
      <c r="P61" s="32">
        <f>0.6901+0.095</f>
        <v>0.78510000000000002</v>
      </c>
      <c r="Q61" s="140">
        <v>26000</v>
      </c>
      <c r="R61" s="190">
        <v>128972</v>
      </c>
      <c r="S61" s="194">
        <v>18.863</v>
      </c>
      <c r="T61" s="141">
        <f t="shared" ref="T61" si="39">X61*F61*0.005</f>
        <v>3973.1848520991225</v>
      </c>
      <c r="V61" s="2">
        <v>0.12</v>
      </c>
      <c r="W61" s="2">
        <v>0.3</v>
      </c>
      <c r="X61" s="2">
        <f>IF(O61&gt;0,O61,((P61*2.2046*S61)+(Q61+R61)/G61)+V61)</f>
        <v>40.586733380052614</v>
      </c>
      <c r="Y61" s="2">
        <f>IF(O61&gt;0,O61,((P61*2.2046*S61)+(Q61+R61+T61)/G61)+V61+W61)</f>
        <v>41.087173432301775</v>
      </c>
      <c r="Z61" s="3">
        <f>Y61*F61</f>
        <v>804434.95448698907</v>
      </c>
      <c r="AA61" s="34">
        <v>43577</v>
      </c>
      <c r="AB61" s="3"/>
      <c r="AC61" s="35"/>
    </row>
    <row r="62" spans="1:32" x14ac:dyDescent="0.25">
      <c r="A62" s="172"/>
      <c r="B62" s="27" t="s">
        <v>30</v>
      </c>
      <c r="C62" s="28" t="s">
        <v>35</v>
      </c>
      <c r="D62" s="28" t="s">
        <v>36</v>
      </c>
      <c r="E62" t="s">
        <v>37</v>
      </c>
      <c r="F62" s="29">
        <f>41263*0.4536</f>
        <v>18716.896799999999</v>
      </c>
      <c r="G62" s="196">
        <v>18707.669999999998</v>
      </c>
      <c r="H62" s="30">
        <f>G62-F62</f>
        <v>-9.2268000000003667</v>
      </c>
      <c r="I62" t="s">
        <v>2926</v>
      </c>
      <c r="J62" s="52" t="s">
        <v>196</v>
      </c>
      <c r="K62" s="31">
        <v>43577</v>
      </c>
      <c r="L62" s="31">
        <v>43578</v>
      </c>
      <c r="M62" s="28" t="s">
        <v>48</v>
      </c>
      <c r="N62" s="28" t="s">
        <v>2921</v>
      </c>
      <c r="O62" s="2"/>
      <c r="P62" s="32">
        <f>0.6901+0.1</f>
        <v>0.79010000000000002</v>
      </c>
      <c r="Q62" s="140">
        <v>26000</v>
      </c>
      <c r="R62" s="190">
        <v>124604</v>
      </c>
      <c r="S62" s="194">
        <v>18.975000000000001</v>
      </c>
      <c r="T62" s="141">
        <f>X62*F62*0.005</f>
        <v>3857.7467369055917</v>
      </c>
      <c r="V62" s="2">
        <v>0.12</v>
      </c>
      <c r="W62" s="2">
        <v>0.3</v>
      </c>
      <c r="X62" s="2">
        <f>IF(O62&gt;0,O62,((P62*2.2046*S62)+(Q62+R62)/G62)+V62)</f>
        <v>41.222076267531612</v>
      </c>
      <c r="Y62" s="2">
        <f>IF(O62&gt;0,O62,((P62*2.2046*S62)+(Q62+R62+T62)/G62)+V62+W62)</f>
        <v>41.728288304461145</v>
      </c>
      <c r="Z62" s="3">
        <f>Y62*F62</f>
        <v>781024.06583524623</v>
      </c>
      <c r="AA62" s="34">
        <v>43579</v>
      </c>
      <c r="AB62" s="3"/>
      <c r="AC62" s="35"/>
    </row>
    <row r="63" spans="1:32" x14ac:dyDescent="0.25">
      <c r="A63" s="172"/>
      <c r="B63" s="27" t="s">
        <v>26</v>
      </c>
      <c r="C63" t="s">
        <v>27</v>
      </c>
      <c r="D63" s="28" t="s">
        <v>1718</v>
      </c>
      <c r="E63">
        <v>220</v>
      </c>
      <c r="F63" s="29">
        <v>25925</v>
      </c>
      <c r="G63" s="196">
        <v>20640</v>
      </c>
      <c r="H63" s="30">
        <f>G63-F63</f>
        <v>-5285</v>
      </c>
      <c r="I63" t="s">
        <v>173</v>
      </c>
      <c r="K63" s="31"/>
      <c r="L63" s="31">
        <v>43578</v>
      </c>
      <c r="M63" s="28" t="s">
        <v>48</v>
      </c>
      <c r="O63" s="2">
        <v>25.5</v>
      </c>
      <c r="P63" s="32"/>
      <c r="Q63" s="138">
        <v>22800</v>
      </c>
      <c r="R63" s="190">
        <f>75.45*E63</f>
        <v>16599</v>
      </c>
      <c r="S63" s="33">
        <f>-38*E63</f>
        <v>-8360</v>
      </c>
      <c r="T63" s="141">
        <f>X63*F63*0.005</f>
        <v>4353.6572220203489</v>
      </c>
      <c r="U63" s="2">
        <f>E63*5</f>
        <v>1100</v>
      </c>
      <c r="W63" s="2">
        <v>0.3</v>
      </c>
      <c r="X63" s="2">
        <f>((O63*F63)+Q63+R63+S63+U63)/G63</f>
        <v>33.58655523255814</v>
      </c>
      <c r="Y63" s="2">
        <f>((O63*F63)+Q63+R63+S63+T63+U63)/G63+W63</f>
        <v>34.097488237500983</v>
      </c>
      <c r="Z63" s="3">
        <f>Y63*G63</f>
        <v>703772.15722202032</v>
      </c>
      <c r="AA63" s="34">
        <v>43592</v>
      </c>
      <c r="AB63" s="3"/>
      <c r="AC63" s="35"/>
      <c r="AF63" s="30"/>
    </row>
    <row r="64" spans="1:32" x14ac:dyDescent="0.25">
      <c r="A64" s="172"/>
      <c r="B64" s="27" t="s">
        <v>30</v>
      </c>
      <c r="C64" s="28" t="s">
        <v>1790</v>
      </c>
      <c r="D64" s="28" t="s">
        <v>1790</v>
      </c>
      <c r="E64" t="s">
        <v>32</v>
      </c>
      <c r="F64" s="29">
        <f>41970*0.4536</f>
        <v>19037.592000000001</v>
      </c>
      <c r="G64" s="196">
        <v>19048.96</v>
      </c>
      <c r="H64" s="30">
        <f>G64-F64</f>
        <v>11.367999999998574</v>
      </c>
      <c r="I64" s="28" t="s">
        <v>2929</v>
      </c>
      <c r="J64" s="52" t="s">
        <v>196</v>
      </c>
      <c r="K64" s="31">
        <v>43578</v>
      </c>
      <c r="L64" s="31">
        <v>43579</v>
      </c>
      <c r="M64" s="28" t="s">
        <v>33</v>
      </c>
      <c r="N64" s="28" t="s">
        <v>3199</v>
      </c>
      <c r="O64" s="2"/>
      <c r="P64" s="32">
        <f>0.6534+0.095</f>
        <v>0.74839999999999995</v>
      </c>
      <c r="Q64" s="140">
        <v>26000</v>
      </c>
      <c r="R64" s="190">
        <v>119900</v>
      </c>
      <c r="S64" s="194">
        <v>19.100000000000001</v>
      </c>
      <c r="T64" s="141">
        <f>X64*F64*0.005</f>
        <v>3740.195117613423</v>
      </c>
      <c r="V64" s="2">
        <v>0.12</v>
      </c>
      <c r="W64" s="2">
        <v>0.3</v>
      </c>
      <c r="X64" s="2">
        <f>IF(O64&gt;0,O64,((P64*2.2046*S64)+(Q64+R64)/G64)+V64)</f>
        <v>39.292733215560276</v>
      </c>
      <c r="Y64" s="2">
        <f>IF(O64&gt;0,O64,((P64*2.2046*S64)+(Q64+R64+T64)/G64)+V64+W64)</f>
        <v>39.789079636446942</v>
      </c>
      <c r="Z64" s="3">
        <f>Y64*F64</f>
        <v>757488.26417418523</v>
      </c>
      <c r="AA64" s="34">
        <v>43581</v>
      </c>
      <c r="AB64" s="3"/>
      <c r="AC64" s="35"/>
    </row>
    <row r="65" spans="1:33" x14ac:dyDescent="0.25">
      <c r="A65" s="172"/>
      <c r="B65" s="27" t="s">
        <v>30</v>
      </c>
      <c r="C65" s="28" t="s">
        <v>31</v>
      </c>
      <c r="D65" s="28" t="s">
        <v>31</v>
      </c>
      <c r="E65" t="s">
        <v>32</v>
      </c>
      <c r="F65" s="29">
        <f>41084*0.4536</f>
        <v>18635.702400000002</v>
      </c>
      <c r="G65" s="196">
        <v>18601.240000000002</v>
      </c>
      <c r="H65" s="30">
        <f t="shared" ref="H65:H66" si="40">G65-F65</f>
        <v>-34.462400000000343</v>
      </c>
      <c r="I65" s="28" t="s">
        <v>2927</v>
      </c>
      <c r="J65" s="52" t="s">
        <v>1690</v>
      </c>
      <c r="K65" s="31">
        <v>43578</v>
      </c>
      <c r="L65" s="31">
        <v>43579</v>
      </c>
      <c r="M65" s="28" t="s">
        <v>33</v>
      </c>
      <c r="N65" s="28" t="s">
        <v>2921</v>
      </c>
      <c r="O65" s="2"/>
      <c r="P65" s="32">
        <f>0.6901+0.1</f>
        <v>0.79010000000000002</v>
      </c>
      <c r="Q65" s="140">
        <v>26000</v>
      </c>
      <c r="R65" s="190">
        <v>123500</v>
      </c>
      <c r="S65" s="194">
        <v>18.88</v>
      </c>
      <c r="T65" s="141">
        <f t="shared" ref="T65:T66" si="41">X65*F65*0.005</f>
        <v>3824.3546285338161</v>
      </c>
      <c r="V65" s="2">
        <v>0.12</v>
      </c>
      <c r="W65" s="2">
        <v>0.3</v>
      </c>
      <c r="X65" s="2">
        <f>IF(O65&gt;0,O65,((P65*2.2046*S65)+(Q65+R65)/G65)+V65)</f>
        <v>41.043310806828678</v>
      </c>
      <c r="Y65" s="2">
        <f>IF(O65&gt;0,O65,((P65*2.2046*S65)+(Q65+R65+T65)/G65)+V65+W65)</f>
        <v>41.548907564277847</v>
      </c>
      <c r="Z65" s="3">
        <f>Y65*F65</f>
        <v>774293.07641299092</v>
      </c>
      <c r="AA65" s="34">
        <v>43571</v>
      </c>
      <c r="AB65" s="3"/>
      <c r="AC65" s="35"/>
    </row>
    <row r="66" spans="1:33" x14ac:dyDescent="0.25">
      <c r="A66" s="172"/>
      <c r="B66" s="27" t="s">
        <v>26</v>
      </c>
      <c r="C66" t="s">
        <v>27</v>
      </c>
      <c r="D66" s="28" t="s">
        <v>1718</v>
      </c>
      <c r="E66">
        <v>220</v>
      </c>
      <c r="F66" s="29">
        <v>28940</v>
      </c>
      <c r="G66" s="30">
        <v>23270</v>
      </c>
      <c r="H66" s="30">
        <f t="shared" si="40"/>
        <v>-5670</v>
      </c>
      <c r="I66" s="28" t="s">
        <v>3243</v>
      </c>
      <c r="K66" s="31"/>
      <c r="L66" s="31">
        <v>43579</v>
      </c>
      <c r="M66" s="28" t="s">
        <v>33</v>
      </c>
      <c r="O66" s="2">
        <v>26</v>
      </c>
      <c r="P66" s="32"/>
      <c r="Q66" s="138">
        <v>22800</v>
      </c>
      <c r="R66" s="2">
        <f>75.45*E66</f>
        <v>16599</v>
      </c>
      <c r="S66" s="33">
        <f>-38*E66</f>
        <v>-8360</v>
      </c>
      <c r="T66" s="141">
        <f t="shared" si="41"/>
        <v>4878.7529565964769</v>
      </c>
      <c r="U66" s="2">
        <f>E66*5</f>
        <v>1100</v>
      </c>
      <c r="W66" s="2">
        <v>0.3</v>
      </c>
      <c r="X66" s="2">
        <f t="shared" ref="X66" si="42">((O66*F66)+Q66+R66+S66+U66)/G66</f>
        <v>33.716330038676411</v>
      </c>
      <c r="Y66" s="2">
        <f>((O66*F66)+Q66+R66+S66+T66+U66)/G66+W66</f>
        <v>34.225988524133925</v>
      </c>
      <c r="Z66" s="3">
        <f>Y66*G66</f>
        <v>796438.75295659644</v>
      </c>
      <c r="AA66" s="34">
        <v>43592</v>
      </c>
      <c r="AB66" s="3"/>
      <c r="AC66" s="35"/>
    </row>
    <row r="67" spans="1:33" x14ac:dyDescent="0.25">
      <c r="A67" s="172"/>
      <c r="B67" s="27" t="s">
        <v>30</v>
      </c>
      <c r="C67" s="28" t="s">
        <v>40</v>
      </c>
      <c r="D67" s="28" t="s">
        <v>40</v>
      </c>
      <c r="E67" t="s">
        <v>37</v>
      </c>
      <c r="F67" s="29">
        <f>41416*0.4536</f>
        <v>18786.297600000002</v>
      </c>
      <c r="G67" s="196">
        <v>18740.900000000001</v>
      </c>
      <c r="H67" s="30">
        <f>G67-F67</f>
        <v>-45.397600000000239</v>
      </c>
      <c r="I67" t="s">
        <v>2928</v>
      </c>
      <c r="J67" s="52" t="s">
        <v>196</v>
      </c>
      <c r="K67" s="31">
        <v>43579</v>
      </c>
      <c r="L67" s="31">
        <v>43580</v>
      </c>
      <c r="M67" s="28" t="s">
        <v>41</v>
      </c>
      <c r="N67" s="28" t="s">
        <v>2922</v>
      </c>
      <c r="O67" s="2"/>
      <c r="P67" s="32">
        <f>0.6756+0.105</f>
        <v>0.78059999999999996</v>
      </c>
      <c r="Q67" s="140">
        <v>26000</v>
      </c>
      <c r="R67" s="190">
        <v>122947</v>
      </c>
      <c r="S67" s="194">
        <v>18.952999999999999</v>
      </c>
      <c r="T67" s="141">
        <f>X67*F67*0.005</f>
        <v>3821.5198278140529</v>
      </c>
      <c r="V67" s="2">
        <v>0.12</v>
      </c>
      <c r="W67" s="2">
        <v>0.3</v>
      </c>
      <c r="X67" s="2">
        <f>IF(O67&gt;0,O67,((P67*2.2046*S67)+(Q67+R67)/G67)+V67)</f>
        <v>40.684118916694395</v>
      </c>
      <c r="Y67" s="2">
        <f>IF(O67&gt;0,O67,((P67*2.2046*S67)+(Q67+R67+T67)/G67)+V67+W67)</f>
        <v>41.188032273460294</v>
      </c>
      <c r="Z67" s="3">
        <f>Y67*F67</f>
        <v>773770.63184762979</v>
      </c>
      <c r="AA67" s="34">
        <v>43572</v>
      </c>
      <c r="AE67" s="3"/>
      <c r="AF67" s="35">
        <v>41.22</v>
      </c>
    </row>
    <row r="68" spans="1:33" x14ac:dyDescent="0.25">
      <c r="A68" s="172"/>
      <c r="B68" s="27" t="s">
        <v>26</v>
      </c>
      <c r="C68" t="s">
        <v>27</v>
      </c>
      <c r="D68" s="28" t="s">
        <v>1718</v>
      </c>
      <c r="E68">
        <v>200</v>
      </c>
      <c r="F68" s="29">
        <v>25090</v>
      </c>
      <c r="G68" s="30">
        <v>20670</v>
      </c>
      <c r="H68" s="30">
        <f t="shared" ref="H68:H70" si="43">G68-F68</f>
        <v>-4420</v>
      </c>
      <c r="I68" s="28" t="s">
        <v>3253</v>
      </c>
      <c r="K68" s="31"/>
      <c r="L68" s="31">
        <v>43580</v>
      </c>
      <c r="M68" s="28" t="s">
        <v>41</v>
      </c>
      <c r="O68" s="2">
        <v>26</v>
      </c>
      <c r="P68" s="32"/>
      <c r="Q68" s="138">
        <v>22800</v>
      </c>
      <c r="R68" s="2">
        <f t="shared" ref="R68:R69" si="44">75.45*E68</f>
        <v>15090</v>
      </c>
      <c r="S68" s="33">
        <f>-38*E68</f>
        <v>-7600</v>
      </c>
      <c r="T68" s="141">
        <f>X68*F68*0.0045</f>
        <v>3734.1676415094339</v>
      </c>
      <c r="U68" s="2">
        <f>E68*5</f>
        <v>1000</v>
      </c>
      <c r="W68" s="2">
        <v>0.3</v>
      </c>
      <c r="X68" s="2">
        <f t="shared" ref="X68" si="45">((O68*F68)+Q68+R68+S68+U68)/G68</f>
        <v>33.073536526366716</v>
      </c>
      <c r="Y68" s="2">
        <f>((O68*F68)+Q68+R68+S68+T68+U68)/G68+W68</f>
        <v>33.5541929192796</v>
      </c>
      <c r="Z68" s="3">
        <f>Y68*G68</f>
        <v>693565.16764150932</v>
      </c>
      <c r="AA68" s="34">
        <v>43593</v>
      </c>
      <c r="AE68" s="3"/>
      <c r="AF68" s="35">
        <v>41.73</v>
      </c>
    </row>
    <row r="69" spans="1:33" x14ac:dyDescent="0.25">
      <c r="A69" s="172"/>
      <c r="B69" s="27" t="s">
        <v>26</v>
      </c>
      <c r="C69" t="s">
        <v>27</v>
      </c>
      <c r="D69" s="28" t="s">
        <v>1718</v>
      </c>
      <c r="E69">
        <v>130</v>
      </c>
      <c r="F69" s="29">
        <v>16755</v>
      </c>
      <c r="G69" s="30">
        <v>12990</v>
      </c>
      <c r="H69" s="30">
        <f t="shared" si="43"/>
        <v>-3765</v>
      </c>
      <c r="I69" s="28" t="s">
        <v>3254</v>
      </c>
      <c r="K69" s="31"/>
      <c r="L69" s="31">
        <v>43580</v>
      </c>
      <c r="M69" s="28" t="s">
        <v>41</v>
      </c>
      <c r="O69" s="2">
        <v>26</v>
      </c>
      <c r="P69" s="32"/>
      <c r="Q69" s="140">
        <v>18100</v>
      </c>
      <c r="R69" s="2">
        <f t="shared" si="44"/>
        <v>9808.5</v>
      </c>
      <c r="S69" s="33">
        <f>-38*E69</f>
        <v>-4940</v>
      </c>
      <c r="T69" s="141">
        <f>X69*F69*0.0045</f>
        <v>2665.6034471709004</v>
      </c>
      <c r="U69" s="2">
        <f>E69*5</f>
        <v>650</v>
      </c>
      <c r="W69" s="2">
        <v>0.3</v>
      </c>
      <c r="X69" s="2">
        <f>((O69*F69)+Q69+R69+S69+U69)/G69</f>
        <v>35.354003079291765</v>
      </c>
      <c r="Y69" s="2">
        <f>((O69*F69)+Q69+R69+S69+T69+U69)/G69+W69</f>
        <v>35.859207347742178</v>
      </c>
      <c r="Z69" s="3">
        <f>Y69*G69</f>
        <v>465811.10344717087</v>
      </c>
      <c r="AA69" s="34">
        <v>43593</v>
      </c>
      <c r="AC69" t="s">
        <v>3255</v>
      </c>
      <c r="AE69" s="3"/>
      <c r="AF69" s="35">
        <v>39.81</v>
      </c>
    </row>
    <row r="70" spans="1:33" x14ac:dyDescent="0.25">
      <c r="A70" s="172"/>
      <c r="B70" s="27" t="s">
        <v>1729</v>
      </c>
      <c r="C70" t="s">
        <v>1730</v>
      </c>
      <c r="D70" s="28" t="s">
        <v>1734</v>
      </c>
      <c r="E70" t="s">
        <v>3268</v>
      </c>
      <c r="F70" s="29">
        <v>3238.73</v>
      </c>
      <c r="G70" s="30">
        <v>3238.93</v>
      </c>
      <c r="H70" s="30">
        <f t="shared" si="43"/>
        <v>0.1999999999998181</v>
      </c>
      <c r="I70" s="199" t="s">
        <v>3286</v>
      </c>
      <c r="K70" s="31"/>
      <c r="L70" s="31">
        <v>43580</v>
      </c>
      <c r="M70" s="28" t="s">
        <v>41</v>
      </c>
      <c r="O70" s="2">
        <v>91</v>
      </c>
      <c r="P70" s="32"/>
      <c r="Q70" s="2"/>
      <c r="R70" s="2"/>
      <c r="S70" s="33"/>
      <c r="T70" s="33"/>
      <c r="U70" s="2"/>
      <c r="W70" s="2"/>
      <c r="X70" s="2">
        <f>IF(O70&gt;0,O70,((P70*2.2046*S70)+(Q70+R70)/G70)+V70)</f>
        <v>91</v>
      </c>
      <c r="Y70" s="2">
        <f>IF(O70&gt;0,O70,((P70*2.2046*S70)+(Q70+R70+T70)/G70)+V70+W70)</f>
        <v>91</v>
      </c>
      <c r="Z70" s="3">
        <f>Y70*F70</f>
        <v>294724.43</v>
      </c>
      <c r="AA70" s="34">
        <v>43587</v>
      </c>
      <c r="AE70" s="3"/>
      <c r="AF70" s="35"/>
    </row>
    <row r="71" spans="1:33" x14ac:dyDescent="0.25">
      <c r="A71" s="172"/>
      <c r="B71" s="27" t="s">
        <v>30</v>
      </c>
      <c r="C71" s="28" t="s">
        <v>31</v>
      </c>
      <c r="D71" s="28" t="s">
        <v>31</v>
      </c>
      <c r="E71" t="s">
        <v>32</v>
      </c>
      <c r="F71" s="29">
        <f>41191*0.4536</f>
        <v>18684.2376</v>
      </c>
      <c r="G71" s="196">
        <v>18629.64</v>
      </c>
      <c r="H71" s="30">
        <f>G71-F71</f>
        <v>-54.597600000000966</v>
      </c>
      <c r="I71" t="s">
        <v>2930</v>
      </c>
      <c r="J71" s="52" t="s">
        <v>196</v>
      </c>
      <c r="K71" s="31">
        <v>43580</v>
      </c>
      <c r="L71" s="31">
        <v>43581</v>
      </c>
      <c r="M71" s="28" t="s">
        <v>45</v>
      </c>
      <c r="N71" s="28" t="s">
        <v>2923</v>
      </c>
      <c r="O71" s="2"/>
      <c r="P71" s="32">
        <f>0.7188+0.1</f>
        <v>0.81879999999999997</v>
      </c>
      <c r="Q71" s="140">
        <v>26000</v>
      </c>
      <c r="R71" s="190">
        <v>128926</v>
      </c>
      <c r="S71" s="194">
        <v>18.88</v>
      </c>
      <c r="T71" s="141">
        <f>X71*F71*0.005</f>
        <v>3971.9784363662188</v>
      </c>
      <c r="V71" s="2">
        <v>0.12</v>
      </c>
      <c r="W71" s="2">
        <v>0.3</v>
      </c>
      <c r="X71" s="2">
        <f>IF(O71&gt;0,O71,((P71*2.2046*S71)+(Q71+R71)/G71)+V71)</f>
        <v>42.516890669022736</v>
      </c>
      <c r="Y71" s="2">
        <f>IF(O71&gt;0,O71,((P71*2.2046*S71)+(Q71+R71+T71)/G71)+V71+W71)</f>
        <v>43.030098140362284</v>
      </c>
      <c r="Z71" s="3">
        <f>Y71*F71</f>
        <v>803984.57760584704</v>
      </c>
      <c r="AA71" s="34">
        <v>43571</v>
      </c>
      <c r="AE71" s="3"/>
      <c r="AF71" s="35">
        <v>41.55</v>
      </c>
    </row>
    <row r="72" spans="1:33" x14ac:dyDescent="0.25">
      <c r="A72" s="172"/>
      <c r="B72" s="27" t="s">
        <v>26</v>
      </c>
      <c r="C72" t="s">
        <v>27</v>
      </c>
      <c r="D72" s="28" t="s">
        <v>44</v>
      </c>
      <c r="E72">
        <v>250</v>
      </c>
      <c r="F72" s="29">
        <v>22930</v>
      </c>
      <c r="G72" s="30">
        <v>22970</v>
      </c>
      <c r="H72" s="30">
        <f t="shared" ref="H72:H75" si="46">G72-F72</f>
        <v>40</v>
      </c>
      <c r="I72" s="191" t="s">
        <v>3297</v>
      </c>
      <c r="K72" s="31"/>
      <c r="L72" s="31">
        <v>43581</v>
      </c>
      <c r="M72" s="28" t="s">
        <v>45</v>
      </c>
      <c r="O72" s="2">
        <v>34.6</v>
      </c>
      <c r="P72" s="32"/>
      <c r="Q72" s="138">
        <v>22800</v>
      </c>
      <c r="R72" s="2"/>
      <c r="S72" s="33"/>
      <c r="T72" s="141">
        <f>X72*F72*0.0045</f>
        <v>3672.0203822377007</v>
      </c>
      <c r="U72" s="2">
        <f>E72*5</f>
        <v>1250</v>
      </c>
      <c r="W72" s="2">
        <v>0.3</v>
      </c>
      <c r="X72" s="2">
        <f>((O72*F72)+Q72+R72+S72+U72)/G72</f>
        <v>35.586765346103611</v>
      </c>
      <c r="Y72" s="2">
        <f>((O72*F72)+Q72+R72+S72+T72+U72)/G72+W72</f>
        <v>36.046626921298987</v>
      </c>
      <c r="Z72" s="3">
        <f>Y72*G72</f>
        <v>827991.02038223774</v>
      </c>
      <c r="AA72" s="34">
        <v>43588</v>
      </c>
      <c r="AE72" s="3"/>
      <c r="AF72" s="35">
        <v>41.18</v>
      </c>
      <c r="AG72">
        <f>SUM(AF67:AF72)/5</f>
        <v>41.097999999999999</v>
      </c>
    </row>
    <row r="73" spans="1:33" x14ac:dyDescent="0.25">
      <c r="A73" s="172"/>
      <c r="B73" s="27" t="s">
        <v>26</v>
      </c>
      <c r="C73" t="s">
        <v>27</v>
      </c>
      <c r="D73" s="28" t="s">
        <v>1718</v>
      </c>
      <c r="E73">
        <v>130</v>
      </c>
      <c r="F73" s="29">
        <v>16930</v>
      </c>
      <c r="G73" s="30">
        <v>13610</v>
      </c>
      <c r="H73" s="30">
        <f t="shared" si="46"/>
        <v>-3320</v>
      </c>
      <c r="I73" s="28" t="s">
        <v>3257</v>
      </c>
      <c r="K73" s="31"/>
      <c r="L73" s="31">
        <v>43581</v>
      </c>
      <c r="M73" s="28" t="s">
        <v>45</v>
      </c>
      <c r="O73" s="2">
        <v>26</v>
      </c>
      <c r="P73" s="32"/>
      <c r="Q73" s="140">
        <v>18100</v>
      </c>
      <c r="R73" s="2">
        <f t="shared" ref="R73" si="47">75.45*E73</f>
        <v>9808.5</v>
      </c>
      <c r="S73" s="33">
        <f>-38*E73</f>
        <v>-4940</v>
      </c>
      <c r="T73" s="141">
        <f>X73*F73*0.0045</f>
        <v>2596.2151890154296</v>
      </c>
      <c r="U73" s="2">
        <f>E73*5</f>
        <v>650</v>
      </c>
      <c r="W73" s="2">
        <v>0.3</v>
      </c>
      <c r="X73" s="2">
        <f>((O73*F73)+Q73+R73+S73+U73)/G73</f>
        <v>34.077773695811906</v>
      </c>
      <c r="Y73" s="2">
        <f>((O73*F73)+Q73+R73+S73+T73+U73)/G73+W73</f>
        <v>34.56853160830385</v>
      </c>
      <c r="Z73" s="3">
        <f>Y73*G73</f>
        <v>470477.71518901538</v>
      </c>
      <c r="AA73" s="34">
        <v>43594</v>
      </c>
      <c r="AC73" t="s">
        <v>3260</v>
      </c>
      <c r="AE73" s="3"/>
      <c r="AF73" s="35">
        <v>43.04</v>
      </c>
    </row>
    <row r="74" spans="1:33" x14ac:dyDescent="0.25">
      <c r="A74" s="172"/>
      <c r="B74" s="27" t="s">
        <v>1805</v>
      </c>
      <c r="C74" t="s">
        <v>2450</v>
      </c>
      <c r="D74" s="28" t="s">
        <v>1806</v>
      </c>
      <c r="E74" t="s">
        <v>2455</v>
      </c>
      <c r="F74" s="29">
        <f>849+857+880+851</f>
        <v>3437</v>
      </c>
      <c r="G74" s="30">
        <v>3437</v>
      </c>
      <c r="H74" s="30">
        <f t="shared" si="46"/>
        <v>0</v>
      </c>
      <c r="I74" s="28" t="s">
        <v>3266</v>
      </c>
      <c r="K74" s="31"/>
      <c r="L74" s="31">
        <v>43581</v>
      </c>
      <c r="M74" s="28" t="s">
        <v>45</v>
      </c>
      <c r="O74" s="2">
        <v>17.5</v>
      </c>
      <c r="P74" s="32"/>
      <c r="Q74" s="2"/>
      <c r="R74" s="2"/>
      <c r="S74" s="33"/>
      <c r="T74" s="33"/>
      <c r="U74" s="2"/>
      <c r="W74" s="2"/>
      <c r="X74" s="2">
        <f>IF(O74&gt;0,O74,((P74*2.2046*S74)+(Q74+R74)/G74)+V74)</f>
        <v>17.5</v>
      </c>
      <c r="Y74" s="2">
        <f>IF(O74&gt;0,O74,((P74*2.2046*S74)+(Q74+R74+T74)/G74)+V74+W74)</f>
        <v>17.5</v>
      </c>
      <c r="Z74" s="3">
        <f>Y74*F74</f>
        <v>60147.5</v>
      </c>
      <c r="AA74" s="34">
        <v>43588</v>
      </c>
      <c r="AE74" s="3"/>
      <c r="AF74" s="35"/>
    </row>
    <row r="75" spans="1:33" x14ac:dyDescent="0.25">
      <c r="A75" s="172"/>
      <c r="B75" s="27" t="s">
        <v>30</v>
      </c>
      <c r="C75" t="s">
        <v>40</v>
      </c>
      <c r="D75" s="28" t="s">
        <v>40</v>
      </c>
      <c r="E75" t="s">
        <v>37</v>
      </c>
      <c r="F75" s="29">
        <f>42065*0.4536</f>
        <v>19080.684000000001</v>
      </c>
      <c r="G75" s="196">
        <v>19112.900000000001</v>
      </c>
      <c r="H75" s="30">
        <f t="shared" si="46"/>
        <v>32.216000000000349</v>
      </c>
      <c r="I75" s="28" t="s">
        <v>2931</v>
      </c>
      <c r="J75" s="52" t="s">
        <v>196</v>
      </c>
      <c r="K75" s="31">
        <v>43581</v>
      </c>
      <c r="L75" s="31">
        <v>43582</v>
      </c>
      <c r="M75" s="28" t="s">
        <v>46</v>
      </c>
      <c r="N75" s="28" t="s">
        <v>2924</v>
      </c>
      <c r="O75" s="2"/>
      <c r="P75" s="32">
        <f>0.7295+0.105</f>
        <v>0.83450000000000002</v>
      </c>
      <c r="Q75" s="140">
        <v>26000</v>
      </c>
      <c r="R75" s="190">
        <v>134214</v>
      </c>
      <c r="S75" s="194">
        <v>18.863</v>
      </c>
      <c r="T75" s="141">
        <f>X75*F75*0.005</f>
        <v>4121.9521913127764</v>
      </c>
      <c r="V75" s="2">
        <v>0.12</v>
      </c>
      <c r="W75" s="2">
        <v>0.3</v>
      </c>
      <c r="X75" s="2">
        <f>IF(O75&gt;0,O75,((P75*2.2046*S75)+(Q75+R75)/G75)+V75)</f>
        <v>43.205497154219167</v>
      </c>
      <c r="Y75" s="2">
        <f>IF(O75&gt;0,O75,((P75*2.2046*S75)+(Q75+R75+T75)/G75)+V75+W75)</f>
        <v>43.721160512020056</v>
      </c>
      <c r="Z75" s="3">
        <f>Y75*F75</f>
        <v>834229.64784313296</v>
      </c>
      <c r="AA75" s="34">
        <v>43577</v>
      </c>
      <c r="AE75" s="3">
        <f>(AF73+AF75)/2</f>
        <v>43.405000000000001</v>
      </c>
      <c r="AF75" s="35">
        <v>43.77</v>
      </c>
      <c r="AG75">
        <f>SUM(AF67:AF75)/7</f>
        <v>41.75714285714286</v>
      </c>
    </row>
    <row r="76" spans="1:33" ht="15.75" thickBot="1" x14ac:dyDescent="0.3">
      <c r="A76" s="173"/>
      <c r="B76" s="41"/>
      <c r="C76" s="4"/>
      <c r="D76" s="4"/>
      <c r="E76" s="4"/>
      <c r="F76" s="42"/>
      <c r="G76" s="42"/>
      <c r="H76" s="42"/>
      <c r="I76" s="7"/>
      <c r="J76" s="4"/>
      <c r="K76" s="8"/>
      <c r="L76" s="8"/>
      <c r="M76" s="4"/>
      <c r="N76" s="4"/>
      <c r="O76" s="9"/>
      <c r="P76" s="10"/>
      <c r="Q76" s="9"/>
      <c r="R76" s="9"/>
      <c r="S76" s="9"/>
      <c r="T76" s="9"/>
      <c r="U76" s="9"/>
      <c r="V76" s="9"/>
      <c r="W76" s="9"/>
      <c r="X76" s="9"/>
      <c r="Y76" s="9"/>
      <c r="Z76" s="13"/>
      <c r="AA76" s="43"/>
      <c r="AB76" s="3"/>
      <c r="AC76" s="35"/>
    </row>
    <row r="77" spans="1:33" x14ac:dyDescent="0.25">
      <c r="A77" s="174"/>
      <c r="B77" s="14" t="s">
        <v>26</v>
      </c>
      <c r="C77" s="14" t="s">
        <v>27</v>
      </c>
      <c r="D77" s="15" t="s">
        <v>2721</v>
      </c>
      <c r="E77" s="14">
        <v>200</v>
      </c>
      <c r="F77" s="16">
        <v>23680</v>
      </c>
      <c r="G77" s="17">
        <v>20250</v>
      </c>
      <c r="H77" s="30">
        <f t="shared" ref="H77:H82" si="48">G77-F77</f>
        <v>-3430</v>
      </c>
      <c r="I77" s="19" t="s">
        <v>3280</v>
      </c>
      <c r="J77" s="121">
        <v>199</v>
      </c>
      <c r="K77" s="20"/>
      <c r="L77" s="20">
        <v>43583</v>
      </c>
      <c r="M77" s="15" t="s">
        <v>28</v>
      </c>
      <c r="N77" s="14"/>
      <c r="O77" s="21">
        <v>26.5</v>
      </c>
      <c r="P77" s="22"/>
      <c r="Q77" s="139">
        <v>22800</v>
      </c>
      <c r="R77" s="2">
        <f t="shared" ref="R77:R79" si="49">75.45*E77</f>
        <v>15090</v>
      </c>
      <c r="S77" s="21">
        <f>-38*E77</f>
        <v>-7600</v>
      </c>
      <c r="T77" s="157">
        <f>X77*F77*0.0045</f>
        <v>3466.8046222222224</v>
      </c>
      <c r="U77" s="21">
        <f>E77*5</f>
        <v>1000</v>
      </c>
      <c r="V77" s="14"/>
      <c r="W77" s="21">
        <v>0.3</v>
      </c>
      <c r="X77" s="21">
        <f>((O77*F77)+Q77+R77+S77+U77)/G77</f>
        <v>32.533827160493829</v>
      </c>
      <c r="Y77" s="24">
        <f>((O77*F77)+Q77+R77+S77+T77+U77)/G77+W77</f>
        <v>33.005027388751714</v>
      </c>
      <c r="Z77" s="24">
        <f>Y77*G77</f>
        <v>668351.8046222222</v>
      </c>
      <c r="AA77" s="25">
        <v>43598</v>
      </c>
      <c r="AB77" s="3"/>
      <c r="AC77" s="3"/>
    </row>
    <row r="78" spans="1:33" x14ac:dyDescent="0.25">
      <c r="A78" s="175"/>
      <c r="B78" s="27" t="s">
        <v>26</v>
      </c>
      <c r="C78" t="s">
        <v>27</v>
      </c>
      <c r="D78" s="28" t="s">
        <v>1718</v>
      </c>
      <c r="E78">
        <v>130</v>
      </c>
      <c r="F78" s="29">
        <v>16805</v>
      </c>
      <c r="G78" s="30">
        <v>11800</v>
      </c>
      <c r="H78" s="30">
        <f t="shared" si="48"/>
        <v>-5005</v>
      </c>
      <c r="I78" s="28" t="s">
        <v>3281</v>
      </c>
      <c r="K78" s="31"/>
      <c r="L78" s="31">
        <v>43583</v>
      </c>
      <c r="M78" s="28" t="s">
        <v>28</v>
      </c>
      <c r="O78" s="2">
        <v>26.5</v>
      </c>
      <c r="P78" s="32"/>
      <c r="Q78" s="140">
        <v>18100</v>
      </c>
      <c r="R78" s="2">
        <f t="shared" si="49"/>
        <v>9808.5</v>
      </c>
      <c r="S78" s="33">
        <f>-38*E78</f>
        <v>-4940</v>
      </c>
      <c r="T78" s="141">
        <f>X78*F78*0.0045</f>
        <v>3005.3599150423724</v>
      </c>
      <c r="U78" s="2">
        <f>E78*5</f>
        <v>650</v>
      </c>
      <c r="W78" s="2">
        <v>0.3</v>
      </c>
      <c r="X78" s="2">
        <f>((O78*F78)+Q78+R78+S78+U78)/G78</f>
        <v>39.741610169491523</v>
      </c>
      <c r="Y78" s="2">
        <f>((O78*F78)+Q78+R78+S78+T78+U78)/G78+W78</f>
        <v>40.296301687715449</v>
      </c>
      <c r="Z78" s="3">
        <f>Y78*G78</f>
        <v>475496.3599150423</v>
      </c>
      <c r="AA78" s="34">
        <v>43598</v>
      </c>
      <c r="AB78" s="3">
        <v>35.6</v>
      </c>
      <c r="AC78" s="35" t="s">
        <v>3282</v>
      </c>
    </row>
    <row r="79" spans="1:33" x14ac:dyDescent="0.25">
      <c r="A79" s="175"/>
      <c r="B79" s="27" t="s">
        <v>26</v>
      </c>
      <c r="C79" t="s">
        <v>27</v>
      </c>
      <c r="D79" s="28" t="s">
        <v>1718</v>
      </c>
      <c r="E79">
        <v>200</v>
      </c>
      <c r="F79" s="29">
        <v>24060</v>
      </c>
      <c r="G79" s="30">
        <v>18670</v>
      </c>
      <c r="H79" s="30">
        <f t="shared" si="48"/>
        <v>-5390</v>
      </c>
      <c r="I79" s="28" t="s">
        <v>3301</v>
      </c>
      <c r="K79" s="31"/>
      <c r="L79" s="31">
        <v>43584</v>
      </c>
      <c r="M79" s="28" t="s">
        <v>29</v>
      </c>
      <c r="O79" s="2">
        <v>27.5</v>
      </c>
      <c r="P79" s="32"/>
      <c r="Q79" s="138">
        <v>22800</v>
      </c>
      <c r="R79" s="2">
        <f t="shared" si="49"/>
        <v>15090</v>
      </c>
      <c r="S79" s="33">
        <f>-38*E79</f>
        <v>-7600</v>
      </c>
      <c r="T79" s="141">
        <f>X79*F79*0.0045</f>
        <v>4018.45815747188</v>
      </c>
      <c r="U79" s="2">
        <f>E79*5</f>
        <v>1000</v>
      </c>
      <c r="W79" s="2">
        <v>0.3</v>
      </c>
      <c r="X79" s="2">
        <f>((O79*F79)+Q79+R79+S79+U79)/G79</f>
        <v>37.115158007498664</v>
      </c>
      <c r="Y79" s="2">
        <f>((O79*F79)+Q79+R79+S79+T79+U79)/G79+W79</f>
        <v>37.630394116629446</v>
      </c>
      <c r="Z79" s="3">
        <f>Y79*G79</f>
        <v>702559.45815747173</v>
      </c>
      <c r="AA79" s="34">
        <v>43598</v>
      </c>
      <c r="AB79" s="3"/>
      <c r="AC79" s="35"/>
    </row>
    <row r="80" spans="1:33" x14ac:dyDescent="0.25">
      <c r="A80" s="175"/>
      <c r="B80" s="27" t="s">
        <v>26</v>
      </c>
      <c r="C80" t="s">
        <v>27</v>
      </c>
      <c r="D80" s="28" t="s">
        <v>2721</v>
      </c>
      <c r="E80">
        <v>130</v>
      </c>
      <c r="F80" s="29">
        <v>14070</v>
      </c>
      <c r="G80" s="30">
        <v>10910</v>
      </c>
      <c r="H80" s="30">
        <f t="shared" ref="H80:H81" si="50">G80-F80</f>
        <v>-3160</v>
      </c>
      <c r="I80" s="28" t="s">
        <v>3302</v>
      </c>
      <c r="J80" s="55">
        <v>129</v>
      </c>
      <c r="K80" s="31"/>
      <c r="L80" s="31">
        <v>43584</v>
      </c>
      <c r="M80" s="28" t="s">
        <v>29</v>
      </c>
      <c r="O80" s="2">
        <v>27.5</v>
      </c>
      <c r="P80" s="32"/>
      <c r="Q80" s="140">
        <v>18100</v>
      </c>
      <c r="R80" s="2">
        <f t="shared" ref="R80" si="51">75.45*E80</f>
        <v>9808.5</v>
      </c>
      <c r="S80" s="33">
        <f>-38*E80</f>
        <v>-4940</v>
      </c>
      <c r="T80" s="141">
        <f>X80*F80*0.0045</f>
        <v>2382.5446106782761</v>
      </c>
      <c r="U80" s="2">
        <f>E80*5</f>
        <v>650</v>
      </c>
      <c r="W80" s="2">
        <v>0.3</v>
      </c>
      <c r="X80" s="2">
        <f>((O80*F80)+Q80+R80+S80+U80)/G80</f>
        <v>37.63001833180568</v>
      </c>
      <c r="Y80" s="2">
        <f>((O80*F80)+Q80+R80+S80+T80+U80)/G80+W80</f>
        <v>38.148400055974172</v>
      </c>
      <c r="Z80" s="3">
        <f>Y80*G80</f>
        <v>416199.04461067822</v>
      </c>
      <c r="AA80" s="34">
        <v>43598</v>
      </c>
      <c r="AB80" s="3">
        <v>37.82</v>
      </c>
      <c r="AC80" s="35" t="s">
        <v>3303</v>
      </c>
    </row>
    <row r="81" spans="1:32" x14ac:dyDescent="0.25">
      <c r="A81" s="175"/>
      <c r="B81" s="27" t="s">
        <v>1909</v>
      </c>
      <c r="C81" t="s">
        <v>3397</v>
      </c>
      <c r="D81" s="28" t="s">
        <v>1806</v>
      </c>
      <c r="E81" t="s">
        <v>2007</v>
      </c>
      <c r="F81" s="29">
        <v>1736</v>
      </c>
      <c r="G81" s="30">
        <v>1736</v>
      </c>
      <c r="H81" s="30">
        <f t="shared" si="50"/>
        <v>0</v>
      </c>
      <c r="I81" s="28" t="s">
        <v>3398</v>
      </c>
      <c r="J81" s="191"/>
      <c r="K81" s="201"/>
      <c r="L81" s="201">
        <v>43584</v>
      </c>
      <c r="M81" s="199" t="s">
        <v>29</v>
      </c>
      <c r="N81" s="191"/>
      <c r="O81" s="190">
        <v>17.5</v>
      </c>
      <c r="P81" s="202"/>
      <c r="Q81" s="190"/>
      <c r="R81" s="2"/>
      <c r="S81" s="33"/>
      <c r="T81" s="33">
        <f>X81*F81*0.0045</f>
        <v>136.70999999999998</v>
      </c>
      <c r="U81" s="2"/>
      <c r="W81" s="2"/>
      <c r="X81" s="2">
        <f>IF(O81&gt;0,O81,((P81*2.2046*S81)+(Q81+R81)/G81)+V81)</f>
        <v>17.5</v>
      </c>
      <c r="Y81" s="2">
        <f>IF(O81&gt;0,O81,((P81*2.2046*S81)+(Q81+R81+T81)/G81)+V81+W81)</f>
        <v>17.5</v>
      </c>
      <c r="Z81" s="3">
        <f>Y81*F81</f>
        <v>30380</v>
      </c>
      <c r="AA81" s="34">
        <v>43591</v>
      </c>
      <c r="AB81" s="3"/>
      <c r="AC81" s="35"/>
    </row>
    <row r="82" spans="1:32" x14ac:dyDescent="0.25">
      <c r="A82" s="175"/>
      <c r="B82" s="27" t="s">
        <v>30</v>
      </c>
      <c r="C82" s="28" t="s">
        <v>1790</v>
      </c>
      <c r="D82" s="28" t="s">
        <v>1790</v>
      </c>
      <c r="E82" t="s">
        <v>32</v>
      </c>
      <c r="F82" s="29">
        <f>41960*0.4536</f>
        <v>19033.056</v>
      </c>
      <c r="G82" s="196">
        <v>19018.18</v>
      </c>
      <c r="H82" s="30">
        <f t="shared" si="48"/>
        <v>-14.876000000000204</v>
      </c>
      <c r="I82" s="28" t="s">
        <v>2937</v>
      </c>
      <c r="J82" s="52" t="s">
        <v>196</v>
      </c>
      <c r="K82" s="31">
        <v>43584</v>
      </c>
      <c r="L82" s="31">
        <v>43585</v>
      </c>
      <c r="M82" s="28" t="s">
        <v>48</v>
      </c>
      <c r="N82" s="28" t="s">
        <v>3245</v>
      </c>
      <c r="O82" s="2"/>
      <c r="P82" s="32">
        <f>0.7505+0.095</f>
        <v>0.84549999999999992</v>
      </c>
      <c r="Q82" s="140">
        <v>26000</v>
      </c>
      <c r="R82" s="190">
        <v>138248</v>
      </c>
      <c r="S82" s="194">
        <v>18.989000000000001</v>
      </c>
      <c r="T82" s="141">
        <f t="shared" ref="T82" si="52">X82*F82*0.005</f>
        <v>4201.7051583256725</v>
      </c>
      <c r="V82" s="2">
        <v>0.12</v>
      </c>
      <c r="W82" s="2">
        <v>0.3</v>
      </c>
      <c r="X82" s="2">
        <f>IF(O82&gt;0,O82,((P82*2.2046*S82)+(Q82+R82)/G82)+V82)</f>
        <v>44.151660756167296</v>
      </c>
      <c r="Y82" s="2">
        <f>IF(O82&gt;0,O82,((P82*2.2046*S82)+(Q82+R82+T82)/G82)+V82+W82)</f>
        <v>44.672591736856589</v>
      </c>
      <c r="Z82" s="3">
        <f>Y82*F82</f>
        <v>850255.94019272877</v>
      </c>
      <c r="AA82" s="34">
        <v>43584</v>
      </c>
      <c r="AC82" s="35"/>
    </row>
    <row r="83" spans="1:32" x14ac:dyDescent="0.25">
      <c r="A83" s="175"/>
      <c r="B83" s="27" t="s">
        <v>30</v>
      </c>
      <c r="C83" s="28" t="s">
        <v>35</v>
      </c>
      <c r="D83" s="28" t="s">
        <v>36</v>
      </c>
      <c r="E83" t="s">
        <v>37</v>
      </c>
      <c r="F83" s="29">
        <f>41575*0.4536</f>
        <v>18858.420000000002</v>
      </c>
      <c r="G83" s="196">
        <v>18803.47</v>
      </c>
      <c r="H83" s="30">
        <f>G83-F83</f>
        <v>-54.950000000000728</v>
      </c>
      <c r="I83" t="s">
        <v>2938</v>
      </c>
      <c r="J83" s="52" t="s">
        <v>196</v>
      </c>
      <c r="K83" s="31">
        <v>43584</v>
      </c>
      <c r="L83" s="31">
        <v>43585</v>
      </c>
      <c r="M83" s="28" t="s">
        <v>48</v>
      </c>
      <c r="N83" s="28" t="s">
        <v>2932</v>
      </c>
      <c r="O83" s="2"/>
      <c r="P83" s="32">
        <f>0.7573+0.1</f>
        <v>0.85729999999999995</v>
      </c>
      <c r="Q83" s="140">
        <v>26000</v>
      </c>
      <c r="R83" s="190">
        <v>140200</v>
      </c>
      <c r="S83" s="194">
        <v>19.045000000000002</v>
      </c>
      <c r="T83" s="141">
        <f>X83*F83*0.005</f>
        <v>4238.7987937275229</v>
      </c>
      <c r="V83" s="2">
        <v>0.12</v>
      </c>
      <c r="W83" s="2">
        <v>0.3</v>
      </c>
      <c r="X83" s="2">
        <f>IF(O83&gt;0,O83,((P83*2.2046*S83)+(Q83+R83)/G83)+V83)</f>
        <v>44.953912297292383</v>
      </c>
      <c r="Y83" s="2">
        <f>IF(O83&gt;0,O83,((P83*2.2046*S83)+(Q83+R83+T83)/G83)+V83+W83)</f>
        <v>45.479338710275066</v>
      </c>
      <c r="Z83" s="3">
        <f>Y83*F83</f>
        <v>857668.4707206256</v>
      </c>
      <c r="AA83" s="34">
        <v>43585</v>
      </c>
      <c r="AB83" s="3"/>
      <c r="AC83" s="35"/>
    </row>
    <row r="84" spans="1:32" x14ac:dyDescent="0.25">
      <c r="A84" s="175"/>
      <c r="B84" s="27" t="s">
        <v>26</v>
      </c>
      <c r="C84" t="s">
        <v>27</v>
      </c>
      <c r="D84" s="28" t="s">
        <v>1718</v>
      </c>
      <c r="E84">
        <v>200</v>
      </c>
      <c r="F84" s="29">
        <v>23650</v>
      </c>
      <c r="G84" s="30">
        <v>16900</v>
      </c>
      <c r="H84" s="30">
        <f>G84-F84</f>
        <v>-6750</v>
      </c>
      <c r="I84" s="28" t="s">
        <v>3325</v>
      </c>
      <c r="K84" s="31"/>
      <c r="L84" s="31">
        <v>43585</v>
      </c>
      <c r="M84" s="28" t="s">
        <v>48</v>
      </c>
      <c r="O84" s="2">
        <v>27.5</v>
      </c>
      <c r="P84" s="32"/>
      <c r="Q84" s="138">
        <v>22800</v>
      </c>
      <c r="R84" s="190">
        <f>75.45*E84</f>
        <v>15090</v>
      </c>
      <c r="S84" s="197">
        <f>-38*E84</f>
        <v>-7600</v>
      </c>
      <c r="T84" s="141">
        <f>X84*F84*0.005</f>
        <v>4769.6382396449708</v>
      </c>
      <c r="U84" s="2">
        <f>E84*5</f>
        <v>1000</v>
      </c>
      <c r="W84" s="2">
        <v>0.3</v>
      </c>
      <c r="X84" s="2">
        <f>((O84*F84)+Q84+R84+S84+U84)/G84</f>
        <v>40.335207100591717</v>
      </c>
      <c r="Y84" s="2">
        <f>((O84*F84)+Q84+R84+S84+T84+U84)/G84+W84</f>
        <v>40.917434215363606</v>
      </c>
      <c r="Z84" s="3">
        <f>Y84*G84</f>
        <v>691504.63823964493</v>
      </c>
      <c r="AA84" s="34">
        <v>43599</v>
      </c>
      <c r="AB84" s="3">
        <v>36.700000000000003</v>
      </c>
      <c r="AC84" s="35"/>
      <c r="AF84" s="30"/>
    </row>
    <row r="85" spans="1:32" x14ac:dyDescent="0.25">
      <c r="A85" s="175"/>
      <c r="B85" s="27" t="s">
        <v>26</v>
      </c>
      <c r="C85" t="s">
        <v>27</v>
      </c>
      <c r="D85" s="28" t="s">
        <v>2862</v>
      </c>
      <c r="E85">
        <v>132</v>
      </c>
      <c r="F85" s="29">
        <v>13290</v>
      </c>
      <c r="G85" s="30">
        <v>12710</v>
      </c>
      <c r="H85" s="30">
        <f>G85-F85</f>
        <v>-580</v>
      </c>
      <c r="I85" s="28" t="s">
        <v>3326</v>
      </c>
      <c r="K85" s="31"/>
      <c r="L85" s="31">
        <v>43585</v>
      </c>
      <c r="M85" s="28" t="s">
        <v>48</v>
      </c>
      <c r="O85" s="2">
        <v>27.5</v>
      </c>
      <c r="P85" s="32"/>
      <c r="Q85" s="140">
        <v>18100</v>
      </c>
      <c r="R85" s="190">
        <f>75.45*E85</f>
        <v>9959.4</v>
      </c>
      <c r="S85" s="197">
        <f>-38*E85</f>
        <v>-5016</v>
      </c>
      <c r="T85" s="141">
        <f>X85*F85*0.005</f>
        <v>2034.6895892997638</v>
      </c>
      <c r="U85" s="2">
        <f>E85*5</f>
        <v>660</v>
      </c>
      <c r="W85" s="2">
        <v>0.3</v>
      </c>
      <c r="X85" s="2">
        <f>((O85*F85)+Q85+R85+S85+U85)/G85</f>
        <v>30.619858379228955</v>
      </c>
      <c r="Y85" s="2">
        <f>((O85*F85)+Q85+R85+S85+T85+U85)/G85+W85</f>
        <v>31.07994410616049</v>
      </c>
      <c r="Z85" s="3">
        <f>Y85*G85</f>
        <v>395026.08958929981</v>
      </c>
      <c r="AA85" s="34">
        <v>43599</v>
      </c>
      <c r="AB85" s="3"/>
      <c r="AC85" s="35" t="s">
        <v>3330</v>
      </c>
      <c r="AF85" s="30"/>
    </row>
    <row r="86" spans="1:32" ht="15.75" thickBot="1" x14ac:dyDescent="0.3">
      <c r="A86" s="176"/>
      <c r="B86" s="41"/>
      <c r="C86" s="4"/>
      <c r="D86" s="4"/>
      <c r="E86" s="4"/>
      <c r="F86" s="42"/>
      <c r="G86" s="42"/>
      <c r="H86" s="42"/>
      <c r="I86" s="7"/>
      <c r="J86" s="4"/>
      <c r="K86" s="8"/>
      <c r="L86" s="8"/>
      <c r="M86" s="4"/>
      <c r="N86" s="4"/>
      <c r="O86" s="9"/>
      <c r="P86" s="10"/>
      <c r="Q86" s="9"/>
      <c r="R86" s="9"/>
      <c r="S86" s="9"/>
      <c r="T86" s="9"/>
      <c r="U86" s="9"/>
      <c r="V86" s="9"/>
      <c r="W86" s="9"/>
      <c r="X86" s="9"/>
      <c r="Y86" s="9"/>
      <c r="Z86" s="13"/>
      <c r="AA86" s="43"/>
      <c r="AB86" s="3"/>
      <c r="AC86" s="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F96"/>
  <sheetViews>
    <sheetView topLeftCell="B55" zoomScale="80" zoomScaleNormal="80" workbookViewId="0">
      <selection activeCell="O66" sqref="O66"/>
    </sheetView>
  </sheetViews>
  <sheetFormatPr baseColWidth="10" defaultRowHeight="15" x14ac:dyDescent="0.25"/>
  <cols>
    <col min="1" max="1" width="4.5703125" customWidth="1"/>
    <col min="2" max="2" width="17.7109375" customWidth="1"/>
    <col min="3" max="3" width="13.5703125" customWidth="1"/>
    <col min="4" max="4" width="24.140625" bestFit="1" customWidth="1"/>
    <col min="8" max="8" width="9.42578125" customWidth="1"/>
    <col min="13" max="13" width="5.85546875" customWidth="1"/>
    <col min="14" max="14" width="9.5703125" customWidth="1"/>
    <col min="18" max="18" width="13.42578125" customWidth="1"/>
    <col min="21" max="21" width="11.42578125" customWidth="1"/>
    <col min="22" max="22" width="6.28515625" customWidth="1"/>
    <col min="23" max="23" width="11.42578125" customWidth="1"/>
    <col min="24" max="24" width="11.42578125" hidden="1" customWidth="1"/>
    <col min="26" max="26" width="16.85546875" customWidth="1"/>
  </cols>
  <sheetData>
    <row r="2" spans="1:29" x14ac:dyDescent="0.25">
      <c r="A2" s="1" t="s">
        <v>3201</v>
      </c>
      <c r="S2" s="2"/>
      <c r="W2" s="2"/>
      <c r="Z2" s="3"/>
      <c r="AB2" s="3">
        <v>44.68</v>
      </c>
    </row>
    <row r="3" spans="1:29" ht="30.75" thickBot="1" x14ac:dyDescent="0.3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 t="s">
        <v>7</v>
      </c>
      <c r="I3" s="7" t="s">
        <v>8</v>
      </c>
      <c r="J3" s="4" t="s">
        <v>9</v>
      </c>
      <c r="K3" s="8" t="s">
        <v>10</v>
      </c>
      <c r="L3" s="8" t="s">
        <v>11</v>
      </c>
      <c r="M3" s="4" t="s">
        <v>12</v>
      </c>
      <c r="N3" s="4" t="s">
        <v>13</v>
      </c>
      <c r="O3" s="9" t="s">
        <v>14</v>
      </c>
      <c r="P3" s="10" t="s">
        <v>15</v>
      </c>
      <c r="Q3" s="9" t="s">
        <v>16</v>
      </c>
      <c r="R3" s="11" t="s">
        <v>17</v>
      </c>
      <c r="S3" s="11" t="s">
        <v>18</v>
      </c>
      <c r="T3" s="12" t="s">
        <v>19</v>
      </c>
      <c r="U3" s="9" t="s">
        <v>20</v>
      </c>
      <c r="V3" s="9" t="s">
        <v>21</v>
      </c>
      <c r="W3" s="12" t="s">
        <v>22</v>
      </c>
      <c r="X3" s="9" t="s">
        <v>23</v>
      </c>
      <c r="Y3" s="9" t="s">
        <v>24</v>
      </c>
      <c r="Z3" s="13" t="s">
        <v>25</v>
      </c>
      <c r="AA3" s="9"/>
      <c r="AB3" s="3">
        <v>45.48</v>
      </c>
    </row>
    <row r="4" spans="1:29" x14ac:dyDescent="0.25">
      <c r="A4" s="175"/>
      <c r="B4" s="211" t="s">
        <v>30</v>
      </c>
      <c r="C4" s="212" t="s">
        <v>31</v>
      </c>
      <c r="D4" s="212" t="s">
        <v>31</v>
      </c>
      <c r="E4" s="213" t="s">
        <v>32</v>
      </c>
      <c r="F4" s="214">
        <v>18500</v>
      </c>
      <c r="G4" s="215">
        <v>18500</v>
      </c>
      <c r="H4" s="215">
        <f t="shared" ref="H4:H9" si="0">G4-F4</f>
        <v>0</v>
      </c>
      <c r="I4" s="212" t="s">
        <v>2939</v>
      </c>
      <c r="J4" s="48" t="s">
        <v>230</v>
      </c>
      <c r="K4" s="216">
        <v>43585</v>
      </c>
      <c r="L4" s="216">
        <v>43586</v>
      </c>
      <c r="M4" s="212" t="s">
        <v>33</v>
      </c>
      <c r="N4" s="212" t="s">
        <v>2932</v>
      </c>
      <c r="O4" s="217"/>
      <c r="P4" s="218">
        <f>0.7573+0.1</f>
        <v>0.85729999999999995</v>
      </c>
      <c r="Q4" s="217">
        <v>26000</v>
      </c>
      <c r="R4" s="217">
        <f>7000+(F4/0.4536*S4*P4*0.2)</f>
        <v>139768.47852733688</v>
      </c>
      <c r="S4" s="219">
        <v>18.986000000000001</v>
      </c>
      <c r="T4" s="220">
        <f t="shared" ref="T4:T7" si="1">X4*F4*0.005</f>
        <v>4159.1761298505844</v>
      </c>
      <c r="U4" s="213"/>
      <c r="V4" s="217">
        <v>0.12</v>
      </c>
      <c r="W4" s="217">
        <v>0.3</v>
      </c>
      <c r="X4" s="217">
        <f>IF(O4&gt;0,O4,((P4*2.2046*S4)+(Q4+R4)/G4)+V4)</f>
        <v>44.96406626865496</v>
      </c>
      <c r="Y4" s="217">
        <f>IF(O4&gt;0,O4,((P4*2.2046*S4)+(Q4+R4+T4)/G4)+V4+W4)</f>
        <v>45.488886599998231</v>
      </c>
      <c r="Z4" s="221">
        <f>Y4*F4</f>
        <v>841544.40209996724</v>
      </c>
      <c r="AA4" s="48" t="s">
        <v>230</v>
      </c>
      <c r="AB4" s="3">
        <v>45.32</v>
      </c>
      <c r="AC4" s="35"/>
    </row>
    <row r="5" spans="1:29" x14ac:dyDescent="0.25">
      <c r="A5" s="175"/>
      <c r="B5" s="27" t="s">
        <v>30</v>
      </c>
      <c r="C5" s="28" t="s">
        <v>31</v>
      </c>
      <c r="D5" s="28" t="s">
        <v>31</v>
      </c>
      <c r="E5" t="s">
        <v>37</v>
      </c>
      <c r="F5" s="29">
        <f>41451*0.4536</f>
        <v>18802.173600000002</v>
      </c>
      <c r="G5" s="196">
        <v>18797.689999999999</v>
      </c>
      <c r="H5" s="30">
        <f t="shared" si="0"/>
        <v>-4.4836000000032072</v>
      </c>
      <c r="I5" s="28" t="s">
        <v>2940</v>
      </c>
      <c r="J5" s="52" t="s">
        <v>196</v>
      </c>
      <c r="K5" s="31">
        <v>43585</v>
      </c>
      <c r="L5" s="31">
        <v>43586</v>
      </c>
      <c r="M5" s="28" t="s">
        <v>33</v>
      </c>
      <c r="N5" s="28" t="s">
        <v>2932</v>
      </c>
      <c r="O5" s="2"/>
      <c r="P5" s="32">
        <f>0.7573+0.1</f>
        <v>0.85729999999999995</v>
      </c>
      <c r="Q5" s="140">
        <v>26000</v>
      </c>
      <c r="R5" s="190">
        <v>136608</v>
      </c>
      <c r="S5" s="194">
        <v>18.986000000000001</v>
      </c>
      <c r="T5" s="141">
        <f t="shared" si="1"/>
        <v>4197.9643615988198</v>
      </c>
      <c r="V5" s="2">
        <v>0.12</v>
      </c>
      <c r="W5" s="2">
        <v>0.3</v>
      </c>
      <c r="X5" s="2">
        <f>IF(O5&gt;0,O5,((P5*2.2046*S5)+(Q5+R5)/G5)+V5)</f>
        <v>44.654032569923935</v>
      </c>
      <c r="Y5" s="2">
        <f>IF(O5&gt;0,O5,((P5*2.2046*S5)+(Q5+R5+T5)/G5)+V5+W5)</f>
        <v>45.177355986875632</v>
      </c>
      <c r="Z5" s="3">
        <f>Y5*F5</f>
        <v>849432.4900542351</v>
      </c>
      <c r="AA5" s="34">
        <v>43578</v>
      </c>
      <c r="AB5" s="3">
        <v>43.42</v>
      </c>
      <c r="AC5" s="35"/>
    </row>
    <row r="6" spans="1:29" x14ac:dyDescent="0.25">
      <c r="A6" s="175"/>
      <c r="B6" s="27" t="s">
        <v>30</v>
      </c>
      <c r="C6" s="28" t="s">
        <v>1790</v>
      </c>
      <c r="D6" s="28" t="s">
        <v>1790</v>
      </c>
      <c r="E6" t="s">
        <v>32</v>
      </c>
      <c r="F6" s="29">
        <f>41686.5*0.4536</f>
        <v>18908.9964</v>
      </c>
      <c r="G6" s="196">
        <v>18997.64</v>
      </c>
      <c r="H6" s="30">
        <f>G6-F6</f>
        <v>88.643599999999424</v>
      </c>
      <c r="I6" s="28" t="s">
        <v>2942</v>
      </c>
      <c r="J6" s="52" t="s">
        <v>1690</v>
      </c>
      <c r="K6" s="31">
        <v>43585</v>
      </c>
      <c r="L6" s="31">
        <v>43586</v>
      </c>
      <c r="M6" s="28" t="s">
        <v>45</v>
      </c>
      <c r="N6" s="28" t="s">
        <v>2934</v>
      </c>
      <c r="O6" s="2"/>
      <c r="P6" s="32">
        <f>0.7265+0.095</f>
        <v>0.82150000000000001</v>
      </c>
      <c r="Q6" s="140">
        <v>26000</v>
      </c>
      <c r="R6" s="190">
        <v>130657</v>
      </c>
      <c r="S6" s="194">
        <v>19.045000000000002</v>
      </c>
      <c r="T6" s="141">
        <f>X6*F6*0.005</f>
        <v>4052.0208618173037</v>
      </c>
      <c r="V6" s="2">
        <v>0.12</v>
      </c>
      <c r="W6" s="2">
        <v>0.3</v>
      </c>
      <c r="X6" s="2">
        <f>IF(O6&gt;0,O6,((P6*2.2046*S6)+(Q6+R6)/G6)+V6)</f>
        <v>42.858127169745551</v>
      </c>
      <c r="Y6" s="2">
        <f>IF(O6&gt;0,O6,((P6*2.2046*S6)+(Q6+R6+T6)/G6)+V6+W6)</f>
        <v>43.371417918586836</v>
      </c>
      <c r="Z6" s="3">
        <f>Y6*F6</f>
        <v>820109.98528545396</v>
      </c>
      <c r="AA6" s="34">
        <v>43585</v>
      </c>
      <c r="AB6" s="3">
        <v>43.88</v>
      </c>
      <c r="AC6" s="35"/>
    </row>
    <row r="7" spans="1:29" x14ac:dyDescent="0.25">
      <c r="A7" s="175"/>
      <c r="B7" s="27" t="s">
        <v>26</v>
      </c>
      <c r="C7" t="s">
        <v>27</v>
      </c>
      <c r="D7" s="28" t="s">
        <v>2721</v>
      </c>
      <c r="E7">
        <v>199</v>
      </c>
      <c r="F7" s="29">
        <v>22410</v>
      </c>
      <c r="G7" s="30">
        <f>11460+6230</f>
        <v>17690</v>
      </c>
      <c r="H7" s="30">
        <f t="shared" si="0"/>
        <v>-4720</v>
      </c>
      <c r="I7" s="28" t="s">
        <v>3327</v>
      </c>
      <c r="K7" s="31"/>
      <c r="L7" s="31">
        <v>43586</v>
      </c>
      <c r="M7" s="28" t="s">
        <v>33</v>
      </c>
      <c r="O7" s="2">
        <v>27.5</v>
      </c>
      <c r="P7" s="32"/>
      <c r="Q7" s="138">
        <v>22800</v>
      </c>
      <c r="R7" s="2">
        <f>75.45*E7</f>
        <v>15014.550000000001</v>
      </c>
      <c r="S7" s="153">
        <f>-38*E7</f>
        <v>-7562</v>
      </c>
      <c r="T7" s="141">
        <f t="shared" si="1"/>
        <v>4101.4642016676089</v>
      </c>
      <c r="U7" s="2">
        <f>E7*5</f>
        <v>995</v>
      </c>
      <c r="W7" s="2">
        <v>0.3</v>
      </c>
      <c r="X7" s="2">
        <f t="shared" ref="X7:X8" si="2">((O7*F7)+Q7+R7+S7+U7)/G7</f>
        <v>36.603875070661395</v>
      </c>
      <c r="Y7" s="2">
        <f>((O7*F7)+Q7+R7+S7+T7+U7)/G7+W7</f>
        <v>37.135727201903201</v>
      </c>
      <c r="Z7" s="3">
        <f>Y7*G7</f>
        <v>656931.01420166763</v>
      </c>
      <c r="AA7" s="34">
        <v>43599</v>
      </c>
      <c r="AB7" s="3">
        <v>12.94</v>
      </c>
      <c r="AC7" t="s">
        <v>3331</v>
      </c>
    </row>
    <row r="8" spans="1:29" x14ac:dyDescent="0.25">
      <c r="A8" s="175"/>
      <c r="B8" s="27" t="s">
        <v>26</v>
      </c>
      <c r="C8" t="s">
        <v>27</v>
      </c>
      <c r="D8" s="28" t="s">
        <v>2721</v>
      </c>
      <c r="E8">
        <v>200</v>
      </c>
      <c r="F8" s="29">
        <v>22470</v>
      </c>
      <c r="G8" s="30">
        <v>18230</v>
      </c>
      <c r="H8" s="30">
        <f t="shared" si="0"/>
        <v>-4240</v>
      </c>
      <c r="I8" s="28" t="s">
        <v>3328</v>
      </c>
      <c r="K8" s="31"/>
      <c r="L8" s="31">
        <v>43587</v>
      </c>
      <c r="M8" s="28" t="s">
        <v>41</v>
      </c>
      <c r="O8" s="2">
        <v>27.5</v>
      </c>
      <c r="P8" s="32"/>
      <c r="Q8" s="140">
        <v>22800</v>
      </c>
      <c r="R8" s="2">
        <f t="shared" ref="R8:R9" si="3">75.45*E8</f>
        <v>15090</v>
      </c>
      <c r="S8" s="33">
        <f>-38*E8</f>
        <v>-7600</v>
      </c>
      <c r="T8" s="141">
        <f>X8*F8*0.0045</f>
        <v>3600.9530842018644</v>
      </c>
      <c r="U8" s="2">
        <f>E8*5</f>
        <v>1000</v>
      </c>
      <c r="W8" s="2">
        <v>0.3</v>
      </c>
      <c r="X8" s="2">
        <f t="shared" si="2"/>
        <v>35.612452002194182</v>
      </c>
      <c r="Y8" s="2">
        <f>((O8*F8)+Q8+R8+S8+T8+U8)/G8+W8</f>
        <v>36.109980970060441</v>
      </c>
      <c r="Z8" s="3">
        <f>Y8*G8</f>
        <v>658284.95308420178</v>
      </c>
      <c r="AA8" s="34">
        <v>43570</v>
      </c>
      <c r="AB8" s="205">
        <v>43.2</v>
      </c>
      <c r="AC8" s="35" t="s">
        <v>3332</v>
      </c>
    </row>
    <row r="9" spans="1:29" x14ac:dyDescent="0.25">
      <c r="A9" s="175"/>
      <c r="B9" s="27" t="s">
        <v>26</v>
      </c>
      <c r="C9" t="s">
        <v>27</v>
      </c>
      <c r="D9" s="28" t="s">
        <v>1829</v>
      </c>
      <c r="E9">
        <v>131</v>
      </c>
      <c r="F9" s="29">
        <v>15230</v>
      </c>
      <c r="G9" s="196">
        <v>11720</v>
      </c>
      <c r="H9" s="30">
        <f t="shared" si="0"/>
        <v>-3510</v>
      </c>
      <c r="I9" s="28" t="s">
        <v>3329</v>
      </c>
      <c r="K9" s="31"/>
      <c r="L9" s="31">
        <v>43587</v>
      </c>
      <c r="M9" s="28" t="s">
        <v>41</v>
      </c>
      <c r="O9" s="2">
        <v>27.5</v>
      </c>
      <c r="P9" s="32"/>
      <c r="Q9" s="140">
        <v>18100</v>
      </c>
      <c r="R9" s="2">
        <f t="shared" si="3"/>
        <v>9883.9500000000007</v>
      </c>
      <c r="S9" s="33">
        <f>-38*E9</f>
        <v>-4978</v>
      </c>
      <c r="T9" s="141">
        <f>X9*F9*0.0045</f>
        <v>2587.5234286049481</v>
      </c>
      <c r="U9" s="2">
        <f>E9*5</f>
        <v>655</v>
      </c>
      <c r="W9" s="2">
        <v>0.3</v>
      </c>
      <c r="X9" s="2">
        <f>((O9*F9)+Q9+R9+S9+U9)/G9</f>
        <v>37.754773890784982</v>
      </c>
      <c r="Y9" s="2">
        <f>((O9*F9)+Q9+R9+S9+T9+U9)/G9+W9</f>
        <v>38.275552340324651</v>
      </c>
      <c r="Z9" s="3">
        <f>Y9*G9</f>
        <v>448589.47342860489</v>
      </c>
      <c r="AA9" s="34">
        <v>43570</v>
      </c>
      <c r="AB9" s="51">
        <f>SUM(AB2:AB8)/7</f>
        <v>39.84571428571428</v>
      </c>
      <c r="AC9" s="206" t="s">
        <v>3256</v>
      </c>
    </row>
    <row r="10" spans="1:29" x14ac:dyDescent="0.25">
      <c r="A10" s="175"/>
      <c r="B10" s="27" t="s">
        <v>30</v>
      </c>
      <c r="C10" s="28" t="s">
        <v>40</v>
      </c>
      <c r="D10" s="28" t="s">
        <v>40</v>
      </c>
      <c r="E10" t="s">
        <v>37</v>
      </c>
      <c r="F10" s="29">
        <f>42891*0.4536</f>
        <v>19455.357599999999</v>
      </c>
      <c r="G10" s="196">
        <v>19368.849999999999</v>
      </c>
      <c r="H10" s="30">
        <f>G10-F10</f>
        <v>-86.507600000000821</v>
      </c>
      <c r="I10" t="s">
        <v>2941</v>
      </c>
      <c r="J10" s="52" t="s">
        <v>196</v>
      </c>
      <c r="K10" s="31">
        <v>43587</v>
      </c>
      <c r="L10" s="31">
        <v>43588</v>
      </c>
      <c r="M10" s="28" t="s">
        <v>45</v>
      </c>
      <c r="N10" s="28" t="s">
        <v>2933</v>
      </c>
      <c r="O10" s="2"/>
      <c r="P10" s="32">
        <f>0.7265+0.105</f>
        <v>0.83150000000000002</v>
      </c>
      <c r="Q10" s="140">
        <v>26000</v>
      </c>
      <c r="R10" s="190">
        <v>133205</v>
      </c>
      <c r="S10" s="194">
        <v>19.114999999999998</v>
      </c>
      <c r="T10" s="141">
        <f>X10*F10*0.005</f>
        <v>4219.8499227653701</v>
      </c>
      <c r="V10" s="2">
        <v>0.12</v>
      </c>
      <c r="W10" s="2">
        <v>0.3</v>
      </c>
      <c r="X10" s="2">
        <f>IF(O10&gt;0,O10,((P10*2.2046*S10)+(Q10+R10)/G10)+V10)</f>
        <v>43.3798237948129</v>
      </c>
      <c r="Y10" s="2">
        <f>IF(O10&gt;0,O10,((P10*2.2046*S10)+(Q10+R10+T10)/G10)+V10+W10)</f>
        <v>43.897691655979948</v>
      </c>
      <c r="Z10" s="3">
        <f>Y10*F10</f>
        <v>854045.28898162604</v>
      </c>
      <c r="AA10" s="34">
        <v>43579</v>
      </c>
      <c r="AB10" s="3"/>
      <c r="AC10" s="35"/>
    </row>
    <row r="11" spans="1:29" x14ac:dyDescent="0.25">
      <c r="A11" s="175"/>
      <c r="B11" s="27" t="s">
        <v>30</v>
      </c>
      <c r="C11" s="28" t="s">
        <v>31</v>
      </c>
      <c r="D11" s="28" t="s">
        <v>31</v>
      </c>
      <c r="E11" t="s">
        <v>32</v>
      </c>
      <c r="F11" s="29">
        <f>41091*0.4536</f>
        <v>18638.8776</v>
      </c>
      <c r="G11" s="196">
        <v>18620.16</v>
      </c>
      <c r="H11" s="30">
        <f>G11-F11</f>
        <v>-18.717599999999948</v>
      </c>
      <c r="I11" t="s">
        <v>2943</v>
      </c>
      <c r="J11" s="52" t="s">
        <v>196</v>
      </c>
      <c r="K11" s="31">
        <v>43587</v>
      </c>
      <c r="L11" s="31">
        <v>43588</v>
      </c>
      <c r="M11" s="28" t="s">
        <v>45</v>
      </c>
      <c r="N11" s="28" t="s">
        <v>2935</v>
      </c>
      <c r="O11" s="2"/>
      <c r="P11" s="32">
        <f>0.7083+0.1</f>
        <v>0.80830000000000002</v>
      </c>
      <c r="Q11" s="140">
        <v>26000</v>
      </c>
      <c r="R11" s="190">
        <v>127336</v>
      </c>
      <c r="S11" s="194">
        <v>19.114999999999998</v>
      </c>
      <c r="T11" s="141">
        <f>X11*F11*0.005</f>
        <v>3953.0690630801591</v>
      </c>
      <c r="V11" s="2">
        <v>0.12</v>
      </c>
      <c r="W11" s="2">
        <v>0.3</v>
      </c>
      <c r="X11" s="2">
        <f>IF(O11&gt;0,O11,((P11*2.2046*S11)+(Q11+R11)/G11)+V11)</f>
        <v>42.417458260256609</v>
      </c>
      <c r="Y11" s="2">
        <f>IF(O11&gt;0,O11,((P11*2.2046*S11)+(Q11+R11+T11)/G11)+V11+W11)</f>
        <v>42.929758748709986</v>
      </c>
      <c r="Z11" s="3">
        <f>Y11*F11</f>
        <v>800162.51871473459</v>
      </c>
      <c r="AA11" s="34">
        <v>43580</v>
      </c>
      <c r="AB11" s="3"/>
      <c r="AC11" s="35"/>
    </row>
    <row r="12" spans="1:29" x14ac:dyDescent="0.25">
      <c r="A12" s="175"/>
      <c r="B12" s="27" t="s">
        <v>26</v>
      </c>
      <c r="C12" t="s">
        <v>27</v>
      </c>
      <c r="D12" s="28" t="s">
        <v>44</v>
      </c>
      <c r="E12">
        <v>250</v>
      </c>
      <c r="F12" s="29">
        <v>22620</v>
      </c>
      <c r="G12" s="196">
        <v>22590</v>
      </c>
      <c r="H12" s="30">
        <f t="shared" ref="H12:H16" si="4">G12-F12</f>
        <v>-30</v>
      </c>
      <c r="I12" s="191" t="s">
        <v>3429</v>
      </c>
      <c r="K12" s="31"/>
      <c r="L12" s="31">
        <v>43588</v>
      </c>
      <c r="M12" s="28" t="s">
        <v>45</v>
      </c>
      <c r="O12" s="2">
        <v>36.799999999999997</v>
      </c>
      <c r="P12" s="32"/>
      <c r="Q12" s="2"/>
      <c r="R12" s="190"/>
      <c r="S12" s="33"/>
      <c r="T12" s="33"/>
      <c r="U12" s="2">
        <f>E12*5</f>
        <v>1250</v>
      </c>
      <c r="W12" s="2">
        <v>0.3</v>
      </c>
      <c r="X12" s="2">
        <f>((O12*F12)+Q12+R12+S12+U12)/G12</f>
        <v>36.904205400619738</v>
      </c>
      <c r="Y12" s="2">
        <f>((O12*F12)+Q12+R12+S12+T12+U12)/G12+W12</f>
        <v>37.204205400619735</v>
      </c>
      <c r="Z12" s="3">
        <f>Y12*G12</f>
        <v>840442.99999999977</v>
      </c>
      <c r="AA12" s="34">
        <v>43595</v>
      </c>
      <c r="AB12" s="3"/>
      <c r="AC12" s="35"/>
    </row>
    <row r="13" spans="1:29" x14ac:dyDescent="0.25">
      <c r="A13" s="175"/>
      <c r="B13" s="27" t="s">
        <v>26</v>
      </c>
      <c r="C13" t="s">
        <v>27</v>
      </c>
      <c r="D13" s="28" t="s">
        <v>1718</v>
      </c>
      <c r="E13">
        <v>130</v>
      </c>
      <c r="F13" s="29">
        <v>15700</v>
      </c>
      <c r="G13" s="196">
        <v>12450</v>
      </c>
      <c r="H13" s="30">
        <f t="shared" si="4"/>
        <v>-3250</v>
      </c>
      <c r="I13" s="28" t="s">
        <v>3324</v>
      </c>
      <c r="K13" s="31"/>
      <c r="L13" s="31">
        <v>43588</v>
      </c>
      <c r="M13" s="28" t="s">
        <v>45</v>
      </c>
      <c r="O13" s="2">
        <v>27.5</v>
      </c>
      <c r="P13" s="32"/>
      <c r="Q13" s="140">
        <v>18100</v>
      </c>
      <c r="R13" s="2">
        <f t="shared" ref="R13" si="5">75.45*E13</f>
        <v>9808.5</v>
      </c>
      <c r="S13" s="33">
        <f>-38*E13</f>
        <v>-4940</v>
      </c>
      <c r="T13" s="141">
        <f>X13*F13*0.0045</f>
        <v>2584.0790783132525</v>
      </c>
      <c r="U13" s="2">
        <f>E13*5</f>
        <v>650</v>
      </c>
      <c r="W13" s="2">
        <v>0.3</v>
      </c>
      <c r="X13" s="2">
        <f>((O13*F13)+Q13+R13+S13+U13)/G13</f>
        <v>36.57578313253012</v>
      </c>
      <c r="Y13" s="2">
        <f>((O13*F13)+Q13+R13+S13+T13+U13)/G13+W13</f>
        <v>37.083339685005079</v>
      </c>
      <c r="Z13" s="3">
        <f>Y13*G13</f>
        <v>461687.57907831325</v>
      </c>
      <c r="AA13" s="34">
        <v>43571</v>
      </c>
      <c r="AB13" s="3"/>
      <c r="AC13" s="35" t="s">
        <v>3333</v>
      </c>
    </row>
    <row r="14" spans="1:29" x14ac:dyDescent="0.25">
      <c r="A14" s="175"/>
      <c r="B14" s="27" t="s">
        <v>3452</v>
      </c>
      <c r="C14" t="s">
        <v>3185</v>
      </c>
      <c r="D14" s="28" t="s">
        <v>1734</v>
      </c>
      <c r="E14" t="s">
        <v>3453</v>
      </c>
      <c r="F14" s="29">
        <v>4049.03</v>
      </c>
      <c r="G14" s="196">
        <v>4049.03</v>
      </c>
      <c r="H14" s="30">
        <f t="shared" si="4"/>
        <v>0</v>
      </c>
      <c r="I14" s="28" t="s">
        <v>3454</v>
      </c>
      <c r="K14" s="31"/>
      <c r="L14" s="31">
        <v>43588</v>
      </c>
      <c r="M14" s="28" t="s">
        <v>45</v>
      </c>
      <c r="O14" s="2">
        <v>89.4</v>
      </c>
      <c r="P14" s="32"/>
      <c r="Q14" s="190"/>
      <c r="R14" s="2"/>
      <c r="S14" s="33"/>
      <c r="T14" s="33"/>
      <c r="U14" s="2"/>
      <c r="W14" s="2"/>
      <c r="X14" s="2">
        <f>IF(O14&gt;0,O14,((P14*2.2046*S14)+(Q14+R14)/G14)+V14)</f>
        <v>89.4</v>
      </c>
      <c r="Y14" s="2">
        <f>IF(O14&gt;0,O14,((P14*2.2046*S14)+(Q14+R14+T14)/G14)+V14+W14)</f>
        <v>89.4</v>
      </c>
      <c r="Z14" s="3">
        <f>Y14*F14</f>
        <v>361983.28200000006</v>
      </c>
      <c r="AA14" s="34">
        <v>43595</v>
      </c>
      <c r="AB14" s="3"/>
      <c r="AC14" s="35"/>
    </row>
    <row r="15" spans="1:29" x14ac:dyDescent="0.25">
      <c r="A15" s="175"/>
      <c r="B15" s="27" t="s">
        <v>1909</v>
      </c>
      <c r="C15" t="s">
        <v>2226</v>
      </c>
      <c r="D15" s="28" t="s">
        <v>1806</v>
      </c>
      <c r="E15" t="s">
        <v>2455</v>
      </c>
      <c r="F15" s="29">
        <f>890.85+948+946.19+908.99</f>
        <v>3694.0299999999997</v>
      </c>
      <c r="G15" s="196">
        <v>3694.03</v>
      </c>
      <c r="H15" s="30">
        <f t="shared" si="4"/>
        <v>0</v>
      </c>
      <c r="I15" s="28" t="s">
        <v>3460</v>
      </c>
      <c r="K15" s="31"/>
      <c r="L15" s="31">
        <v>43589</v>
      </c>
      <c r="M15" s="28" t="s">
        <v>46</v>
      </c>
      <c r="O15" s="2">
        <v>17.5</v>
      </c>
      <c r="P15" s="32"/>
      <c r="Q15" s="190"/>
      <c r="R15" s="2"/>
      <c r="S15" s="33"/>
      <c r="T15" s="33"/>
      <c r="U15" s="2"/>
      <c r="W15" s="2"/>
      <c r="X15" s="2">
        <f>IF(O15&gt;0,O15,((P15*2.2046*S15)+(Q15+R15)/G15)+V15)</f>
        <v>17.5</v>
      </c>
      <c r="Y15" s="2">
        <f>IF(O15&gt;0,O15,((P15*2.2046*S15)+(Q15+R15+T15)/G15)+V15+W15)</f>
        <v>17.5</v>
      </c>
      <c r="Z15" s="3">
        <f>Y15*F15</f>
        <v>64645.524999999994</v>
      </c>
      <c r="AA15" s="34">
        <v>43598</v>
      </c>
      <c r="AB15" s="3"/>
      <c r="AC15" s="35"/>
    </row>
    <row r="16" spans="1:29" x14ac:dyDescent="0.25">
      <c r="A16" s="175"/>
      <c r="B16" s="27" t="s">
        <v>30</v>
      </c>
      <c r="C16" t="s">
        <v>40</v>
      </c>
      <c r="D16" s="28" t="s">
        <v>40</v>
      </c>
      <c r="E16" t="s">
        <v>37</v>
      </c>
      <c r="F16" s="29">
        <f>42708*0.4536</f>
        <v>19372.3488</v>
      </c>
      <c r="G16" s="196">
        <v>19313.009999999998</v>
      </c>
      <c r="H16" s="30">
        <f t="shared" si="4"/>
        <v>-59.338800000001356</v>
      </c>
      <c r="I16" s="28" t="s">
        <v>2944</v>
      </c>
      <c r="J16" s="52" t="s">
        <v>196</v>
      </c>
      <c r="K16" s="31">
        <v>43588</v>
      </c>
      <c r="L16" s="31">
        <v>43589</v>
      </c>
      <c r="M16" s="28" t="s">
        <v>46</v>
      </c>
      <c r="N16" s="28" t="s">
        <v>2936</v>
      </c>
      <c r="O16" s="2"/>
      <c r="P16" s="32">
        <f>0.7143+0.105</f>
        <v>0.81930000000000003</v>
      </c>
      <c r="Q16" s="140">
        <v>26000</v>
      </c>
      <c r="R16" s="190">
        <v>133649</v>
      </c>
      <c r="S16" s="194">
        <v>18.989000000000001</v>
      </c>
      <c r="T16" s="141">
        <f>X16*F16*0.005</f>
        <v>4134.5314245651944</v>
      </c>
      <c r="V16" s="2">
        <v>0.12</v>
      </c>
      <c r="W16" s="2">
        <v>0.3</v>
      </c>
      <c r="X16" s="2">
        <f>IF(O16&gt;0,O16,((P16*2.2046*S16)+(Q16+R16)/G16)+V16)</f>
        <v>42.684874893076405</v>
      </c>
      <c r="Y16" s="2">
        <f>IF(O16&gt;0,O16,((P16*2.2046*S16)+(Q16+R16+T16)/G16)+V16+W16)</f>
        <v>43.19895500925535</v>
      </c>
      <c r="Z16" s="3">
        <f>Y16*F16</f>
        <v>836865.22423480183</v>
      </c>
      <c r="AA16" s="34">
        <v>43584</v>
      </c>
      <c r="AB16" s="3"/>
      <c r="AC16" s="35"/>
    </row>
    <row r="17" spans="1:32" ht="15.75" thickBot="1" x14ac:dyDescent="0.3">
      <c r="A17" s="176"/>
      <c r="B17" s="41"/>
      <c r="C17" s="4"/>
      <c r="D17" s="4"/>
      <c r="E17" s="4"/>
      <c r="F17" s="42"/>
      <c r="G17" s="42"/>
      <c r="H17" s="42"/>
      <c r="I17" s="7"/>
      <c r="J17" s="4"/>
      <c r="K17" s="8"/>
      <c r="L17" s="8"/>
      <c r="M17" s="4"/>
      <c r="N17" s="4"/>
      <c r="O17" s="9"/>
      <c r="P17" s="10"/>
      <c r="Q17" s="9"/>
      <c r="R17" s="9"/>
      <c r="S17" s="9"/>
      <c r="T17" s="9"/>
      <c r="U17" s="9"/>
      <c r="V17" s="9"/>
      <c r="W17" s="9"/>
      <c r="X17" s="9"/>
      <c r="Y17" s="9"/>
      <c r="Z17" s="13"/>
      <c r="AA17" s="43"/>
      <c r="AB17" s="3"/>
      <c r="AC17" s="35"/>
    </row>
    <row r="18" spans="1:32" x14ac:dyDescent="0.25">
      <c r="A18" s="207"/>
      <c r="B18" s="14" t="s">
        <v>26</v>
      </c>
      <c r="C18" s="14" t="s">
        <v>27</v>
      </c>
      <c r="D18" s="28" t="s">
        <v>2721</v>
      </c>
      <c r="E18" s="14">
        <v>200</v>
      </c>
      <c r="F18" s="16">
        <v>23910</v>
      </c>
      <c r="G18" s="17">
        <v>24050</v>
      </c>
      <c r="H18" s="30">
        <f t="shared" ref="H18:H22" si="6">G18-F18</f>
        <v>140</v>
      </c>
      <c r="I18" s="19" t="s">
        <v>3380</v>
      </c>
      <c r="J18" s="121">
        <v>250</v>
      </c>
      <c r="K18" s="20"/>
      <c r="L18" s="20">
        <v>43590</v>
      </c>
      <c r="M18" s="15" t="s">
        <v>28</v>
      </c>
      <c r="N18" s="14"/>
      <c r="O18" s="21">
        <v>28</v>
      </c>
      <c r="P18" s="22"/>
      <c r="Q18" s="139">
        <v>22800</v>
      </c>
      <c r="R18" s="2">
        <f t="shared" ref="R18:R20" si="7">75.45*E18</f>
        <v>15090</v>
      </c>
      <c r="S18" s="21">
        <f>-38*E18</f>
        <v>-7600</v>
      </c>
      <c r="T18" s="157">
        <f>X18*F18*0.0045</f>
        <v>3135.1080311850305</v>
      </c>
      <c r="U18" s="21">
        <f>E18*5</f>
        <v>1000</v>
      </c>
      <c r="V18" s="14"/>
      <c r="W18" s="21">
        <v>0.3</v>
      </c>
      <c r="X18" s="21">
        <f>((O18*F18)+Q18+R18+S18+U18)/G18</f>
        <v>29.138045738045736</v>
      </c>
      <c r="Y18" s="24">
        <f>((O18*F18)+Q18+R18+S18+T18+U18)/G18+W18</f>
        <v>29.568403660340334</v>
      </c>
      <c r="Z18" s="24">
        <f>Y18*G18</f>
        <v>711120.10803118499</v>
      </c>
      <c r="AA18" s="25">
        <v>43605</v>
      </c>
      <c r="AB18" s="3">
        <v>37.119999999999997</v>
      </c>
    </row>
    <row r="19" spans="1:32" x14ac:dyDescent="0.25">
      <c r="A19" s="208"/>
      <c r="B19" s="27" t="s">
        <v>26</v>
      </c>
      <c r="C19" t="s">
        <v>27</v>
      </c>
      <c r="D19" s="28" t="s">
        <v>2721</v>
      </c>
      <c r="E19">
        <v>180</v>
      </c>
      <c r="F19" s="29">
        <v>22040</v>
      </c>
      <c r="G19" s="30">
        <v>12660</v>
      </c>
      <c r="H19" s="30">
        <f t="shared" si="6"/>
        <v>-9380</v>
      </c>
      <c r="I19" s="28" t="s">
        <v>3381</v>
      </c>
      <c r="J19" s="55">
        <v>129</v>
      </c>
      <c r="K19" s="31"/>
      <c r="L19" s="31">
        <v>43590</v>
      </c>
      <c r="M19" s="28" t="s">
        <v>28</v>
      </c>
      <c r="O19" s="2">
        <v>28</v>
      </c>
      <c r="P19" s="32"/>
      <c r="Q19" s="140">
        <v>18100</v>
      </c>
      <c r="R19" s="2">
        <f t="shared" si="7"/>
        <v>13581</v>
      </c>
      <c r="S19" s="33">
        <f>-38*E19</f>
        <v>-6840</v>
      </c>
      <c r="T19" s="141">
        <f>X19*F19*0.0045</f>
        <v>5036.252289099526</v>
      </c>
      <c r="U19" s="2">
        <f>E19*5</f>
        <v>900</v>
      </c>
      <c r="W19" s="2">
        <v>0.3</v>
      </c>
      <c r="X19" s="2">
        <f>((O19*F19)+Q19+R19+S19+U19)/G19</f>
        <v>50.778909952606632</v>
      </c>
      <c r="Y19" s="2">
        <f>((O19*F19)+Q19+R19+S19+T19+U19)/G19+W19</f>
        <v>51.476718190292218</v>
      </c>
      <c r="Z19" s="3">
        <f>Y19*G19</f>
        <v>651695.2522890995</v>
      </c>
      <c r="AA19" s="34">
        <v>43605</v>
      </c>
      <c r="AB19" s="3"/>
      <c r="AC19" s="3" t="s">
        <v>3384</v>
      </c>
    </row>
    <row r="20" spans="1:32" x14ac:dyDescent="0.25">
      <c r="A20" s="208"/>
      <c r="B20" s="27" t="s">
        <v>26</v>
      </c>
      <c r="C20" t="s">
        <v>27</v>
      </c>
      <c r="D20" s="28" t="s">
        <v>1636</v>
      </c>
      <c r="E20">
        <v>221</v>
      </c>
      <c r="F20" s="29">
        <v>25710</v>
      </c>
      <c r="G20" s="30">
        <v>22500</v>
      </c>
      <c r="H20" s="30">
        <f t="shared" si="6"/>
        <v>-3210</v>
      </c>
      <c r="I20" s="28" t="s">
        <v>3389</v>
      </c>
      <c r="J20">
        <v>250</v>
      </c>
      <c r="K20" s="31"/>
      <c r="L20" s="31">
        <v>43591</v>
      </c>
      <c r="M20" s="28" t="s">
        <v>29</v>
      </c>
      <c r="O20" s="2">
        <v>28</v>
      </c>
      <c r="P20" s="32"/>
      <c r="Q20" s="138">
        <v>22800</v>
      </c>
      <c r="R20" s="2">
        <f t="shared" si="7"/>
        <v>16674.45</v>
      </c>
      <c r="S20" s="33">
        <f>-38*E20</f>
        <v>-8398</v>
      </c>
      <c r="T20" s="141">
        <f>X20*F20*0.0045</f>
        <v>3867.0999759000001</v>
      </c>
      <c r="U20" s="2">
        <f>E20*5</f>
        <v>1105</v>
      </c>
      <c r="W20" s="2">
        <v>0.3</v>
      </c>
      <c r="X20" s="2">
        <f>((O20*F20)+Q20+R20+S20+U20)/G20</f>
        <v>33.424953333333335</v>
      </c>
      <c r="Y20" s="2">
        <f>((O20*F20)+Q20+R20+S20+T20+U20)/G20+W20</f>
        <v>33.896824443373326</v>
      </c>
      <c r="Z20" s="3">
        <f>Y20*G20</f>
        <v>762678.54997589986</v>
      </c>
      <c r="AA20" s="34">
        <v>43605</v>
      </c>
      <c r="AB20" s="3"/>
      <c r="AC20" s="35"/>
    </row>
    <row r="21" spans="1:32" x14ac:dyDescent="0.25">
      <c r="A21" s="208"/>
      <c r="B21" s="27" t="s">
        <v>26</v>
      </c>
      <c r="C21" t="s">
        <v>27</v>
      </c>
      <c r="D21" s="28" t="s">
        <v>1871</v>
      </c>
      <c r="E21">
        <v>160</v>
      </c>
      <c r="F21" s="29">
        <v>16860</v>
      </c>
      <c r="G21" s="196">
        <v>11240</v>
      </c>
      <c r="H21" s="30">
        <f t="shared" ref="H21" si="8">G21-F21</f>
        <v>-5620</v>
      </c>
      <c r="I21" s="28" t="s">
        <v>3390</v>
      </c>
      <c r="J21">
        <v>131</v>
      </c>
      <c r="K21" s="31"/>
      <c r="L21" s="31">
        <v>43591</v>
      </c>
      <c r="M21" s="28" t="s">
        <v>29</v>
      </c>
      <c r="O21" s="2">
        <v>28</v>
      </c>
      <c r="P21" s="32"/>
      <c r="Q21" s="140">
        <v>18100</v>
      </c>
      <c r="R21" s="2">
        <f t="shared" ref="R21" si="9">75.45*E21</f>
        <v>12072</v>
      </c>
      <c r="S21" s="33">
        <f>-38*E21</f>
        <v>-6080</v>
      </c>
      <c r="T21" s="141">
        <f>X21*F21*0.0045</f>
        <v>3354.5609999999997</v>
      </c>
      <c r="U21" s="2">
        <f>E21*5</f>
        <v>800</v>
      </c>
      <c r="W21" s="2">
        <v>0.3</v>
      </c>
      <c r="X21" s="2">
        <f>((O21*F21)+Q21+R21+S21+U21)/G21</f>
        <v>44.214590747330959</v>
      </c>
      <c r="Y21" s="2">
        <f>((O21*F21)+Q21+R21+S21+T21+U21)/G21+W21</f>
        <v>44.81303923487544</v>
      </c>
      <c r="Z21" s="3">
        <f>Y21*G21</f>
        <v>503698.56099999993</v>
      </c>
      <c r="AA21" s="34">
        <v>43605</v>
      </c>
      <c r="AB21" s="3">
        <v>37.53</v>
      </c>
      <c r="AC21" s="35" t="s">
        <v>3391</v>
      </c>
    </row>
    <row r="22" spans="1:32" x14ac:dyDescent="0.25">
      <c r="A22" s="208"/>
      <c r="B22" s="27" t="s">
        <v>30</v>
      </c>
      <c r="C22" s="28" t="s">
        <v>1790</v>
      </c>
      <c r="D22" s="28" t="s">
        <v>1790</v>
      </c>
      <c r="E22" t="s">
        <v>32</v>
      </c>
      <c r="F22" s="29">
        <f>41658*0.4536</f>
        <v>18896.068800000001</v>
      </c>
      <c r="G22" s="196">
        <v>18923.11</v>
      </c>
      <c r="H22" s="30">
        <f t="shared" si="6"/>
        <v>27.041199999999662</v>
      </c>
      <c r="I22" s="28" t="s">
        <v>3311</v>
      </c>
      <c r="J22" s="52" t="s">
        <v>196</v>
      </c>
      <c r="K22" s="31">
        <v>43591</v>
      </c>
      <c r="L22" s="31">
        <v>43592</v>
      </c>
      <c r="M22" s="28" t="s">
        <v>48</v>
      </c>
      <c r="N22" s="28" t="s">
        <v>3306</v>
      </c>
      <c r="O22" s="2"/>
      <c r="P22" s="32">
        <f>0.7004+0.095</f>
        <v>0.7954</v>
      </c>
      <c r="Q22" s="140">
        <v>26000</v>
      </c>
      <c r="R22" s="190">
        <v>127427</v>
      </c>
      <c r="S22" s="194">
        <v>19.108000000000001</v>
      </c>
      <c r="T22" s="141">
        <f t="shared" ref="T22" si="10">X22*F22*0.005</f>
        <v>3943.0934007869732</v>
      </c>
      <c r="V22" s="2">
        <v>0.12</v>
      </c>
      <c r="W22" s="2">
        <v>0.3</v>
      </c>
      <c r="X22" s="2">
        <f>IF(O22&gt;0,O22,((P22*2.2046*S22)+(Q22+R22)/G22)+V22)</f>
        <v>41.734536876654182</v>
      </c>
      <c r="Y22" s="2">
        <f>IF(O22&gt;0,O22,((P22*2.2046*S22)+(Q22+R22+T22)/G22)+V22+W22)</f>
        <v>42.242911366935481</v>
      </c>
      <c r="Z22" s="3">
        <f>Y22*F22</f>
        <v>798224.95950191491</v>
      </c>
      <c r="AA22" s="34">
        <v>43593</v>
      </c>
      <c r="AB22" s="3"/>
      <c r="AC22" s="35"/>
    </row>
    <row r="23" spans="1:32" x14ac:dyDescent="0.25">
      <c r="A23" s="208"/>
      <c r="B23" s="27" t="s">
        <v>30</v>
      </c>
      <c r="C23" s="28" t="s">
        <v>35</v>
      </c>
      <c r="D23" s="28" t="s">
        <v>36</v>
      </c>
      <c r="E23" t="s">
        <v>37</v>
      </c>
      <c r="F23" s="29">
        <f>41526*0.4536</f>
        <v>18836.193599999999</v>
      </c>
      <c r="G23" s="196">
        <v>18805.87</v>
      </c>
      <c r="H23" s="30">
        <f>G23-F23</f>
        <v>-30.323599999999715</v>
      </c>
      <c r="I23" t="s">
        <v>3312</v>
      </c>
      <c r="J23" s="52" t="s">
        <v>196</v>
      </c>
      <c r="K23" s="31">
        <v>43591</v>
      </c>
      <c r="L23" s="31">
        <v>43592</v>
      </c>
      <c r="M23" s="28" t="s">
        <v>48</v>
      </c>
      <c r="N23" s="28" t="s">
        <v>3307</v>
      </c>
      <c r="O23" s="2"/>
      <c r="P23" s="32">
        <f>0.7004+0.1</f>
        <v>0.8004</v>
      </c>
      <c r="Q23" s="140">
        <v>26000</v>
      </c>
      <c r="R23" s="190">
        <v>131160</v>
      </c>
      <c r="S23" s="194">
        <v>19.02</v>
      </c>
      <c r="T23" s="141">
        <f>X23*F23*0.005</f>
        <v>3959.2672468983587</v>
      </c>
      <c r="V23" s="2">
        <v>0.12</v>
      </c>
      <c r="W23" s="2">
        <v>0.3</v>
      </c>
      <c r="X23" s="2">
        <f>IF(O23&gt;0,O23,((P23*2.2046*S23)+(Q23+R23)/G23)+V23)</f>
        <v>42.038931335876256</v>
      </c>
      <c r="Y23" s="2">
        <f>IF(O23&gt;0,O23,((P23*2.2046*S23)+(Q23+R23+T23)/G23)+V23+W23)</f>
        <v>42.549464921767161</v>
      </c>
      <c r="Z23" s="3">
        <f>Y23*F23</f>
        <v>801469.95884281502</v>
      </c>
      <c r="AA23" s="34">
        <v>43591</v>
      </c>
      <c r="AB23" s="3"/>
      <c r="AC23" s="35"/>
    </row>
    <row r="24" spans="1:32" x14ac:dyDescent="0.25">
      <c r="A24" s="208"/>
      <c r="B24" s="27" t="s">
        <v>26</v>
      </c>
      <c r="C24" t="s">
        <v>27</v>
      </c>
      <c r="D24" s="28" t="s">
        <v>3395</v>
      </c>
      <c r="E24">
        <f>220+40</f>
        <v>260</v>
      </c>
      <c r="F24" s="29">
        <f>25790+4465</f>
        <v>30255</v>
      </c>
      <c r="G24" s="196">
        <f>17850+6290</f>
        <v>24140</v>
      </c>
      <c r="H24" s="30">
        <f>G24-F24</f>
        <v>-6115</v>
      </c>
      <c r="I24" s="28" t="s">
        <v>3396</v>
      </c>
      <c r="K24" s="31"/>
      <c r="L24" s="31">
        <v>43592</v>
      </c>
      <c r="M24" s="28" t="s">
        <v>48</v>
      </c>
      <c r="O24" s="2">
        <v>28</v>
      </c>
      <c r="P24" s="32"/>
      <c r="Q24" s="138">
        <v>22800</v>
      </c>
      <c r="R24" s="2">
        <f>75.45*E24</f>
        <v>19617</v>
      </c>
      <c r="S24" s="33">
        <f>-38*E24</f>
        <v>-9880</v>
      </c>
      <c r="T24" s="141">
        <f>X24*F24*0.005</f>
        <v>5520.7040461888992</v>
      </c>
      <c r="U24" s="2">
        <f>E24*5</f>
        <v>1300</v>
      </c>
      <c r="W24" s="2">
        <v>0.3</v>
      </c>
      <c r="X24" s="2">
        <f>((O24*F24)+Q24+R24+S24+U24)/G24</f>
        <v>36.494490472245239</v>
      </c>
      <c r="Y24" s="2">
        <f>((O24*F24)+Q24+R24+S24+T24+U24)/G24+W24</f>
        <v>37.023185751706244</v>
      </c>
      <c r="Z24" s="3">
        <f>Y24*G24</f>
        <v>893739.70404618874</v>
      </c>
      <c r="AA24" s="34">
        <v>43606</v>
      </c>
      <c r="AB24" s="3"/>
      <c r="AC24" s="35" t="s">
        <v>3400</v>
      </c>
      <c r="AF24" s="30"/>
    </row>
    <row r="25" spans="1:32" x14ac:dyDescent="0.25">
      <c r="A25" s="208"/>
      <c r="B25" s="27" t="s">
        <v>30</v>
      </c>
      <c r="C25" s="28" t="s">
        <v>31</v>
      </c>
      <c r="D25" s="28" t="s">
        <v>31</v>
      </c>
      <c r="E25" t="s">
        <v>32</v>
      </c>
      <c r="F25" s="29">
        <f>41116*0.4536</f>
        <v>18650.2176</v>
      </c>
      <c r="G25" s="196">
        <v>18628.66</v>
      </c>
      <c r="H25" s="30">
        <f t="shared" ref="H25:H31" si="11">G25-F25</f>
        <v>-21.557600000000093</v>
      </c>
      <c r="I25" s="28" t="s">
        <v>3048</v>
      </c>
      <c r="J25" s="52" t="s">
        <v>1690</v>
      </c>
      <c r="K25" s="31">
        <v>43592</v>
      </c>
      <c r="L25" s="31">
        <v>43593</v>
      </c>
      <c r="M25" s="28" t="s">
        <v>33</v>
      </c>
      <c r="N25" s="28" t="s">
        <v>3307</v>
      </c>
      <c r="O25" s="2"/>
      <c r="P25" s="32">
        <f t="shared" ref="P25:P26" si="12">0.7004+0.1</f>
        <v>0.8004</v>
      </c>
      <c r="Q25" s="140">
        <v>26000</v>
      </c>
      <c r="R25" s="190">
        <v>126106</v>
      </c>
      <c r="S25" s="194">
        <v>18.986000000000001</v>
      </c>
      <c r="T25" s="141">
        <f t="shared" ref="T25:T26" si="13">X25*F25*0.005</f>
        <v>3896.6954915693491</v>
      </c>
      <c r="V25" s="2">
        <v>0.12</v>
      </c>
      <c r="W25" s="2">
        <v>0.3</v>
      </c>
      <c r="X25" s="2">
        <f>IF(O25&gt;0,O25,((P25*2.2046*S25)+(Q25+R25)/G25)+V25)</f>
        <v>41.787131658660634</v>
      </c>
      <c r="Y25" s="2">
        <f>IF(O25&gt;0,O25,((P25*2.2046*S25)+(Q25+R25+T25)/G25)+V25+W25)</f>
        <v>42.296309103069909</v>
      </c>
      <c r="Z25" s="3">
        <f>Y25*F25</f>
        <v>788835.36844911461</v>
      </c>
      <c r="AA25" s="34">
        <v>43578</v>
      </c>
      <c r="AC25" s="35"/>
    </row>
    <row r="26" spans="1:32" x14ac:dyDescent="0.25">
      <c r="A26" s="208"/>
      <c r="B26" s="27" t="s">
        <v>30</v>
      </c>
      <c r="C26" s="28" t="s">
        <v>31</v>
      </c>
      <c r="D26" s="28" t="s">
        <v>31</v>
      </c>
      <c r="E26" t="s">
        <v>37</v>
      </c>
      <c r="F26" s="29">
        <f>41328*0.4536</f>
        <v>18746.380799999999</v>
      </c>
      <c r="G26" s="196">
        <v>18669.490000000002</v>
      </c>
      <c r="H26" s="30">
        <f t="shared" si="11"/>
        <v>-76.890799999997398</v>
      </c>
      <c r="I26" s="28" t="s">
        <v>3049</v>
      </c>
      <c r="J26" s="52" t="s">
        <v>196</v>
      </c>
      <c r="K26" s="31">
        <v>43592</v>
      </c>
      <c r="L26" s="31">
        <v>43593</v>
      </c>
      <c r="M26" s="28" t="s">
        <v>33</v>
      </c>
      <c r="N26" s="28" t="s">
        <v>3307</v>
      </c>
      <c r="O26" s="2"/>
      <c r="P26" s="32">
        <f t="shared" si="12"/>
        <v>0.8004</v>
      </c>
      <c r="Q26" s="140">
        <v>26000</v>
      </c>
      <c r="R26" s="190">
        <v>126695</v>
      </c>
      <c r="S26" s="194">
        <v>19.039000000000001</v>
      </c>
      <c r="T26" s="141">
        <f t="shared" si="13"/>
        <v>3926.8367336253827</v>
      </c>
      <c r="V26" s="2">
        <v>0.12</v>
      </c>
      <c r="W26" s="2">
        <v>0.3</v>
      </c>
      <c r="X26" s="2">
        <f>IF(O26&gt;0,O26,((P26*2.2046*S26)+(Q26+R26)/G26)+V26)</f>
        <v>41.894345106073843</v>
      </c>
      <c r="Y26" s="2">
        <f>IF(O26&gt;0,O26,((P26*2.2046*S26)+(Q26+R26+T26)/G26)+V26+W26)</f>
        <v>42.404679546576787</v>
      </c>
      <c r="Z26" s="3">
        <f>Y26*F26</f>
        <v>794934.27048209973</v>
      </c>
      <c r="AA26" s="34">
        <v>43585</v>
      </c>
      <c r="AB26" s="83">
        <v>42.28</v>
      </c>
      <c r="AC26" s="35"/>
    </row>
    <row r="27" spans="1:32" x14ac:dyDescent="0.25">
      <c r="A27" s="208"/>
      <c r="B27" s="27" t="s">
        <v>26</v>
      </c>
      <c r="C27" t="s">
        <v>27</v>
      </c>
      <c r="D27" s="28" t="s">
        <v>3427</v>
      </c>
      <c r="E27">
        <f>220+39</f>
        <v>259</v>
      </c>
      <c r="F27" s="29">
        <f>24520+5060</f>
        <v>29580</v>
      </c>
      <c r="G27" s="196">
        <f>16700+6800</f>
        <v>23500</v>
      </c>
      <c r="H27" s="30">
        <f>G27-F27</f>
        <v>-6080</v>
      </c>
      <c r="I27" s="28" t="s">
        <v>3428</v>
      </c>
      <c r="J27" s="55">
        <v>258</v>
      </c>
      <c r="K27" s="31"/>
      <c r="L27" s="31">
        <v>43593</v>
      </c>
      <c r="M27" s="28" t="s">
        <v>33</v>
      </c>
      <c r="O27" s="2">
        <v>28.5</v>
      </c>
      <c r="P27" s="32"/>
      <c r="Q27" s="138">
        <v>22800</v>
      </c>
      <c r="R27" s="2">
        <f>75.45*E27</f>
        <v>19541.55</v>
      </c>
      <c r="S27" s="33">
        <f>-38*E27</f>
        <v>-9842</v>
      </c>
      <c r="T27" s="141">
        <f>X27*F27*0.005</f>
        <v>5518.3979125531914</v>
      </c>
      <c r="U27" s="2">
        <f>E27*5</f>
        <v>1295</v>
      </c>
      <c r="W27" s="2">
        <v>0.3</v>
      </c>
      <c r="X27" s="2">
        <f>((O27*F27)+Q27+R27+S27+U27)/G27</f>
        <v>37.311682978723404</v>
      </c>
      <c r="Y27" s="2">
        <f>((O27*F27)+Q27+R27+S27+T27+U27)/G27+W27</f>
        <v>37.846508421810775</v>
      </c>
      <c r="Z27" s="3">
        <f>Y27*G27</f>
        <v>889392.94791255321</v>
      </c>
      <c r="AA27" s="34">
        <v>43606</v>
      </c>
      <c r="AB27" s="83">
        <v>42.55</v>
      </c>
      <c r="AC27" s="35" t="s">
        <v>3432</v>
      </c>
    </row>
    <row r="28" spans="1:32" x14ac:dyDescent="0.25">
      <c r="A28" s="208"/>
      <c r="B28" s="27" t="s">
        <v>3452</v>
      </c>
      <c r="C28" t="s">
        <v>3185</v>
      </c>
      <c r="D28" s="28" t="s">
        <v>1734</v>
      </c>
      <c r="E28" t="s">
        <v>3459</v>
      </c>
      <c r="F28" s="29">
        <v>1023.27</v>
      </c>
      <c r="G28" s="196">
        <v>1023.27</v>
      </c>
      <c r="H28" s="30">
        <f t="shared" ref="H28:H29" si="14">G28-F28</f>
        <v>0</v>
      </c>
      <c r="I28" s="199" t="s">
        <v>3458</v>
      </c>
      <c r="J28" s="191"/>
      <c r="K28" s="201"/>
      <c r="L28" s="201">
        <v>43593</v>
      </c>
      <c r="M28" s="199" t="s">
        <v>33</v>
      </c>
      <c r="N28" s="191"/>
      <c r="O28" s="190">
        <v>89.4</v>
      </c>
      <c r="P28" s="202"/>
      <c r="Q28" s="190"/>
      <c r="R28" s="190"/>
      <c r="S28" s="33"/>
      <c r="T28" s="33"/>
      <c r="U28" s="2"/>
      <c r="W28" s="2"/>
      <c r="X28" s="2">
        <f>IF(O28&gt;0,O28,((P28*2.2046*S28)+(Q28+R28)/G28)+V28)</f>
        <v>89.4</v>
      </c>
      <c r="Y28" s="2">
        <f>IF(O28&gt;0,O28,((P28*2.2046*S28)+(Q28+R28+T28)/G28)+V28+W28)</f>
        <v>89.4</v>
      </c>
      <c r="Z28" s="3">
        <f>Y28*F28</f>
        <v>91480.338000000003</v>
      </c>
      <c r="AA28" s="34">
        <v>43600</v>
      </c>
      <c r="AB28" s="83"/>
      <c r="AC28" s="35"/>
    </row>
    <row r="29" spans="1:32" x14ac:dyDescent="0.25">
      <c r="A29" s="208"/>
      <c r="B29" s="27" t="s">
        <v>30</v>
      </c>
      <c r="C29" s="28" t="s">
        <v>40</v>
      </c>
      <c r="D29" s="28" t="s">
        <v>40</v>
      </c>
      <c r="E29" t="s">
        <v>37</v>
      </c>
      <c r="F29" s="29">
        <f>42744*0.4536</f>
        <v>19388.678400000001</v>
      </c>
      <c r="G29" s="196">
        <v>19263.04</v>
      </c>
      <c r="H29" s="30">
        <f t="shared" si="14"/>
        <v>-125.63839999999982</v>
      </c>
      <c r="I29" t="s">
        <v>3313</v>
      </c>
      <c r="J29" s="52" t="s">
        <v>196</v>
      </c>
      <c r="K29" s="31">
        <v>43593</v>
      </c>
      <c r="L29" s="31">
        <v>43594</v>
      </c>
      <c r="M29" s="28" t="s">
        <v>45</v>
      </c>
      <c r="N29" s="28" t="s">
        <v>3308</v>
      </c>
      <c r="O29" s="2"/>
      <c r="P29" s="32">
        <f>0.7023+0.105</f>
        <v>0.80730000000000002</v>
      </c>
      <c r="Q29" s="140">
        <v>26000</v>
      </c>
      <c r="R29" s="190">
        <v>131600</v>
      </c>
      <c r="S29" s="194">
        <v>19.138999999999999</v>
      </c>
      <c r="T29" s="141">
        <f>X29*F29*0.005</f>
        <v>4106.9638934841505</v>
      </c>
      <c r="V29" s="2">
        <v>0.12</v>
      </c>
      <c r="W29" s="2">
        <v>0.3</v>
      </c>
      <c r="X29" s="2">
        <f>IF(O29&gt;0,O29,((P29*2.2046*S29)+(Q29+R29)/G29)+V29)</f>
        <v>42.364557385037145</v>
      </c>
      <c r="Y29" s="2">
        <f>IF(O29&gt;0,O29,((P29*2.2046*S29)+(Q29+R29+T29)/G29)+V29+W29)</f>
        <v>42.877761733545178</v>
      </c>
      <c r="Z29" s="3">
        <f>Y29*F29</f>
        <v>831343.13276353397</v>
      </c>
      <c r="AA29" s="34">
        <v>43587</v>
      </c>
      <c r="AB29" s="83">
        <v>42.31</v>
      </c>
      <c r="AC29" s="35"/>
    </row>
    <row r="30" spans="1:32" x14ac:dyDescent="0.25">
      <c r="A30" s="208"/>
      <c r="B30" s="27" t="s">
        <v>26</v>
      </c>
      <c r="C30" t="s">
        <v>27</v>
      </c>
      <c r="D30" s="28" t="s">
        <v>1636</v>
      </c>
      <c r="E30">
        <v>200</v>
      </c>
      <c r="F30" s="29">
        <v>24125</v>
      </c>
      <c r="G30" s="30">
        <v>19500</v>
      </c>
      <c r="H30" s="30">
        <f t="shared" si="11"/>
        <v>-4625</v>
      </c>
      <c r="I30" s="28" t="s">
        <v>3435</v>
      </c>
      <c r="K30" s="31"/>
      <c r="L30" s="31">
        <v>43594</v>
      </c>
      <c r="M30" s="28" t="s">
        <v>41</v>
      </c>
      <c r="O30" s="2">
        <v>28.5</v>
      </c>
      <c r="P30" s="32"/>
      <c r="Q30" s="140">
        <v>22800</v>
      </c>
      <c r="R30" s="2">
        <f t="shared" ref="R30:R31" si="15">75.45*E30</f>
        <v>15090</v>
      </c>
      <c r="S30" s="33">
        <f>-38*E30</f>
        <v>-7600</v>
      </c>
      <c r="T30" s="141">
        <f>X30*F30*0.0045</f>
        <v>4002.0730528846152</v>
      </c>
      <c r="U30" s="2">
        <f>E30*5</f>
        <v>1000</v>
      </c>
      <c r="W30" s="2">
        <v>0.3</v>
      </c>
      <c r="X30" s="2">
        <f t="shared" ref="X30" si="16">((O30*F30)+Q30+R30+S30+U30)/G30</f>
        <v>36.864230769230772</v>
      </c>
      <c r="Y30" s="2">
        <f>((O30*F30)+Q30+R30+S30+T30+U30)/G30+W30</f>
        <v>37.369465284763315</v>
      </c>
      <c r="Z30" s="3">
        <f>Y30*G30</f>
        <v>728704.57305288466</v>
      </c>
      <c r="AA30" s="34">
        <v>43607</v>
      </c>
      <c r="AB30" s="83">
        <v>42.39</v>
      </c>
      <c r="AC30" s="35"/>
    </row>
    <row r="31" spans="1:32" x14ac:dyDescent="0.25">
      <c r="A31" s="208"/>
      <c r="B31" s="27" t="s">
        <v>26</v>
      </c>
      <c r="C31" t="s">
        <v>27</v>
      </c>
      <c r="D31" s="28" t="s">
        <v>1636</v>
      </c>
      <c r="E31">
        <v>130</v>
      </c>
      <c r="F31" s="225">
        <v>15740</v>
      </c>
      <c r="G31" s="30">
        <v>12290</v>
      </c>
      <c r="H31" s="30">
        <f t="shared" si="11"/>
        <v>-3450</v>
      </c>
      <c r="I31" s="28" t="s">
        <v>3436</v>
      </c>
      <c r="K31" s="31"/>
      <c r="L31" s="31">
        <v>43594</v>
      </c>
      <c r="M31" s="28" t="s">
        <v>41</v>
      </c>
      <c r="O31" s="2">
        <v>28.5</v>
      </c>
      <c r="P31" s="32"/>
      <c r="Q31" s="140">
        <v>18100</v>
      </c>
      <c r="R31" s="2">
        <f t="shared" si="15"/>
        <v>9808.5</v>
      </c>
      <c r="S31" s="33">
        <f>-38*E31</f>
        <v>-4940</v>
      </c>
      <c r="T31" s="141">
        <f>X31*F31*0.0045</f>
        <v>2721.4424780309191</v>
      </c>
      <c r="U31" s="2">
        <f>E31*5</f>
        <v>650</v>
      </c>
      <c r="W31" s="2">
        <v>0.3</v>
      </c>
      <c r="X31" s="2">
        <f>((O31*F31)+Q31+R31+S31+U31)/G31</f>
        <v>38.422172497965825</v>
      </c>
      <c r="Y31" s="2">
        <f>((O31*F31)+Q31+R31+S31+T31+U31)/G31+W31</f>
        <v>38.94360801285849</v>
      </c>
      <c r="Z31" s="3">
        <f>Y31*G31</f>
        <v>478616.94247803086</v>
      </c>
      <c r="AA31" s="34">
        <v>43607</v>
      </c>
      <c r="AB31" s="83">
        <v>42.86</v>
      </c>
      <c r="AC31" s="35" t="s">
        <v>3446</v>
      </c>
      <c r="AD31" s="52" t="s">
        <v>3491</v>
      </c>
    </row>
    <row r="32" spans="1:32" x14ac:dyDescent="0.25">
      <c r="A32" s="208"/>
      <c r="B32" s="27" t="s">
        <v>30</v>
      </c>
      <c r="C32" s="28" t="s">
        <v>1790</v>
      </c>
      <c r="D32" s="28" t="s">
        <v>1790</v>
      </c>
      <c r="E32" t="s">
        <v>2413</v>
      </c>
      <c r="F32" s="29">
        <f>40871*0.4536</f>
        <v>18539.085599999999</v>
      </c>
      <c r="G32" s="196">
        <v>18807.18</v>
      </c>
      <c r="H32" s="30">
        <f>G32-F32</f>
        <v>268.09440000000177</v>
      </c>
      <c r="I32" s="28" t="s">
        <v>3314</v>
      </c>
      <c r="J32" s="52" t="s">
        <v>196</v>
      </c>
      <c r="K32" s="31">
        <v>43594</v>
      </c>
      <c r="L32" s="31">
        <v>43595</v>
      </c>
      <c r="M32" s="28" t="s">
        <v>45</v>
      </c>
      <c r="N32" s="28" t="s">
        <v>3309</v>
      </c>
      <c r="O32" s="2"/>
      <c r="P32" s="32">
        <f>0.7023+0.095</f>
        <v>0.79730000000000001</v>
      </c>
      <c r="Q32" s="140">
        <v>26000</v>
      </c>
      <c r="R32" s="190">
        <v>125235</v>
      </c>
      <c r="S32" s="194">
        <v>19.309999999999999</v>
      </c>
      <c r="T32" s="141">
        <f>X32*F32*0.005</f>
        <v>3902.7614777528747</v>
      </c>
      <c r="V32" s="2">
        <v>0.12</v>
      </c>
      <c r="W32" s="2">
        <v>0.3</v>
      </c>
      <c r="X32" s="2">
        <f>IF(O32&gt;0,O32,((P32*2.2046*S32)+(Q32+R32)/G32)+V32)</f>
        <v>42.103063354460964</v>
      </c>
      <c r="Y32" s="2">
        <f>IF(O32&gt;0,O32,((P32*2.2046*S32)+(Q32+R32+T32)/G32)+V32+W32)</f>
        <v>42.61057779722978</v>
      </c>
      <c r="Z32" s="3">
        <f>Y32*F32</f>
        <v>789961.14924830222</v>
      </c>
      <c r="AA32" s="34">
        <v>43594</v>
      </c>
      <c r="AB32" s="83">
        <v>42.85</v>
      </c>
      <c r="AC32" s="222">
        <f>SUM(AB26:AB32)/6</f>
        <v>42.54</v>
      </c>
    </row>
    <row r="33" spans="1:32" x14ac:dyDescent="0.25">
      <c r="A33" s="208"/>
      <c r="B33" s="27" t="s">
        <v>26</v>
      </c>
      <c r="C33" t="s">
        <v>27</v>
      </c>
      <c r="D33" s="28" t="s">
        <v>44</v>
      </c>
      <c r="E33">
        <v>250</v>
      </c>
      <c r="F33" s="29">
        <v>20740</v>
      </c>
      <c r="G33" s="30">
        <v>20740</v>
      </c>
      <c r="H33" s="30">
        <f t="shared" ref="H33:H37" si="17">G33-F33</f>
        <v>0</v>
      </c>
      <c r="I33" s="191" t="s">
        <v>3497</v>
      </c>
      <c r="K33" s="31"/>
      <c r="L33" s="31">
        <v>43595</v>
      </c>
      <c r="M33" s="28" t="s">
        <v>45</v>
      </c>
      <c r="N33" s="191"/>
      <c r="O33" s="190">
        <v>37.700000000000003</v>
      </c>
      <c r="P33" s="32"/>
      <c r="Q33" s="190"/>
      <c r="R33" s="2"/>
      <c r="S33" s="33"/>
      <c r="T33" s="33"/>
      <c r="U33" s="2">
        <f>E33*5</f>
        <v>1250</v>
      </c>
      <c r="W33" s="2">
        <v>0.3</v>
      </c>
      <c r="X33" s="2">
        <f>((O33*F33)+Q33+R33+S33+U33)/G33</f>
        <v>37.760270009643207</v>
      </c>
      <c r="Y33" s="2">
        <f>((O33*F33)+Q33+R33+S33+T33+U33)/G33+W33</f>
        <v>38.060270009643205</v>
      </c>
      <c r="Z33" s="3">
        <f>Y33*G33</f>
        <v>789370.00000000012</v>
      </c>
      <c r="AA33" s="34">
        <v>43602</v>
      </c>
      <c r="AC33" s="35"/>
    </row>
    <row r="34" spans="1:32" x14ac:dyDescent="0.25">
      <c r="A34" s="208"/>
      <c r="B34" s="27" t="s">
        <v>26</v>
      </c>
      <c r="C34" t="s">
        <v>27</v>
      </c>
      <c r="D34" s="28" t="s">
        <v>1682</v>
      </c>
      <c r="E34">
        <v>130</v>
      </c>
      <c r="F34" s="29">
        <v>16085</v>
      </c>
      <c r="G34" s="30">
        <v>12880</v>
      </c>
      <c r="H34" s="30">
        <f t="shared" si="17"/>
        <v>-3205</v>
      </c>
      <c r="I34" s="28" t="s">
        <v>3445</v>
      </c>
      <c r="K34" s="31"/>
      <c r="L34" s="31">
        <v>43595</v>
      </c>
      <c r="M34" s="28" t="s">
        <v>45</v>
      </c>
      <c r="O34" s="2">
        <v>28.5</v>
      </c>
      <c r="P34" s="32"/>
      <c r="Q34" s="140">
        <v>18100</v>
      </c>
      <c r="R34" s="2">
        <f t="shared" ref="R34" si="18">75.45*E34</f>
        <v>9808.5</v>
      </c>
      <c r="S34" s="33">
        <f>-38*E34</f>
        <v>-4940</v>
      </c>
      <c r="T34" s="141">
        <f>X34*F34*0.0045</f>
        <v>2708.954400815217</v>
      </c>
      <c r="U34" s="2">
        <f>E34*5</f>
        <v>650</v>
      </c>
      <c r="W34" s="2">
        <v>0.3</v>
      </c>
      <c r="X34" s="2">
        <f>((O34*F34)+Q34+R34+S34+U34)/G34</f>
        <v>37.42554347826087</v>
      </c>
      <c r="Y34" s="2">
        <f>((O34*F34)+Q34+R34+S34+T34+U34)/G34+W34</f>
        <v>37.935866024908016</v>
      </c>
      <c r="Z34" s="3">
        <f>Y34*G34</f>
        <v>488613.95440081524</v>
      </c>
      <c r="AA34" s="34">
        <v>43608</v>
      </c>
      <c r="AC34" s="35" t="s">
        <v>3447</v>
      </c>
    </row>
    <row r="35" spans="1:32" x14ac:dyDescent="0.25">
      <c r="A35" s="208"/>
      <c r="B35" s="27" t="s">
        <v>2059</v>
      </c>
      <c r="C35" t="s">
        <v>3538</v>
      </c>
      <c r="D35" s="28" t="s">
        <v>2044</v>
      </c>
      <c r="E35" t="s">
        <v>3539</v>
      </c>
      <c r="F35" s="29">
        <v>100</v>
      </c>
      <c r="G35" s="30">
        <v>100</v>
      </c>
      <c r="H35" s="30">
        <f t="shared" si="17"/>
        <v>0</v>
      </c>
      <c r="I35" s="28" t="s">
        <v>3441</v>
      </c>
      <c r="K35" s="31"/>
      <c r="L35" s="31">
        <v>43595</v>
      </c>
      <c r="M35" s="28" t="s">
        <v>45</v>
      </c>
      <c r="O35" s="2">
        <v>170</v>
      </c>
      <c r="P35" s="32"/>
      <c r="Q35" s="190"/>
      <c r="R35" s="2"/>
      <c r="S35" s="33"/>
      <c r="T35" s="33"/>
      <c r="U35" s="2"/>
      <c r="W35" s="2"/>
      <c r="X35" s="2">
        <f t="shared" ref="X35:X36" si="19">IF(O35&gt;0,O35,((P35*2.2046*S35)+(Q35+R35)/G35)+V35)</f>
        <v>170</v>
      </c>
      <c r="Y35" s="2">
        <f t="shared" ref="Y35:Y36" si="20">IF(O35&gt;0,O35,((P35*2.2046*S35)+(Q35+R35+T35)/G35)+V35+W35)</f>
        <v>170</v>
      </c>
      <c r="Z35" s="3">
        <f t="shared" ref="Z35:Z36" si="21">Y35*F35</f>
        <v>17000</v>
      </c>
      <c r="AA35" s="34">
        <v>43595</v>
      </c>
    </row>
    <row r="36" spans="1:32" x14ac:dyDescent="0.25">
      <c r="A36" s="208"/>
      <c r="B36" s="27" t="s">
        <v>2321</v>
      </c>
      <c r="C36" t="s">
        <v>2322</v>
      </c>
      <c r="D36" s="28" t="s">
        <v>2044</v>
      </c>
      <c r="E36" t="s">
        <v>2320</v>
      </c>
      <c r="F36" s="29">
        <v>1003.34</v>
      </c>
      <c r="G36" s="30">
        <v>1003.34</v>
      </c>
      <c r="H36" s="30">
        <f t="shared" si="17"/>
        <v>0</v>
      </c>
      <c r="I36" s="28" t="s">
        <v>3441</v>
      </c>
      <c r="K36" s="31"/>
      <c r="L36" s="31">
        <v>43595</v>
      </c>
      <c r="M36" s="28" t="s">
        <v>45</v>
      </c>
      <c r="O36" s="2">
        <v>50</v>
      </c>
      <c r="P36" s="32"/>
      <c r="Q36" s="190"/>
      <c r="R36" s="2"/>
      <c r="S36" s="33"/>
      <c r="T36" s="33"/>
      <c r="U36" s="2"/>
      <c r="W36" s="2"/>
      <c r="X36" s="2">
        <f t="shared" si="19"/>
        <v>50</v>
      </c>
      <c r="Y36" s="2">
        <f t="shared" si="20"/>
        <v>50</v>
      </c>
      <c r="Z36" s="3">
        <f t="shared" si="21"/>
        <v>50167</v>
      </c>
      <c r="AA36" s="34">
        <v>43595</v>
      </c>
    </row>
    <row r="37" spans="1:32" x14ac:dyDescent="0.25">
      <c r="A37" s="208"/>
      <c r="B37" s="27" t="s">
        <v>30</v>
      </c>
      <c r="C37" t="s">
        <v>40</v>
      </c>
      <c r="D37" s="28" t="s">
        <v>40</v>
      </c>
      <c r="E37" t="s">
        <v>37</v>
      </c>
      <c r="F37" s="29">
        <f>42361*0.4536</f>
        <v>19214.9496</v>
      </c>
      <c r="G37" s="196">
        <v>19238.25</v>
      </c>
      <c r="H37" s="30">
        <f t="shared" si="17"/>
        <v>23.300400000000081</v>
      </c>
      <c r="I37" s="28" t="s">
        <v>3315</v>
      </c>
      <c r="J37" s="52" t="s">
        <v>196</v>
      </c>
      <c r="K37" s="31">
        <v>43595</v>
      </c>
      <c r="L37" s="31">
        <v>43596</v>
      </c>
      <c r="M37" s="28" t="s">
        <v>46</v>
      </c>
      <c r="N37" s="28" t="s">
        <v>3310</v>
      </c>
      <c r="O37" s="2"/>
      <c r="P37" s="32">
        <f>0.7367+0.105</f>
        <v>0.8417</v>
      </c>
      <c r="Q37" s="140">
        <v>26000</v>
      </c>
      <c r="R37" s="190">
        <v>136752</v>
      </c>
      <c r="S37" s="194">
        <v>19.018999999999998</v>
      </c>
      <c r="T37" s="141">
        <f>X37*F37*0.005</f>
        <v>4214.9619777863745</v>
      </c>
      <c r="V37" s="2">
        <v>0.12</v>
      </c>
      <c r="W37" s="2">
        <v>0.3</v>
      </c>
      <c r="X37" s="2">
        <f>IF(O37&gt;0,O37,((P37*2.2046*S37)+(Q37+R37)/G37)+V37)</f>
        <v>43.871694337271371</v>
      </c>
      <c r="Y37" s="2">
        <f>IF(O37&gt;0,O37,((P37*2.2046*S37)+(Q37+R37+T37)/G37)+V37+W37)</f>
        <v>44.390787133018719</v>
      </c>
      <c r="Z37" s="3">
        <f>Y37*F37</f>
        <v>852966.73746528313</v>
      </c>
      <c r="AA37" s="34">
        <v>43591</v>
      </c>
      <c r="AB37" s="3"/>
      <c r="AC37" s="35"/>
    </row>
    <row r="38" spans="1:32" ht="15.75" thickBot="1" x14ac:dyDescent="0.3">
      <c r="A38" s="209"/>
      <c r="B38" s="41"/>
      <c r="C38" s="4"/>
      <c r="D38" s="4"/>
      <c r="E38" s="4"/>
      <c r="F38" s="42"/>
      <c r="G38" s="42"/>
      <c r="H38" s="42"/>
      <c r="I38" s="7"/>
      <c r="J38" s="4"/>
      <c r="K38" s="8"/>
      <c r="L38" s="8"/>
      <c r="M38" s="4"/>
      <c r="N38" s="4"/>
      <c r="O38" s="9"/>
      <c r="P38" s="10"/>
      <c r="Q38" s="9"/>
      <c r="R38" s="9"/>
      <c r="S38" s="9"/>
      <c r="T38" s="9"/>
      <c r="U38" s="9"/>
      <c r="V38" s="9"/>
      <c r="W38" s="9"/>
      <c r="X38" s="9"/>
      <c r="Y38" s="9"/>
      <c r="Z38" s="13"/>
      <c r="AA38" s="43"/>
      <c r="AB38" s="3"/>
      <c r="AC38" s="35"/>
    </row>
    <row r="39" spans="1:32" x14ac:dyDescent="0.25">
      <c r="A39" s="146"/>
      <c r="B39" s="14" t="s">
        <v>26</v>
      </c>
      <c r="C39" s="14" t="s">
        <v>27</v>
      </c>
      <c r="D39" s="15" t="s">
        <v>1682</v>
      </c>
      <c r="E39" s="14">
        <v>220</v>
      </c>
      <c r="F39" s="16">
        <v>25900</v>
      </c>
      <c r="G39" s="17">
        <v>18840</v>
      </c>
      <c r="H39" s="30">
        <f t="shared" ref="H39:H43" si="22">G39-F39</f>
        <v>-7060</v>
      </c>
      <c r="I39" s="19" t="s">
        <v>3492</v>
      </c>
      <c r="J39" s="121">
        <v>199</v>
      </c>
      <c r="K39" s="20"/>
      <c r="L39" s="20">
        <v>43597</v>
      </c>
      <c r="M39" s="15" t="s">
        <v>28</v>
      </c>
      <c r="N39" s="14"/>
      <c r="O39" s="21">
        <v>29</v>
      </c>
      <c r="P39" s="22"/>
      <c r="Q39" s="139">
        <v>22800</v>
      </c>
      <c r="R39" s="2">
        <f t="shared" ref="R39:R41" si="23">75.45*E39</f>
        <v>16599</v>
      </c>
      <c r="S39" s="21">
        <f>-38*E39</f>
        <v>-8360</v>
      </c>
      <c r="T39" s="157">
        <f>X39*F39*0.0045</f>
        <v>4845.3559156050951</v>
      </c>
      <c r="U39" s="21">
        <f>E39*5</f>
        <v>1100</v>
      </c>
      <c r="V39" s="14"/>
      <c r="W39" s="21">
        <v>0.3</v>
      </c>
      <c r="X39" s="21">
        <f>((O39*F39)+Q39+R39+S39+U39)/G39</f>
        <v>41.573195329087049</v>
      </c>
      <c r="Y39" s="24">
        <f>((O39*F39)+Q39+R39+S39+T39+U39)/G39+W39</f>
        <v>42.13037982566906</v>
      </c>
      <c r="Z39" s="24">
        <f>Y39*G39</f>
        <v>793736.35591560509</v>
      </c>
      <c r="AA39" s="25">
        <v>43612</v>
      </c>
      <c r="AB39" s="3"/>
      <c r="AC39" s="3"/>
    </row>
    <row r="40" spans="1:32" x14ac:dyDescent="0.25">
      <c r="A40" s="147"/>
      <c r="B40" s="27" t="s">
        <v>26</v>
      </c>
      <c r="C40" t="s">
        <v>27</v>
      </c>
      <c r="D40" s="28" t="s">
        <v>1871</v>
      </c>
      <c r="E40">
        <v>108</v>
      </c>
      <c r="F40" s="29">
        <v>13015</v>
      </c>
      <c r="G40" s="30">
        <v>12180</v>
      </c>
      <c r="H40" s="30">
        <f t="shared" si="22"/>
        <v>-835</v>
      </c>
      <c r="I40" s="28" t="s">
        <v>3493</v>
      </c>
      <c r="J40" s="55">
        <v>129</v>
      </c>
      <c r="K40" s="31"/>
      <c r="L40" s="31">
        <v>43597</v>
      </c>
      <c r="M40" s="28" t="s">
        <v>28</v>
      </c>
      <c r="O40" s="2">
        <v>29</v>
      </c>
      <c r="P40" s="32"/>
      <c r="Q40" s="140">
        <v>18100</v>
      </c>
      <c r="R40" s="2">
        <f t="shared" si="23"/>
        <v>8148.6</v>
      </c>
      <c r="S40" s="33">
        <f>-38*E40</f>
        <v>-4104</v>
      </c>
      <c r="T40" s="141">
        <f>X40*F40*0.0045</f>
        <v>1923.9741110837438</v>
      </c>
      <c r="U40" s="2">
        <f>E40*5</f>
        <v>540</v>
      </c>
      <c r="W40" s="2">
        <v>0.3</v>
      </c>
      <c r="X40" s="2">
        <f>((O40*F40)+Q40+R40+S40+U40)/G40</f>
        <v>32.85054187192118</v>
      </c>
      <c r="Y40" s="2">
        <f>((O40*F40)+Q40+R40+S40+T40+U40)/G40+W40</f>
        <v>33.308503621599641</v>
      </c>
      <c r="Z40" s="3">
        <f>Y40*G40</f>
        <v>405697.57411108364</v>
      </c>
      <c r="AA40" s="34">
        <v>43612</v>
      </c>
      <c r="AB40" s="3">
        <v>38.67</v>
      </c>
      <c r="AC40" s="35" t="s">
        <v>3495</v>
      </c>
    </row>
    <row r="41" spans="1:32" x14ac:dyDescent="0.25">
      <c r="A41" s="147"/>
      <c r="B41" s="27" t="s">
        <v>26</v>
      </c>
      <c r="C41" t="s">
        <v>27</v>
      </c>
      <c r="D41" s="28" t="s">
        <v>1998</v>
      </c>
      <c r="E41">
        <f>215+30</f>
        <v>245</v>
      </c>
      <c r="F41" s="29">
        <f>26588+3440</f>
        <v>30028</v>
      </c>
      <c r="G41" s="196">
        <f>12550+11430</f>
        <v>23980</v>
      </c>
      <c r="H41" s="30">
        <f t="shared" si="22"/>
        <v>-6048</v>
      </c>
      <c r="I41" s="28" t="s">
        <v>3494</v>
      </c>
      <c r="K41" s="31"/>
      <c r="L41" s="31">
        <v>43598</v>
      </c>
      <c r="M41" s="28" t="s">
        <v>29</v>
      </c>
      <c r="O41" s="2">
        <v>29</v>
      </c>
      <c r="P41" s="32"/>
      <c r="Q41" s="138">
        <v>22800</v>
      </c>
      <c r="R41" s="2">
        <f t="shared" si="23"/>
        <v>18485.25</v>
      </c>
      <c r="S41" s="33">
        <f>-38*E41</f>
        <v>-9310</v>
      </c>
      <c r="T41" s="141">
        <f>X41*F41*0.0045</f>
        <v>5094.0600205796491</v>
      </c>
      <c r="U41" s="2">
        <f>E41*5</f>
        <v>1225</v>
      </c>
      <c r="W41" s="2">
        <v>0.3</v>
      </c>
      <c r="X41" s="2">
        <f>((O41*F41)+Q41+R41+S41+U41)/G41</f>
        <v>37.698592577147622</v>
      </c>
      <c r="Y41" s="2">
        <f>((O41*F41)+Q41+R41+S41+T41+U41)/G41+W41</f>
        <v>38.211022102609654</v>
      </c>
      <c r="Z41" s="3">
        <f>Y41*G41</f>
        <v>916300.31002057949</v>
      </c>
      <c r="AA41" s="34">
        <v>43612</v>
      </c>
      <c r="AB41" s="3"/>
      <c r="AC41" s="35" t="s">
        <v>3500</v>
      </c>
    </row>
    <row r="42" spans="1:32" x14ac:dyDescent="0.25">
      <c r="A42" s="147"/>
      <c r="B42" s="27" t="s">
        <v>3452</v>
      </c>
      <c r="C42" t="s">
        <v>3185</v>
      </c>
      <c r="D42" s="28" t="s">
        <v>1806</v>
      </c>
      <c r="E42" t="s">
        <v>3540</v>
      </c>
      <c r="F42" s="29">
        <v>1501.87</v>
      </c>
      <c r="G42" s="196">
        <v>1501.87</v>
      </c>
      <c r="H42" s="30">
        <f t="shared" si="22"/>
        <v>0</v>
      </c>
      <c r="I42" s="28" t="s">
        <v>3541</v>
      </c>
      <c r="K42" s="31"/>
      <c r="L42" s="31">
        <v>43598</v>
      </c>
      <c r="M42" s="28" t="s">
        <v>29</v>
      </c>
      <c r="O42" s="2">
        <v>91</v>
      </c>
      <c r="P42" s="32"/>
      <c r="Q42" s="190"/>
      <c r="R42" s="2"/>
      <c r="S42" s="33"/>
      <c r="T42" s="33"/>
      <c r="U42" s="2"/>
      <c r="W42" s="2"/>
      <c r="X42" s="2">
        <f>IF(O42&gt;0,O42,((P42*2.2046*S42)+(Q42+R42)/G42)+V42)</f>
        <v>91</v>
      </c>
      <c r="Y42" s="2">
        <f>IF(O42&gt;0,O42,((P42*2.2046*S42)+(Q42+R42+T42)/G42)+V42+W42)</f>
        <v>91</v>
      </c>
      <c r="Z42" s="3">
        <f>Y42*F42</f>
        <v>136670.16999999998</v>
      </c>
      <c r="AA42" s="34">
        <v>43605</v>
      </c>
      <c r="AB42" s="3"/>
      <c r="AC42" s="35"/>
    </row>
    <row r="43" spans="1:32" x14ac:dyDescent="0.25">
      <c r="A43" s="147"/>
      <c r="B43" s="27" t="s">
        <v>30</v>
      </c>
      <c r="C43" s="28" t="s">
        <v>1790</v>
      </c>
      <c r="D43" s="28" t="s">
        <v>1790</v>
      </c>
      <c r="E43" t="s">
        <v>32</v>
      </c>
      <c r="F43" s="29">
        <f>40798*0.4536</f>
        <v>18505.9728</v>
      </c>
      <c r="G43" s="196">
        <v>18827.259999999998</v>
      </c>
      <c r="H43" s="30">
        <f t="shared" si="22"/>
        <v>321.28719999999885</v>
      </c>
      <c r="I43" s="28" t="s">
        <v>3485</v>
      </c>
      <c r="J43" s="52" t="s">
        <v>196</v>
      </c>
      <c r="K43" s="31">
        <v>43598</v>
      </c>
      <c r="L43" s="31">
        <v>43599</v>
      </c>
      <c r="M43" s="28" t="s">
        <v>48</v>
      </c>
      <c r="N43" s="28" t="s">
        <v>3402</v>
      </c>
      <c r="O43" s="2"/>
      <c r="P43" s="32">
        <f>0.7486+0.095</f>
        <v>0.84360000000000002</v>
      </c>
      <c r="Q43" s="140">
        <v>26000</v>
      </c>
      <c r="R43" s="190">
        <v>133574</v>
      </c>
      <c r="S43" s="194">
        <v>19.239999999999998</v>
      </c>
      <c r="T43" s="141">
        <f t="shared" ref="T43" si="24">X43*F43*0.005</f>
        <v>4106.3135988734293</v>
      </c>
      <c r="V43" s="2">
        <v>0.12</v>
      </c>
      <c r="W43" s="2">
        <v>0.3</v>
      </c>
      <c r="X43" s="2">
        <f>IF(O43&gt;0,O43,((P43*2.2046*S43)+(Q43+R43)/G43)+V43)</f>
        <v>44.378251748791385</v>
      </c>
      <c r="Y43" s="2">
        <f>IF(O43&gt;0,O43,((P43*2.2046*S43)+(Q43+R43+T43)/G43)+V43+W43)</f>
        <v>44.89635643310941</v>
      </c>
      <c r="Z43" s="3">
        <f>Y43*F43</f>
        <v>830850.75097022776</v>
      </c>
      <c r="AA43" s="34">
        <v>43598</v>
      </c>
      <c r="AB43" s="3">
        <v>45.05</v>
      </c>
      <c r="AC43" s="35"/>
    </row>
    <row r="44" spans="1:32" x14ac:dyDescent="0.25">
      <c r="A44" s="147"/>
      <c r="B44" s="27" t="s">
        <v>26</v>
      </c>
      <c r="C44" t="s">
        <v>27</v>
      </c>
      <c r="D44" s="226" t="s">
        <v>1682</v>
      </c>
      <c r="E44">
        <v>200</v>
      </c>
      <c r="F44" s="29">
        <v>24900</v>
      </c>
      <c r="G44" s="196">
        <f>13110+6790</f>
        <v>19900</v>
      </c>
      <c r="H44" s="30">
        <f>G44-F44</f>
        <v>-5000</v>
      </c>
      <c r="I44" s="28" t="s">
        <v>3512</v>
      </c>
      <c r="K44" s="31"/>
      <c r="L44" s="31">
        <v>43599</v>
      </c>
      <c r="M44" s="28" t="s">
        <v>48</v>
      </c>
      <c r="O44" s="2">
        <v>29</v>
      </c>
      <c r="P44" s="32"/>
      <c r="Q44" s="138">
        <v>22800</v>
      </c>
      <c r="R44" s="2">
        <f>75.45*E44</f>
        <v>15090</v>
      </c>
      <c r="S44" s="33">
        <f>-38*E44</f>
        <v>-7600</v>
      </c>
      <c r="T44" s="141">
        <f>X44*F44*0.005</f>
        <v>4713.419849246231</v>
      </c>
      <c r="U44" s="2">
        <f>E44*5</f>
        <v>1000</v>
      </c>
      <c r="W44" s="2">
        <v>0.3</v>
      </c>
      <c r="X44" s="2">
        <f>((O44*F44)+Q44+R44+S44+U44)/G44</f>
        <v>37.858793969849245</v>
      </c>
      <c r="Y44" s="2">
        <f>((O44*F44)+Q44+R44+S44+T44+U44)/G44+W44</f>
        <v>38.395649238655587</v>
      </c>
      <c r="Z44" s="3">
        <f>Y44*G44</f>
        <v>764073.41984924616</v>
      </c>
      <c r="AA44" s="34">
        <v>43613</v>
      </c>
      <c r="AB44" s="3">
        <v>45.15</v>
      </c>
      <c r="AC44" s="35" t="s">
        <v>3513</v>
      </c>
      <c r="AF44" s="30"/>
    </row>
    <row r="45" spans="1:32" x14ac:dyDescent="0.25">
      <c r="A45" s="147"/>
      <c r="B45" s="27" t="s">
        <v>30</v>
      </c>
      <c r="C45" s="28" t="s">
        <v>31</v>
      </c>
      <c r="D45" s="28" t="s">
        <v>31</v>
      </c>
      <c r="E45" t="s">
        <v>32</v>
      </c>
      <c r="F45" s="29">
        <f>40506*0.4536</f>
        <v>18373.5216</v>
      </c>
      <c r="G45" s="196">
        <v>18382.8</v>
      </c>
      <c r="H45" s="30">
        <f t="shared" ref="H45" si="25">G45-F45</f>
        <v>9.2783999999992375</v>
      </c>
      <c r="I45" s="28" t="s">
        <v>3401</v>
      </c>
      <c r="J45" s="52" t="s">
        <v>1690</v>
      </c>
      <c r="K45" s="31">
        <v>43599</v>
      </c>
      <c r="L45" s="31">
        <v>43600</v>
      </c>
      <c r="M45" s="28" t="s">
        <v>33</v>
      </c>
      <c r="N45" s="28" t="s">
        <v>3406</v>
      </c>
      <c r="O45" s="2"/>
      <c r="P45" s="32">
        <f>0.7486+0.105</f>
        <v>0.85360000000000003</v>
      </c>
      <c r="Q45" s="140">
        <v>26000</v>
      </c>
      <c r="R45" s="190">
        <v>133469</v>
      </c>
      <c r="S45" s="194">
        <v>19.021000000000001</v>
      </c>
      <c r="T45" s="141">
        <f t="shared" ref="T45" si="26">X45*F45*0.005</f>
        <v>4096.3312621755931</v>
      </c>
      <c r="V45" s="2">
        <v>0.12</v>
      </c>
      <c r="W45" s="2">
        <v>0.3</v>
      </c>
      <c r="X45" s="2">
        <f>IF(O45&gt;0,O45,((P45*2.2046*S45)+(Q45+R45)/G45)+V45)</f>
        <v>44.589506044128122</v>
      </c>
      <c r="Y45" s="2">
        <f>IF(O45&gt;0,O45,((P45*2.2046*S45)+(Q45+R45+T45)/G45)+V45+W45)</f>
        <v>45.112341045443245</v>
      </c>
      <c r="Z45" s="3">
        <f>Y45*F45</f>
        <v>828872.57262501807</v>
      </c>
      <c r="AA45" s="34">
        <v>43592</v>
      </c>
      <c r="AB45" s="3">
        <v>45.63</v>
      </c>
      <c r="AC45" s="35"/>
    </row>
    <row r="46" spans="1:32" x14ac:dyDescent="0.25">
      <c r="A46" s="147"/>
      <c r="B46" s="27" t="s">
        <v>26</v>
      </c>
      <c r="C46" t="s">
        <v>43</v>
      </c>
      <c r="D46" s="28" t="s">
        <v>44</v>
      </c>
      <c r="E46">
        <v>240</v>
      </c>
      <c r="F46" s="29">
        <v>20809.400000000001</v>
      </c>
      <c r="G46" s="30">
        <f>14700+6160</f>
        <v>20860</v>
      </c>
      <c r="H46" s="30">
        <f>G46-F46</f>
        <v>50.599999999998545</v>
      </c>
      <c r="I46" s="191" t="s">
        <v>3550</v>
      </c>
      <c r="K46" s="31"/>
      <c r="L46" s="31">
        <v>43600</v>
      </c>
      <c r="M46" s="28" t="s">
        <v>33</v>
      </c>
      <c r="O46" s="2">
        <v>38.1</v>
      </c>
      <c r="P46" s="32"/>
      <c r="Q46" s="138">
        <v>22800</v>
      </c>
      <c r="R46" s="2"/>
      <c r="S46" s="33"/>
      <c r="T46" s="141">
        <f>X46*F46*0.005</f>
        <v>4074.2836985896465</v>
      </c>
      <c r="U46" s="2">
        <f>E46*5</f>
        <v>1200</v>
      </c>
      <c r="W46" s="2">
        <v>0.3</v>
      </c>
      <c r="X46" s="2">
        <f>((O46*F46)+Q46+R46+S46+U46)/G46</f>
        <v>39.158108341323114</v>
      </c>
      <c r="Y46" s="2">
        <f>((O46*F46)+Q46+R46+S46+T46+U46)/G46+W46</f>
        <v>39.653423954870071</v>
      </c>
      <c r="Z46" s="3">
        <f>Y46*G46</f>
        <v>827170.42369858967</v>
      </c>
      <c r="AA46" s="34">
        <v>43608</v>
      </c>
      <c r="AB46" s="3">
        <v>45.22</v>
      </c>
      <c r="AC46" s="35" t="s">
        <v>3523</v>
      </c>
    </row>
    <row r="47" spans="1:32" x14ac:dyDescent="0.25">
      <c r="A47" s="147"/>
      <c r="B47" s="27" t="s">
        <v>1805</v>
      </c>
      <c r="C47" s="28" t="s">
        <v>2450</v>
      </c>
      <c r="D47" s="28" t="s">
        <v>1806</v>
      </c>
      <c r="E47" t="s">
        <v>2455</v>
      </c>
      <c r="F47" s="29">
        <f>866+881+869+867</f>
        <v>3483</v>
      </c>
      <c r="G47" s="30">
        <v>3483</v>
      </c>
      <c r="H47" s="30">
        <f>G47-F47</f>
        <v>0</v>
      </c>
      <c r="I47" s="199" t="s">
        <v>3642</v>
      </c>
      <c r="K47" s="31"/>
      <c r="L47" s="31">
        <v>43600</v>
      </c>
      <c r="M47" s="28" t="s">
        <v>33</v>
      </c>
      <c r="O47" s="2">
        <v>18</v>
      </c>
      <c r="P47" s="32"/>
      <c r="Q47" s="197"/>
      <c r="R47" s="2"/>
      <c r="S47" s="33"/>
      <c r="T47" s="33"/>
      <c r="U47" s="2"/>
      <c r="W47" s="2"/>
      <c r="X47" s="2">
        <f>IF(O47&gt;0,O47,((P47*2.2046*S47)+(Q47+R47)/G47)+V47)</f>
        <v>18</v>
      </c>
      <c r="Y47" s="2">
        <f>IF(O47&gt;0,O47,((P47*2.2046*S47)+(Q47+R47+T47)/G47)+V47+W47)</f>
        <v>18</v>
      </c>
      <c r="Z47" s="3">
        <f>Y47*F47</f>
        <v>62694</v>
      </c>
      <c r="AA47" s="34">
        <v>43607</v>
      </c>
      <c r="AB47" s="3"/>
      <c r="AC47" s="35"/>
    </row>
    <row r="48" spans="1:32" x14ac:dyDescent="0.25">
      <c r="A48" s="147"/>
      <c r="B48" s="27" t="s">
        <v>30</v>
      </c>
      <c r="C48" s="28" t="s">
        <v>40</v>
      </c>
      <c r="D48" s="28" t="s">
        <v>40</v>
      </c>
      <c r="E48" t="s">
        <v>37</v>
      </c>
      <c r="F48" s="29">
        <f>41980*0.4536</f>
        <v>19042.128000000001</v>
      </c>
      <c r="G48" s="196">
        <v>19023.25</v>
      </c>
      <c r="H48" s="30">
        <f>G48-F48</f>
        <v>-18.878000000000611</v>
      </c>
      <c r="I48" t="s">
        <v>3408</v>
      </c>
      <c r="J48" s="52" t="s">
        <v>196</v>
      </c>
      <c r="K48" s="31">
        <v>43600</v>
      </c>
      <c r="L48" s="31">
        <v>43601</v>
      </c>
      <c r="M48" s="28" t="s">
        <v>41</v>
      </c>
      <c r="N48" s="28" t="s">
        <v>3403</v>
      </c>
      <c r="O48" s="2"/>
      <c r="P48" s="32">
        <f>0.7486+0.105</f>
        <v>0.85360000000000003</v>
      </c>
      <c r="Q48" s="140">
        <v>26000</v>
      </c>
      <c r="R48" s="190">
        <v>138256</v>
      </c>
      <c r="S48" s="194">
        <v>19.309999999999999</v>
      </c>
      <c r="T48" s="141">
        <f>X48*F48*0.005</f>
        <v>4293.3280405939831</v>
      </c>
      <c r="V48" s="2">
        <v>0.12</v>
      </c>
      <c r="W48" s="2">
        <v>0.3</v>
      </c>
      <c r="X48" s="2">
        <f>IF(O48&gt;0,O48,((P48*2.2046*S48)+(Q48+R48)/G48)+V48)</f>
        <v>45.092943820081274</v>
      </c>
      <c r="Y48" s="2">
        <f>IF(O48&gt;0,O48,((P48*2.2046*S48)+(Q48+R48+T48)/G48)+V48+W48)</f>
        <v>45.618632282388923</v>
      </c>
      <c r="Z48" s="3">
        <f>Y48*F48</f>
        <v>868675.83510618203</v>
      </c>
      <c r="AA48" s="34">
        <v>43594</v>
      </c>
      <c r="AB48" s="3">
        <v>44.7</v>
      </c>
    </row>
    <row r="49" spans="1:30" x14ac:dyDescent="0.25">
      <c r="A49" s="147"/>
      <c r="B49" s="27" t="s">
        <v>30</v>
      </c>
      <c r="C49" s="28" t="s">
        <v>35</v>
      </c>
      <c r="D49" s="28" t="s">
        <v>36</v>
      </c>
      <c r="E49" t="s">
        <v>37</v>
      </c>
      <c r="F49" s="29">
        <f>41663*0.4536</f>
        <v>18898.336800000001</v>
      </c>
      <c r="G49" s="196">
        <v>18854.87</v>
      </c>
      <c r="H49" s="30">
        <f>G49-F49</f>
        <v>-43.466800000001967</v>
      </c>
      <c r="I49" t="s">
        <v>3409</v>
      </c>
      <c r="J49" s="52" t="s">
        <v>196</v>
      </c>
      <c r="K49" s="31">
        <v>43600</v>
      </c>
      <c r="L49" s="31">
        <v>43601</v>
      </c>
      <c r="M49" s="28" t="s">
        <v>41</v>
      </c>
      <c r="N49" s="28" t="s">
        <v>3404</v>
      </c>
      <c r="O49" s="2"/>
      <c r="P49" s="32">
        <f>0.7486+0.1</f>
        <v>0.84860000000000002</v>
      </c>
      <c r="Q49" s="140">
        <v>26000</v>
      </c>
      <c r="R49" s="190">
        <v>139809</v>
      </c>
      <c r="S49" s="194">
        <v>19.11</v>
      </c>
      <c r="T49" s="141">
        <f>X49*F49*0.005</f>
        <v>4220.5088328245074</v>
      </c>
      <c r="V49" s="2">
        <v>0.12</v>
      </c>
      <c r="W49" s="2">
        <v>0.3</v>
      </c>
      <c r="X49" s="2">
        <f>IF(O49&gt;0,O49,((P49*2.2046*S49)+(Q49+R49)/G49)+V49)</f>
        <v>44.665399685590394</v>
      </c>
      <c r="Y49" s="2">
        <f>IF(O49&gt;0,O49,((P49*2.2046*S49)+(Q49+R49+T49)/G49)+V49+W49)</f>
        <v>45.189241527662205</v>
      </c>
      <c r="Z49" s="3">
        <f>Y49*F49</f>
        <v>854001.50612630695</v>
      </c>
      <c r="AA49" s="34">
        <v>43571</v>
      </c>
      <c r="AB49" s="3">
        <v>45.38</v>
      </c>
      <c r="AC49" s="35"/>
    </row>
    <row r="50" spans="1:30" x14ac:dyDescent="0.25">
      <c r="A50" s="147"/>
      <c r="B50" s="27" t="s">
        <v>26</v>
      </c>
      <c r="C50" t="s">
        <v>43</v>
      </c>
      <c r="D50" s="28" t="s">
        <v>44</v>
      </c>
      <c r="E50">
        <v>241</v>
      </c>
      <c r="F50" s="29">
        <v>19860</v>
      </c>
      <c r="G50" s="30">
        <v>19860</v>
      </c>
      <c r="H50" s="30">
        <f t="shared" ref="H50:H51" si="27">G50-F50</f>
        <v>0</v>
      </c>
      <c r="I50" s="191" t="s">
        <v>3551</v>
      </c>
      <c r="K50" s="31"/>
      <c r="L50" s="31">
        <v>43601</v>
      </c>
      <c r="M50" s="28" t="s">
        <v>41</v>
      </c>
      <c r="N50" s="191"/>
      <c r="O50" s="190">
        <v>38.1</v>
      </c>
      <c r="P50" s="32"/>
      <c r="Q50" s="138">
        <v>22800</v>
      </c>
      <c r="R50" s="190"/>
      <c r="S50" s="33"/>
      <c r="T50" s="141">
        <f>X50*F50*0.0045</f>
        <v>3513.0194999999999</v>
      </c>
      <c r="U50" s="2">
        <f>E50*5</f>
        <v>1205</v>
      </c>
      <c r="W50" s="2">
        <v>0.3</v>
      </c>
      <c r="X50" s="2">
        <f t="shared" ref="X50" si="28">((O50*F50)+Q50+R50+S50+U50)/G50</f>
        <v>39.308710976837865</v>
      </c>
      <c r="Y50" s="2">
        <f>((O50*F50)+Q50+R50+S50+T50+U50)/G50+W50</f>
        <v>39.785600176233636</v>
      </c>
      <c r="Z50" s="3">
        <f>Y50*G50</f>
        <v>790142.01950000005</v>
      </c>
      <c r="AA50" s="34">
        <v>43612</v>
      </c>
      <c r="AB50" s="3">
        <v>46.6</v>
      </c>
      <c r="AC50" s="224">
        <f>(AB43+AB44+AB45+AB46+AB48+AB49+AB50)/7</f>
        <v>45.39</v>
      </c>
    </row>
    <row r="51" spans="1:30" x14ac:dyDescent="0.25">
      <c r="A51" s="147"/>
      <c r="B51" s="27" t="s">
        <v>26</v>
      </c>
      <c r="C51" t="s">
        <v>27</v>
      </c>
      <c r="D51" s="28" t="s">
        <v>1682</v>
      </c>
      <c r="E51">
        <v>130</v>
      </c>
      <c r="F51" s="29">
        <v>15740</v>
      </c>
      <c r="G51" s="30">
        <v>12540</v>
      </c>
      <c r="H51" s="30">
        <f t="shared" si="27"/>
        <v>-3200</v>
      </c>
      <c r="I51" t="s">
        <v>3522</v>
      </c>
      <c r="K51" s="31"/>
      <c r="L51" s="31">
        <v>43601</v>
      </c>
      <c r="M51" s="28" t="s">
        <v>41</v>
      </c>
      <c r="O51" s="2">
        <v>29</v>
      </c>
      <c r="P51" s="32"/>
      <c r="Q51" s="140">
        <v>18100</v>
      </c>
      <c r="R51" s="190">
        <f t="shared" ref="R51" si="29">75.45*E51</f>
        <v>9808.5</v>
      </c>
      <c r="S51" s="33">
        <f>-38*E51</f>
        <v>-4940</v>
      </c>
      <c r="T51" s="141">
        <f>X51*F51*0.0045</f>
        <v>2711.6395657894732</v>
      </c>
      <c r="U51" s="2">
        <f>E51*5</f>
        <v>650</v>
      </c>
      <c r="W51" s="2">
        <v>0.3</v>
      </c>
      <c r="X51" s="2">
        <f>((O51*F51)+Q51+R51+S51+U51)/G51</f>
        <v>38.28377192982456</v>
      </c>
      <c r="Y51" s="2">
        <f>((O51*F51)+Q51+R51+S51+T51+U51)/G51+W51</f>
        <v>38.800011129648283</v>
      </c>
      <c r="Z51" s="3">
        <f>Y51*G51</f>
        <v>486552.13956578949</v>
      </c>
      <c r="AA51" s="34">
        <v>43614</v>
      </c>
      <c r="AB51" s="3"/>
      <c r="AC51" s="35" t="s">
        <v>3526</v>
      </c>
    </row>
    <row r="52" spans="1:30" x14ac:dyDescent="0.25">
      <c r="A52" s="147"/>
      <c r="B52" s="27" t="s">
        <v>30</v>
      </c>
      <c r="C52" s="28" t="s">
        <v>1790</v>
      </c>
      <c r="D52" s="28" t="s">
        <v>1790</v>
      </c>
      <c r="E52" t="s">
        <v>32</v>
      </c>
      <c r="F52" s="29">
        <f>41262*0.4536</f>
        <v>18716.443200000002</v>
      </c>
      <c r="G52" s="196">
        <v>18718.79</v>
      </c>
      <c r="H52" s="30">
        <f>G52-F52</f>
        <v>2.3467999999993481</v>
      </c>
      <c r="I52" s="28" t="s">
        <v>3410</v>
      </c>
      <c r="J52" s="52" t="s">
        <v>196</v>
      </c>
      <c r="K52" s="31">
        <v>43601</v>
      </c>
      <c r="L52" s="31">
        <v>43602</v>
      </c>
      <c r="M52" s="28" t="s">
        <v>45</v>
      </c>
      <c r="N52" s="28" t="s">
        <v>3496</v>
      </c>
      <c r="O52" s="2"/>
      <c r="P52" s="32">
        <f>0.7486+0.095</f>
        <v>0.84360000000000002</v>
      </c>
      <c r="Q52" s="140">
        <v>26000</v>
      </c>
      <c r="R52" s="190">
        <v>134191</v>
      </c>
      <c r="S52" s="194">
        <v>19.108000000000001</v>
      </c>
      <c r="T52" s="141">
        <f>X52*F52*0.005</f>
        <v>4137.7221256772364</v>
      </c>
      <c r="V52" s="2">
        <v>0.12</v>
      </c>
      <c r="W52" s="2">
        <v>0.3</v>
      </c>
      <c r="X52" s="2">
        <f>IF(O52&gt;0,O52,((P52*2.2046*S52)+(Q52+R52)/G52)+V52)</f>
        <v>44.2148337850563</v>
      </c>
      <c r="Y52" s="2">
        <f>IF(O52&gt;0,O52,((P52*2.2046*S52)+(Q52+R52+T52)/G52)+V52+W52)</f>
        <v>44.735880237614246</v>
      </c>
      <c r="Z52" s="3">
        <f>Y52*F52</f>
        <v>837296.56146930961</v>
      </c>
      <c r="AA52" s="34">
        <v>43602</v>
      </c>
      <c r="AB52" s="3"/>
      <c r="AC52" s="35"/>
    </row>
    <row r="53" spans="1:30" x14ac:dyDescent="0.25">
      <c r="A53" s="147"/>
      <c r="B53" s="27" t="s">
        <v>30</v>
      </c>
      <c r="C53" s="28" t="s">
        <v>31</v>
      </c>
      <c r="D53" s="28" t="s">
        <v>31</v>
      </c>
      <c r="E53" t="s">
        <v>32</v>
      </c>
      <c r="F53" s="29">
        <f>40876*0.4536</f>
        <v>18541.353599999999</v>
      </c>
      <c r="G53" s="196">
        <v>18544.669999999998</v>
      </c>
      <c r="H53" s="30">
        <f>G53-F53</f>
        <v>3.3163999999997031</v>
      </c>
      <c r="I53" s="28" t="s">
        <v>3411</v>
      </c>
      <c r="J53" s="52" t="s">
        <v>196</v>
      </c>
      <c r="K53" s="31">
        <v>43601</v>
      </c>
      <c r="L53" s="31">
        <v>43602</v>
      </c>
      <c r="M53" s="28" t="s">
        <v>45</v>
      </c>
      <c r="N53" s="28" t="s">
        <v>3405</v>
      </c>
      <c r="O53" s="2"/>
      <c r="P53" s="32">
        <f>0.7506+0.105</f>
        <v>0.85560000000000003</v>
      </c>
      <c r="Q53" s="140">
        <v>26000</v>
      </c>
      <c r="R53" s="190">
        <v>134926</v>
      </c>
      <c r="S53" s="194">
        <v>19.106000000000002</v>
      </c>
      <c r="T53" s="141">
        <f>X53*F53*0.005</f>
        <v>4156.6518247710992</v>
      </c>
      <c r="V53" s="2">
        <v>0.12</v>
      </c>
      <c r="W53" s="2">
        <v>0.3</v>
      </c>
      <c r="X53" s="2">
        <f>IF(O53&gt;0,O53,((P53*2.2046*S53)+(Q53+R53)/G53)+V53)</f>
        <v>44.836552006333555</v>
      </c>
      <c r="Y53" s="2">
        <f>IF(O53&gt;0,O53,((P53*2.2046*S53)+(Q53+R53+T53)/G53)+V53+W53)</f>
        <v>45.360694675077241</v>
      </c>
      <c r="Z53" s="3">
        <f>Y53*F53</f>
        <v>841048.67951224418</v>
      </c>
      <c r="AA53" s="34">
        <v>43594</v>
      </c>
      <c r="AB53" s="3"/>
      <c r="AC53" s="35"/>
    </row>
    <row r="54" spans="1:30" x14ac:dyDescent="0.25">
      <c r="A54" s="147"/>
      <c r="B54" s="27" t="s">
        <v>26</v>
      </c>
      <c r="C54" t="s">
        <v>43</v>
      </c>
      <c r="D54" s="28" t="s">
        <v>44</v>
      </c>
      <c r="E54">
        <v>240</v>
      </c>
      <c r="F54" s="29">
        <v>21408</v>
      </c>
      <c r="G54" s="30">
        <v>21400</v>
      </c>
      <c r="H54" s="30">
        <f t="shared" ref="H54:H57" si="30">G54-F54</f>
        <v>-8</v>
      </c>
      <c r="I54" s="191" t="s">
        <v>3552</v>
      </c>
      <c r="K54" s="31"/>
      <c r="L54" s="31">
        <v>43602</v>
      </c>
      <c r="M54" s="28" t="s">
        <v>45</v>
      </c>
      <c r="O54" s="2">
        <v>37.700000000000003</v>
      </c>
      <c r="P54" s="32"/>
      <c r="Q54" s="190"/>
      <c r="R54" s="190"/>
      <c r="S54" s="33"/>
      <c r="T54" s="33"/>
      <c r="U54" s="2">
        <f>E54*5</f>
        <v>1200</v>
      </c>
      <c r="W54" s="2">
        <v>0.3</v>
      </c>
      <c r="X54" s="2">
        <f>((O54*F54)+Q54+R54+S54+U54)/G54</f>
        <v>37.77016822429907</v>
      </c>
      <c r="Y54" s="2">
        <f>((O54*F54)+Q54+R54+S54+T54+U54)/G54+W54</f>
        <v>38.070168224299067</v>
      </c>
      <c r="Z54" s="3">
        <f>Y54*G54</f>
        <v>814701.60000000009</v>
      </c>
      <c r="AA54" s="34">
        <v>43613</v>
      </c>
      <c r="AB54" s="3">
        <v>39.1</v>
      </c>
      <c r="AC54" s="35">
        <v>37.700000000000003</v>
      </c>
      <c r="AD54" t="s">
        <v>3530</v>
      </c>
    </row>
    <row r="55" spans="1:30" x14ac:dyDescent="0.25">
      <c r="A55" s="147"/>
      <c r="B55" s="27" t="s">
        <v>26</v>
      </c>
      <c r="C55" t="s">
        <v>27</v>
      </c>
      <c r="D55" s="28" t="s">
        <v>1682</v>
      </c>
      <c r="E55">
        <v>130</v>
      </c>
      <c r="F55" s="29">
        <v>15370</v>
      </c>
      <c r="G55" s="30">
        <v>12170</v>
      </c>
      <c r="H55" s="30">
        <f t="shared" si="30"/>
        <v>-3200</v>
      </c>
      <c r="I55" s="28" t="s">
        <v>3528</v>
      </c>
      <c r="K55" s="31"/>
      <c r="L55" s="31">
        <v>43602</v>
      </c>
      <c r="M55" s="28" t="s">
        <v>45</v>
      </c>
      <c r="O55" s="2">
        <v>29.5</v>
      </c>
      <c r="P55" s="32"/>
      <c r="Q55" s="140">
        <v>18100</v>
      </c>
      <c r="R55" s="2">
        <f t="shared" ref="R55" si="31">75.45*E55</f>
        <v>9808.5</v>
      </c>
      <c r="S55" s="33">
        <f>-38*E55</f>
        <v>-4940</v>
      </c>
      <c r="T55" s="141">
        <f>X55*F55*0.0045</f>
        <v>2711.0946612571893</v>
      </c>
      <c r="U55" s="2">
        <f>E55*5</f>
        <v>650</v>
      </c>
      <c r="W55" s="2">
        <v>0.3</v>
      </c>
      <c r="X55" s="2">
        <f>((O55*F55)+Q55+R55+S55+U55)/G55</f>
        <v>39.197493837304847</v>
      </c>
      <c r="Y55" s="2">
        <f>((O55*F55)+Q55+R55+S55+T55+U55)/G55+W55</f>
        <v>39.720262502979224</v>
      </c>
      <c r="Z55" s="3">
        <f>Y55*G55</f>
        <v>483395.59466125717</v>
      </c>
      <c r="AA55" s="34">
        <v>43615</v>
      </c>
      <c r="AB55" s="3"/>
      <c r="AC55" s="35" t="s">
        <v>3529</v>
      </c>
    </row>
    <row r="56" spans="1:30" x14ac:dyDescent="0.25">
      <c r="A56" s="147"/>
      <c r="B56" s="27" t="s">
        <v>30</v>
      </c>
      <c r="C56" t="s">
        <v>40</v>
      </c>
      <c r="D56" s="28" t="s">
        <v>40</v>
      </c>
      <c r="E56" t="s">
        <v>37</v>
      </c>
      <c r="F56" s="29">
        <f>43043*0.4536</f>
        <v>19524.304800000002</v>
      </c>
      <c r="G56" s="196">
        <v>19523.689999999999</v>
      </c>
      <c r="H56" s="30">
        <f t="shared" si="30"/>
        <v>-0.61480000000301516</v>
      </c>
      <c r="I56" s="28" t="s">
        <v>3412</v>
      </c>
      <c r="J56" s="52" t="s">
        <v>196</v>
      </c>
      <c r="K56" s="31">
        <v>43602</v>
      </c>
      <c r="L56" s="31">
        <v>43603</v>
      </c>
      <c r="M56" s="28" t="s">
        <v>46</v>
      </c>
      <c r="N56" s="28" t="s">
        <v>3407</v>
      </c>
      <c r="O56" s="2"/>
      <c r="P56" s="32">
        <f>0.7654+0.105</f>
        <v>0.87039999999999995</v>
      </c>
      <c r="Q56" s="140">
        <v>26000</v>
      </c>
      <c r="R56" s="190">
        <v>143751</v>
      </c>
      <c r="S56" s="194">
        <v>19.259</v>
      </c>
      <c r="T56" s="141">
        <f>X56*F56*0.005</f>
        <v>4468.1762525807308</v>
      </c>
      <c r="V56" s="2">
        <v>0.12</v>
      </c>
      <c r="W56" s="2">
        <v>0.3</v>
      </c>
      <c r="X56" s="2">
        <f>IF(O56&gt;0,O56,((P56*2.2046*S56)+(Q56+R56)/G56)+V56)</f>
        <v>45.770400517213098</v>
      </c>
      <c r="Y56" s="2">
        <f>IF(O56&gt;0,O56,((P56*2.2046*S56)+(Q56+R56+T56)/G56)+V56+W56)</f>
        <v>46.299259726337027</v>
      </c>
      <c r="Z56" s="3">
        <f>Y56*F56</f>
        <v>903960.85891136876</v>
      </c>
      <c r="AA56" s="34">
        <v>43598</v>
      </c>
      <c r="AB56" s="3"/>
      <c r="AC56" s="35"/>
    </row>
    <row r="57" spans="1:30" x14ac:dyDescent="0.25">
      <c r="A57" s="147"/>
      <c r="B57" s="27" t="s">
        <v>1729</v>
      </c>
      <c r="C57" t="s">
        <v>3413</v>
      </c>
      <c r="D57" s="28" t="s">
        <v>1731</v>
      </c>
      <c r="E57" t="s">
        <v>3638</v>
      </c>
      <c r="F57" s="29">
        <v>18818.939999999999</v>
      </c>
      <c r="G57" s="196">
        <v>18819.060000000001</v>
      </c>
      <c r="H57" s="30">
        <f t="shared" si="30"/>
        <v>0.12000000000261934</v>
      </c>
      <c r="I57" s="28" t="s">
        <v>3639</v>
      </c>
      <c r="J57" s="191"/>
      <c r="K57" s="31"/>
      <c r="L57" s="31">
        <v>43603</v>
      </c>
      <c r="M57" s="28" t="s">
        <v>46</v>
      </c>
      <c r="N57" s="28"/>
      <c r="O57" s="2">
        <v>86</v>
      </c>
      <c r="P57" s="32"/>
      <c r="Q57" s="2"/>
      <c r="R57" s="190"/>
      <c r="S57" s="194"/>
      <c r="T57" s="33"/>
      <c r="V57" s="2"/>
      <c r="W57" s="2"/>
      <c r="X57" s="2">
        <f>IF(O57&gt;0,O57,((P57*2.2046*S57)+(Q57+R57)/G57)+V57)</f>
        <v>86</v>
      </c>
      <c r="Y57" s="2">
        <f>IF(O57&gt;0,O57,((P57*2.2046*S57)+(Q57+R57+T57)/G57)+V57+W57)</f>
        <v>86</v>
      </c>
      <c r="Z57" s="3">
        <f>Y57*F57</f>
        <v>1618428.8399999999</v>
      </c>
      <c r="AA57" s="34">
        <v>43623</v>
      </c>
      <c r="AB57" s="3"/>
      <c r="AC57" s="35"/>
    </row>
    <row r="58" spans="1:30" ht="15.75" thickBot="1" x14ac:dyDescent="0.3">
      <c r="A58" s="148"/>
      <c r="B58" s="41"/>
      <c r="C58" s="4"/>
      <c r="D58" s="4"/>
      <c r="E58" s="4"/>
      <c r="F58" s="42"/>
      <c r="G58" s="42"/>
      <c r="H58" s="42"/>
      <c r="I58" s="7"/>
      <c r="J58" s="4"/>
      <c r="K58" s="8"/>
      <c r="L58" s="8"/>
      <c r="M58" s="4"/>
      <c r="N58" s="4"/>
      <c r="O58" s="9"/>
      <c r="P58" s="10"/>
      <c r="Q58" s="9"/>
      <c r="R58" s="9"/>
      <c r="S58" s="9"/>
      <c r="T58" s="9"/>
      <c r="U58" s="9"/>
      <c r="V58" s="9"/>
      <c r="W58" s="9"/>
      <c r="X58" s="9"/>
      <c r="Y58" s="9"/>
      <c r="Z58" s="13"/>
      <c r="AA58" s="43"/>
      <c r="AB58" s="3"/>
      <c r="AC58" s="35"/>
    </row>
    <row r="59" spans="1:30" x14ac:dyDescent="0.25">
      <c r="A59" s="143"/>
      <c r="B59" s="14" t="s">
        <v>26</v>
      </c>
      <c r="C59" s="14" t="s">
        <v>27</v>
      </c>
      <c r="D59" s="15" t="s">
        <v>1682</v>
      </c>
      <c r="E59" s="14">
        <v>200</v>
      </c>
      <c r="F59" s="16">
        <v>25390</v>
      </c>
      <c r="G59" s="17">
        <v>20060</v>
      </c>
      <c r="H59" s="30">
        <f t="shared" ref="H59:H63" si="32">G59-F59</f>
        <v>-5330</v>
      </c>
      <c r="I59" s="19" t="s">
        <v>3557</v>
      </c>
      <c r="J59" s="14"/>
      <c r="K59" s="20"/>
      <c r="L59" s="20">
        <v>43604</v>
      </c>
      <c r="M59" s="15" t="s">
        <v>28</v>
      </c>
      <c r="N59" s="14"/>
      <c r="O59" s="21">
        <v>29.5</v>
      </c>
      <c r="P59" s="22"/>
      <c r="Q59" s="139">
        <v>22800</v>
      </c>
      <c r="R59" s="2">
        <f t="shared" ref="R59:R61" si="33">75.45*E59</f>
        <v>15090</v>
      </c>
      <c r="S59" s="21">
        <f>-38*E59</f>
        <v>-7600</v>
      </c>
      <c r="T59" s="157">
        <f>X59*F59*0.0045</f>
        <v>4444.2973691425723</v>
      </c>
      <c r="U59" s="21">
        <f>E59*5</f>
        <v>1000</v>
      </c>
      <c r="V59" s="14"/>
      <c r="W59" s="21">
        <v>0.3</v>
      </c>
      <c r="X59" s="21">
        <f>((O59*F59)+Q59+R59+S59+U59)/G59</f>
        <v>38.898055832502493</v>
      </c>
      <c r="Y59" s="24">
        <f>((O59*F59)+Q59+R59+S59+T59+U59)/G59+W59</f>
        <v>39.419606050306207</v>
      </c>
      <c r="Z59" s="24">
        <f>Y59*G59</f>
        <v>790757.29736914253</v>
      </c>
      <c r="AA59" s="25">
        <v>43619</v>
      </c>
      <c r="AB59" s="3"/>
      <c r="AC59" s="3"/>
    </row>
    <row r="60" spans="1:30" x14ac:dyDescent="0.25">
      <c r="A60" s="144"/>
      <c r="B60" s="27" t="s">
        <v>26</v>
      </c>
      <c r="C60" t="s">
        <v>27</v>
      </c>
      <c r="D60" s="28" t="s">
        <v>1682</v>
      </c>
      <c r="E60">
        <v>130</v>
      </c>
      <c r="F60" s="29">
        <v>15450</v>
      </c>
      <c r="G60" s="30">
        <v>12360</v>
      </c>
      <c r="H60" s="30">
        <f t="shared" si="32"/>
        <v>-3090</v>
      </c>
      <c r="I60" s="28" t="s">
        <v>3558</v>
      </c>
      <c r="K60" s="31"/>
      <c r="L60" s="31">
        <v>43604</v>
      </c>
      <c r="M60" s="28" t="s">
        <v>28</v>
      </c>
      <c r="O60" s="2">
        <v>29.5</v>
      </c>
      <c r="P60" s="32"/>
      <c r="Q60" s="140">
        <v>18100</v>
      </c>
      <c r="R60" s="2">
        <f t="shared" si="33"/>
        <v>9808.5</v>
      </c>
      <c r="S60" s="33">
        <f>-38*E60</f>
        <v>-4940</v>
      </c>
      <c r="T60" s="141">
        <f>X60*F60*0.0045</f>
        <v>2696.5884374999996</v>
      </c>
      <c r="U60" s="2">
        <f>E60*5</f>
        <v>650</v>
      </c>
      <c r="W60" s="2">
        <v>0.3</v>
      </c>
      <c r="X60" s="2">
        <f>((O60*F60)+Q60+R60+S60+U60)/G60</f>
        <v>38.785881877022653</v>
      </c>
      <c r="Y60" s="2">
        <f>((O60*F60)+Q60+R60+S60+T60+U60)/G60+W60</f>
        <v>39.304052462580906</v>
      </c>
      <c r="Z60" s="3">
        <f>Y60*G60</f>
        <v>485798.0884375</v>
      </c>
      <c r="AA60" s="34">
        <v>43619</v>
      </c>
      <c r="AB60" s="3"/>
      <c r="AC60" s="35" t="s">
        <v>3561</v>
      </c>
    </row>
    <row r="61" spans="1:30" x14ac:dyDescent="0.25">
      <c r="A61" s="144"/>
      <c r="B61" s="27" t="s">
        <v>26</v>
      </c>
      <c r="C61" t="s">
        <v>27</v>
      </c>
      <c r="D61" s="28" t="s">
        <v>1682</v>
      </c>
      <c r="E61">
        <v>200</v>
      </c>
      <c r="F61" s="29">
        <v>23930</v>
      </c>
      <c r="G61" s="30">
        <v>18990</v>
      </c>
      <c r="H61" s="30">
        <f t="shared" si="32"/>
        <v>-4940</v>
      </c>
      <c r="I61" s="28" t="s">
        <v>3560</v>
      </c>
      <c r="K61" s="31"/>
      <c r="L61" s="31">
        <v>43605</v>
      </c>
      <c r="M61" s="28" t="s">
        <v>29</v>
      </c>
      <c r="O61" s="2">
        <v>30.5</v>
      </c>
      <c r="P61" s="32"/>
      <c r="Q61" s="138">
        <v>22800</v>
      </c>
      <c r="R61" s="2">
        <f t="shared" si="33"/>
        <v>15090</v>
      </c>
      <c r="S61" s="33">
        <f>-38*E61</f>
        <v>-7600</v>
      </c>
      <c r="T61" s="141">
        <f>X61*F61*0.0045</f>
        <v>4316.2178080568719</v>
      </c>
      <c r="U61" s="2">
        <f>E61*5</f>
        <v>1000</v>
      </c>
      <c r="W61" s="2">
        <v>0.3</v>
      </c>
      <c r="X61" s="2">
        <f>((O61*F61)+Q61+R61+S61+U61)/G61</f>
        <v>40.081885202738285</v>
      </c>
      <c r="Y61" s="2">
        <f>((O61*F61)+Q61+R61+S61+T61+U61)/G61+W61</f>
        <v>40.609174186838167</v>
      </c>
      <c r="Z61" s="3">
        <f>Y61*G61</f>
        <v>771168.21780805686</v>
      </c>
      <c r="AA61" s="34">
        <v>43619</v>
      </c>
      <c r="AB61" s="3"/>
      <c r="AC61" s="35"/>
    </row>
    <row r="62" spans="1:30" x14ac:dyDescent="0.25">
      <c r="A62" s="144"/>
      <c r="B62" s="27" t="s">
        <v>26</v>
      </c>
      <c r="C62" t="s">
        <v>27</v>
      </c>
      <c r="D62" s="28" t="s">
        <v>1682</v>
      </c>
      <c r="E62">
        <v>130</v>
      </c>
      <c r="F62" s="29">
        <v>15310</v>
      </c>
      <c r="G62" s="196">
        <v>12270</v>
      </c>
      <c r="H62" s="30">
        <f t="shared" ref="H62" si="34">G62-F62</f>
        <v>-3040</v>
      </c>
      <c r="I62" s="28" t="s">
        <v>3559</v>
      </c>
      <c r="K62" s="31"/>
      <c r="L62" s="31">
        <v>43605</v>
      </c>
      <c r="M62" s="28" t="s">
        <v>29</v>
      </c>
      <c r="O62" s="2">
        <v>30.5</v>
      </c>
      <c r="P62" s="32"/>
      <c r="Q62" s="140">
        <v>18100</v>
      </c>
      <c r="R62" s="2">
        <f t="shared" ref="R62" si="35">75.45*E62</f>
        <v>9808.5</v>
      </c>
      <c r="S62" s="33">
        <f>-38*E62</f>
        <v>-4940</v>
      </c>
      <c r="T62" s="141">
        <f>X62*F62*0.0045</f>
        <v>2754.5282218826405</v>
      </c>
      <c r="U62" s="2">
        <f>E62*5</f>
        <v>650</v>
      </c>
      <c r="W62" s="2">
        <v>0.3</v>
      </c>
      <c r="X62" s="2">
        <f>((O62*F62)+Q62+R62+S62+U62)/G62</f>
        <v>39.981540342298288</v>
      </c>
      <c r="Y62" s="2">
        <f>((O62*F62)+Q62+R62+S62+T62+U62)/G62+W62</f>
        <v>40.506033269917083</v>
      </c>
      <c r="Z62" s="3">
        <f>Y62*G62</f>
        <v>497009.02822188259</v>
      </c>
      <c r="AA62" s="34">
        <v>43619</v>
      </c>
      <c r="AB62" s="3"/>
      <c r="AC62" s="35" t="s">
        <v>3562</v>
      </c>
    </row>
    <row r="63" spans="1:30" x14ac:dyDescent="0.25">
      <c r="A63" s="144"/>
      <c r="B63" s="27" t="s">
        <v>30</v>
      </c>
      <c r="C63" s="28" t="s">
        <v>1790</v>
      </c>
      <c r="D63" s="28" t="s">
        <v>1790</v>
      </c>
      <c r="E63" t="s">
        <v>2413</v>
      </c>
      <c r="F63" s="29">
        <f>40155*0.4536</f>
        <v>18214.308000000001</v>
      </c>
      <c r="G63" s="196">
        <v>18356.02</v>
      </c>
      <c r="H63" s="30">
        <f t="shared" si="32"/>
        <v>141.71199999999953</v>
      </c>
      <c r="I63" s="28" t="s">
        <v>3420</v>
      </c>
      <c r="J63" s="52" t="s">
        <v>196</v>
      </c>
      <c r="K63" s="31">
        <v>43605</v>
      </c>
      <c r="L63" s="31">
        <v>43606</v>
      </c>
      <c r="M63" s="28" t="s">
        <v>48</v>
      </c>
      <c r="N63" s="28" t="s">
        <v>3414</v>
      </c>
      <c r="O63" s="2"/>
      <c r="P63" s="32">
        <f>0.7757+0.095</f>
        <v>0.87069999999999992</v>
      </c>
      <c r="Q63" s="140">
        <v>26000</v>
      </c>
      <c r="R63" s="229">
        <v>11658</v>
      </c>
      <c r="S63" s="228">
        <v>19.167999999999999</v>
      </c>
      <c r="T63" s="141">
        <f t="shared" ref="T63:T65" si="36">X63*F63*0.005</f>
        <v>3548.6368740511816</v>
      </c>
      <c r="V63" s="2">
        <v>0.12</v>
      </c>
      <c r="W63" s="2">
        <v>0.3</v>
      </c>
      <c r="X63" s="2">
        <f>IF(O63&gt;0,O63,((P63*2.2046*S63)+(Q63+R63)/G63)+V63)</f>
        <v>38.965376824100936</v>
      </c>
      <c r="Y63" s="2">
        <f>IF(O63&gt;0,O63,((P63*2.2046*S63)+(Q63+R63+T63)/G63)+V63+W63)</f>
        <v>39.458699607256058</v>
      </c>
      <c r="Z63" s="3">
        <f>Y63*F63</f>
        <v>718712.90792604093</v>
      </c>
      <c r="AA63" s="34">
        <v>43605</v>
      </c>
      <c r="AB63" s="3">
        <v>42</v>
      </c>
      <c r="AC63" s="35"/>
    </row>
    <row r="64" spans="1:30" x14ac:dyDescent="0.25">
      <c r="A64" s="144"/>
      <c r="B64" s="27" t="s">
        <v>30</v>
      </c>
      <c r="C64" s="28" t="s">
        <v>35</v>
      </c>
      <c r="D64" s="28" t="s">
        <v>36</v>
      </c>
      <c r="E64" t="s">
        <v>37</v>
      </c>
      <c r="F64" s="29">
        <f>41725*0.4536</f>
        <v>18926.46</v>
      </c>
      <c r="G64" s="196">
        <v>18874.87</v>
      </c>
      <c r="H64" s="30">
        <f>G64-F64</f>
        <v>-51.590000000000146</v>
      </c>
      <c r="I64" t="s">
        <v>3421</v>
      </c>
      <c r="J64" s="52" t="s">
        <v>196</v>
      </c>
      <c r="K64" s="31">
        <v>43605</v>
      </c>
      <c r="L64" s="31">
        <v>43606</v>
      </c>
      <c r="M64" s="28" t="s">
        <v>48</v>
      </c>
      <c r="N64" s="28" t="s">
        <v>3415</v>
      </c>
      <c r="O64" s="2"/>
      <c r="P64" s="32">
        <f>0.7757+0.1</f>
        <v>0.87569999999999992</v>
      </c>
      <c r="Q64" s="140">
        <v>26000</v>
      </c>
      <c r="R64" s="229">
        <v>11658</v>
      </c>
      <c r="S64" s="228">
        <v>19.12</v>
      </c>
      <c r="T64" s="141">
        <f>X64*F64*0.005</f>
        <v>3693.271923912343</v>
      </c>
      <c r="V64" s="2">
        <v>0.12</v>
      </c>
      <c r="W64" s="2">
        <v>0.3</v>
      </c>
      <c r="X64" s="2">
        <f>IF(O64&gt;0,O64,((P64*2.2046*S64)+(Q64+R64)/G64)+V64)</f>
        <v>39.02760393557319</v>
      </c>
      <c r="Y64" s="2">
        <f>IF(O64&gt;0,O64,((P64*2.2046*S64)+(Q64+R64+T64)/G64)+V64+W64)</f>
        <v>39.523275318947611</v>
      </c>
      <c r="Z64" s="3">
        <f>Y64*F64</f>
        <v>748035.68939304922</v>
      </c>
      <c r="AA64" s="34">
        <v>43607</v>
      </c>
      <c r="AB64" s="3">
        <v>42</v>
      </c>
      <c r="AC64" s="35"/>
    </row>
    <row r="65" spans="1:32" x14ac:dyDescent="0.25">
      <c r="A65" s="144"/>
      <c r="B65" s="27" t="s">
        <v>26</v>
      </c>
      <c r="C65" t="s">
        <v>27</v>
      </c>
      <c r="D65" s="28" t="s">
        <v>3567</v>
      </c>
      <c r="E65">
        <f>220+30</f>
        <v>250</v>
      </c>
      <c r="F65" s="29">
        <f>25700+3600</f>
        <v>29300</v>
      </c>
      <c r="G65" s="30">
        <f>17080+6680</f>
        <v>23760</v>
      </c>
      <c r="H65" s="30">
        <f>G65-F65</f>
        <v>-5540</v>
      </c>
      <c r="I65" s="28" t="s">
        <v>4432</v>
      </c>
      <c r="K65" s="31"/>
      <c r="L65" s="31">
        <v>43606</v>
      </c>
      <c r="M65" s="28" t="s">
        <v>48</v>
      </c>
      <c r="O65" s="2">
        <v>30.5</v>
      </c>
      <c r="P65" s="32"/>
      <c r="Q65" s="138">
        <v>22800</v>
      </c>
      <c r="R65" s="190">
        <f>75.45*E65</f>
        <v>18862.5</v>
      </c>
      <c r="S65" s="33">
        <f>-38*E65</f>
        <v>-9500</v>
      </c>
      <c r="T65" s="141">
        <f t="shared" si="36"/>
        <v>5716.1050610269367</v>
      </c>
      <c r="U65" s="2">
        <f>E65*5</f>
        <v>1250</v>
      </c>
      <c r="W65" s="2">
        <v>0.3</v>
      </c>
      <c r="X65" s="2">
        <f>((O65*F65)+Q65+R65+S65+U65)/G65</f>
        <v>39.017781986531986</v>
      </c>
      <c r="Y65" s="2">
        <f>((O65*F65)+Q65+R65+S65+T65+U65)/G65+W65</f>
        <v>39.558358798864766</v>
      </c>
      <c r="Z65" s="3">
        <f>Y65*G65</f>
        <v>939906.60506102687</v>
      </c>
      <c r="AA65" s="34">
        <v>43620</v>
      </c>
      <c r="AB65" s="3"/>
      <c r="AC65" s="35" t="s">
        <v>3568</v>
      </c>
      <c r="AF65" s="30"/>
    </row>
    <row r="66" spans="1:32" x14ac:dyDescent="0.25">
      <c r="A66" s="144"/>
      <c r="B66" s="27" t="s">
        <v>3646</v>
      </c>
      <c r="C66" t="s">
        <v>40</v>
      </c>
      <c r="D66" s="28" t="s">
        <v>2557</v>
      </c>
      <c r="E66" t="s">
        <v>3647</v>
      </c>
      <c r="F66" s="29">
        <v>788.8</v>
      </c>
      <c r="G66" s="30">
        <v>788.8</v>
      </c>
      <c r="H66" s="30">
        <f t="shared" ref="H66:H69" si="37">G66-F66</f>
        <v>0</v>
      </c>
      <c r="I66" s="28" t="s">
        <v>3649</v>
      </c>
      <c r="K66" s="31"/>
      <c r="L66" s="31">
        <v>43606</v>
      </c>
      <c r="M66" s="28" t="s">
        <v>48</v>
      </c>
      <c r="O66" s="2">
        <v>45</v>
      </c>
      <c r="P66" s="32"/>
      <c r="Q66" s="190"/>
      <c r="R66" s="190"/>
      <c r="S66" s="33"/>
      <c r="T66" s="33"/>
      <c r="U66" s="2"/>
      <c r="W66" s="2"/>
      <c r="X66" s="2">
        <f t="shared" ref="X66:X68" si="38">IF(O66&gt;0,O66,((P66*2.2046*S66)+(Q66+R66)/G66)+V66)</f>
        <v>45</v>
      </c>
      <c r="Y66" s="2">
        <f t="shared" ref="Y66:Y68" si="39">IF(O66&gt;0,O66,((P66*2.2046*S66)+(Q66+R66+T66)/G66)+V66+W66)</f>
        <v>45</v>
      </c>
      <c r="Z66" s="3">
        <f t="shared" ref="Z66:Z68" si="40">Y66*F66</f>
        <v>35496</v>
      </c>
      <c r="AA66" s="34">
        <v>43614</v>
      </c>
      <c r="AB66" s="3"/>
      <c r="AC66" s="35"/>
      <c r="AF66" s="30"/>
    </row>
    <row r="67" spans="1:32" x14ac:dyDescent="0.25">
      <c r="A67" s="144"/>
      <c r="B67" s="27" t="s">
        <v>1805</v>
      </c>
      <c r="C67" t="s">
        <v>1790</v>
      </c>
      <c r="D67" s="28" t="s">
        <v>2557</v>
      </c>
      <c r="E67" t="s">
        <v>1910</v>
      </c>
      <c r="F67" s="29">
        <v>4089.35</v>
      </c>
      <c r="G67" s="30">
        <v>4089.35</v>
      </c>
      <c r="H67" s="30">
        <f t="shared" si="37"/>
        <v>0</v>
      </c>
      <c r="I67" s="28" t="s">
        <v>3650</v>
      </c>
      <c r="K67" s="31"/>
      <c r="L67" s="31">
        <v>43606</v>
      </c>
      <c r="M67" s="28" t="s">
        <v>48</v>
      </c>
      <c r="O67" s="2">
        <v>17</v>
      </c>
      <c r="P67" s="32"/>
      <c r="Q67" s="190"/>
      <c r="R67" s="190"/>
      <c r="S67" s="33"/>
      <c r="T67" s="33"/>
      <c r="U67" s="2"/>
      <c r="W67" s="2"/>
      <c r="X67" s="2">
        <f t="shared" si="38"/>
        <v>17</v>
      </c>
      <c r="Y67" s="2">
        <f t="shared" si="39"/>
        <v>17</v>
      </c>
      <c r="Z67" s="3">
        <f t="shared" si="40"/>
        <v>69518.95</v>
      </c>
      <c r="AA67" s="34">
        <v>43614</v>
      </c>
      <c r="AB67" s="3"/>
      <c r="AC67" s="35"/>
      <c r="AF67" s="30"/>
    </row>
    <row r="68" spans="1:32" x14ac:dyDescent="0.25">
      <c r="A68" s="144"/>
      <c r="B68" s="27" t="s">
        <v>2766</v>
      </c>
      <c r="C68" t="s">
        <v>2226</v>
      </c>
      <c r="D68" s="28" t="s">
        <v>2557</v>
      </c>
      <c r="E68" t="s">
        <v>3648</v>
      </c>
      <c r="F68" s="29">
        <v>3590.4</v>
      </c>
      <c r="G68" s="30">
        <v>3590.4</v>
      </c>
      <c r="H68" s="30">
        <f t="shared" si="37"/>
        <v>0</v>
      </c>
      <c r="I68" s="28" t="s">
        <v>3650</v>
      </c>
      <c r="K68" s="31"/>
      <c r="L68" s="31">
        <v>43606</v>
      </c>
      <c r="M68" s="28" t="s">
        <v>48</v>
      </c>
      <c r="O68" s="2">
        <v>42</v>
      </c>
      <c r="P68" s="32"/>
      <c r="Q68" s="190"/>
      <c r="R68" s="190"/>
      <c r="S68" s="33"/>
      <c r="T68" s="33"/>
      <c r="U68" s="2"/>
      <c r="W68" s="2"/>
      <c r="X68" s="2">
        <f t="shared" si="38"/>
        <v>42</v>
      </c>
      <c r="Y68" s="2">
        <f t="shared" si="39"/>
        <v>42</v>
      </c>
      <c r="Z68" s="3">
        <f t="shared" si="40"/>
        <v>150796.80000000002</v>
      </c>
      <c r="AA68" s="34">
        <v>43614</v>
      </c>
      <c r="AB68" s="3"/>
      <c r="AC68" s="35"/>
      <c r="AF68" s="30"/>
    </row>
    <row r="69" spans="1:32" x14ac:dyDescent="0.25">
      <c r="A69" s="144"/>
      <c r="B69" s="27" t="s">
        <v>1732</v>
      </c>
      <c r="C69" t="s">
        <v>3658</v>
      </c>
      <c r="D69" s="28" t="s">
        <v>2557</v>
      </c>
      <c r="E69" t="s">
        <v>3657</v>
      </c>
      <c r="F69" s="29">
        <v>4137.4399999999996</v>
      </c>
      <c r="G69" s="30">
        <v>4137.4399999999996</v>
      </c>
      <c r="H69" s="30">
        <f t="shared" si="37"/>
        <v>0</v>
      </c>
      <c r="I69" s="28" t="s">
        <v>3655</v>
      </c>
      <c r="K69" s="31"/>
      <c r="L69" s="31">
        <v>43607</v>
      </c>
      <c r="M69" s="28" t="s">
        <v>33</v>
      </c>
      <c r="O69" s="2">
        <v>50</v>
      </c>
      <c r="P69" s="32"/>
      <c r="Q69" s="190"/>
      <c r="R69" s="190"/>
      <c r="S69" s="33"/>
      <c r="T69" s="33"/>
      <c r="U69" s="2"/>
      <c r="W69" s="2"/>
      <c r="X69" s="2">
        <f t="shared" ref="X69" si="41">IF(O69&gt;0,O69,((P69*2.2046*S69)+(Q69+R69)/G69)+V69)</f>
        <v>50</v>
      </c>
      <c r="Y69" s="2">
        <f t="shared" ref="Y69" si="42">IF(O69&gt;0,O69,((P69*2.2046*S69)+(Q69+R69+T69)/G69)+V69+W69)</f>
        <v>50</v>
      </c>
      <c r="Z69" s="3">
        <f t="shared" ref="Z69" si="43">Y69*F69</f>
        <v>206871.99999999997</v>
      </c>
      <c r="AA69" s="34">
        <v>43615</v>
      </c>
      <c r="AB69" s="3"/>
      <c r="AC69" s="35"/>
      <c r="AF69" s="30"/>
    </row>
    <row r="70" spans="1:32" x14ac:dyDescent="0.25">
      <c r="A70" s="144"/>
      <c r="B70" s="27" t="s">
        <v>30</v>
      </c>
      <c r="C70" s="28" t="s">
        <v>31</v>
      </c>
      <c r="D70" s="28" t="s">
        <v>31</v>
      </c>
      <c r="E70" t="s">
        <v>32</v>
      </c>
      <c r="F70" s="29">
        <f>41475*0.4536</f>
        <v>18813.060000000001</v>
      </c>
      <c r="G70" s="196">
        <v>18820.87</v>
      </c>
      <c r="H70" s="30">
        <f t="shared" ref="H70:H72" si="44">G70-F70</f>
        <v>7.8099999999976717</v>
      </c>
      <c r="I70" s="28" t="s">
        <v>3422</v>
      </c>
      <c r="J70" s="52" t="s">
        <v>196</v>
      </c>
      <c r="K70" s="31">
        <v>43606</v>
      </c>
      <c r="L70" s="31">
        <v>43607</v>
      </c>
      <c r="M70" s="28" t="s">
        <v>33</v>
      </c>
      <c r="N70" s="28" t="s">
        <v>3416</v>
      </c>
      <c r="O70" s="2"/>
      <c r="P70" s="32">
        <f>0.7757+0.105</f>
        <v>0.88069999999999993</v>
      </c>
      <c r="Q70" s="140">
        <v>26000</v>
      </c>
      <c r="R70" s="190">
        <v>11658</v>
      </c>
      <c r="S70" s="194">
        <v>19.199000000000002</v>
      </c>
      <c r="T70" s="141">
        <f t="shared" ref="T70:T71" si="45">X70*F70*0.005</f>
        <v>3705.9351891667561</v>
      </c>
      <c r="V70" s="2">
        <v>0.12</v>
      </c>
      <c r="W70" s="2">
        <v>0.3</v>
      </c>
      <c r="X70" s="2">
        <f>IF(O70&gt;0,O70,((P70*2.2046*S70)+(Q70+R70)/G70)+V70)</f>
        <v>39.39747376733775</v>
      </c>
      <c r="Y70" s="2">
        <f>IF(O70&gt;0,O70,((P70*2.2046*S70)+(Q70+R70+T70)/G70)+V70+W70)</f>
        <v>39.8943793933352</v>
      </c>
      <c r="Z70" s="3">
        <f>Y70*F70</f>
        <v>750535.35318957875</v>
      </c>
      <c r="AA70" s="34">
        <v>43599</v>
      </c>
      <c r="AB70" s="3">
        <v>42</v>
      </c>
      <c r="AC70" s="35"/>
    </row>
    <row r="71" spans="1:32" x14ac:dyDescent="0.25">
      <c r="A71" s="144"/>
      <c r="B71" s="27" t="s">
        <v>30</v>
      </c>
      <c r="C71" s="28" t="s">
        <v>31</v>
      </c>
      <c r="D71" s="28" t="s">
        <v>31</v>
      </c>
      <c r="E71" t="s">
        <v>32</v>
      </c>
      <c r="F71" s="29">
        <f>41734*0.4536</f>
        <v>18930.542399999998</v>
      </c>
      <c r="G71" s="196">
        <v>18938.62</v>
      </c>
      <c r="H71" s="30">
        <f t="shared" si="44"/>
        <v>8.0776000000005297</v>
      </c>
      <c r="I71" s="28" t="s">
        <v>3423</v>
      </c>
      <c r="J71" s="52" t="s">
        <v>1690</v>
      </c>
      <c r="K71" s="31">
        <v>43606</v>
      </c>
      <c r="L71" s="31">
        <v>43607</v>
      </c>
      <c r="M71" s="28" t="s">
        <v>33</v>
      </c>
      <c r="N71" s="28" t="s">
        <v>3416</v>
      </c>
      <c r="O71" s="2"/>
      <c r="P71" s="32">
        <f>0.7757+0.105</f>
        <v>0.88069999999999993</v>
      </c>
      <c r="Q71" s="140">
        <v>26000</v>
      </c>
      <c r="R71" s="190">
        <v>11658</v>
      </c>
      <c r="S71" s="194">
        <v>19.199000000000002</v>
      </c>
      <c r="T71" s="141">
        <f t="shared" si="45"/>
        <v>3727.9002318239168</v>
      </c>
      <c r="V71" s="2">
        <v>0.12</v>
      </c>
      <c r="W71" s="2">
        <v>0.3</v>
      </c>
      <c r="X71" s="2">
        <f>IF(O71&gt;0,O71,((P71*2.2046*S71)+(Q71+R71)/G71)+V71)</f>
        <v>39.385033487724229</v>
      </c>
      <c r="Y71" s="2">
        <f>IF(O71&gt;0,O71,((P71*2.2046*S71)+(Q71+R71+T71)/G71)+V71+W71)</f>
        <v>39.881874663682346</v>
      </c>
      <c r="Z71" s="3">
        <f>Y71*F71</f>
        <v>754985.51931232435</v>
      </c>
      <c r="AA71" s="34">
        <v>43599</v>
      </c>
      <c r="AB71" s="3">
        <v>42</v>
      </c>
      <c r="AC71" s="35"/>
    </row>
    <row r="72" spans="1:32" x14ac:dyDescent="0.25">
      <c r="A72" s="144"/>
      <c r="B72" s="27" t="s">
        <v>2447</v>
      </c>
      <c r="C72" s="28" t="s">
        <v>2448</v>
      </c>
      <c r="D72" s="28" t="s">
        <v>1806</v>
      </c>
      <c r="E72" t="s">
        <v>1914</v>
      </c>
      <c r="F72" s="29">
        <v>1000</v>
      </c>
      <c r="G72" s="196">
        <v>1000</v>
      </c>
      <c r="H72" s="30">
        <f t="shared" si="44"/>
        <v>0</v>
      </c>
      <c r="I72" s="28" t="s">
        <v>3644</v>
      </c>
      <c r="J72" s="191"/>
      <c r="K72" s="201"/>
      <c r="L72" s="201">
        <v>43607</v>
      </c>
      <c r="M72" s="199" t="s">
        <v>33</v>
      </c>
      <c r="N72" s="199"/>
      <c r="O72" s="190">
        <v>30</v>
      </c>
      <c r="P72" s="202"/>
      <c r="Q72" s="190"/>
      <c r="R72" s="190"/>
      <c r="S72" s="194"/>
      <c r="T72" s="33"/>
      <c r="V72" s="2"/>
      <c r="W72" s="2"/>
      <c r="X72" s="2">
        <f>IF(O72&gt;0,O72,((P72*2.2046*S72)+(Q72+R72)/G72)+V72)</f>
        <v>30</v>
      </c>
      <c r="Y72" s="2">
        <f>IF(O72&gt;0,O72,((P72*2.2046*S72)+(Q72+R72+T72)/G72)+V72+W72)</f>
        <v>30</v>
      </c>
      <c r="Z72" s="3">
        <f>Y72*F72</f>
        <v>30000</v>
      </c>
      <c r="AA72" s="34">
        <v>43614</v>
      </c>
      <c r="AB72" s="3"/>
      <c r="AC72" s="35"/>
    </row>
    <row r="73" spans="1:32" x14ac:dyDescent="0.25">
      <c r="A73" s="144"/>
      <c r="B73" s="27" t="s">
        <v>26</v>
      </c>
      <c r="C73" t="s">
        <v>27</v>
      </c>
      <c r="D73" s="28" t="s">
        <v>1998</v>
      </c>
      <c r="E73">
        <f>218+30</f>
        <v>248</v>
      </c>
      <c r="F73" s="29">
        <f>25505+3345</f>
        <v>28850</v>
      </c>
      <c r="G73" s="30">
        <f>16440+6460</f>
        <v>22900</v>
      </c>
      <c r="H73" s="30">
        <f>G73-F73</f>
        <v>-5950</v>
      </c>
      <c r="I73" s="28" t="s">
        <v>3596</v>
      </c>
      <c r="K73" s="31"/>
      <c r="L73" s="31">
        <v>43607</v>
      </c>
      <c r="M73" s="28" t="s">
        <v>33</v>
      </c>
      <c r="O73" s="2">
        <v>30.5</v>
      </c>
      <c r="P73" s="32"/>
      <c r="Q73" s="138">
        <v>22800</v>
      </c>
      <c r="R73" s="2">
        <f>75.45*E73</f>
        <v>18711.600000000002</v>
      </c>
      <c r="S73" s="33">
        <f>-38*E73</f>
        <v>-9424</v>
      </c>
      <c r="T73" s="141">
        <f>X73*F73*0.005</f>
        <v>5752.6937794759824</v>
      </c>
      <c r="U73" s="2">
        <f>E73*5</f>
        <v>1240</v>
      </c>
      <c r="W73" s="2">
        <v>0.3</v>
      </c>
      <c r="X73" s="2">
        <f>((O73*F73)+Q73+R73+S73+U73)/G73</f>
        <v>39.88002620087336</v>
      </c>
      <c r="Y73" s="2">
        <f>((O73*F73)+Q73+R73+S73+T73+U73)/G73+W73</f>
        <v>40.431235536221656</v>
      </c>
      <c r="Z73" s="3">
        <f>Y73*G73</f>
        <v>925875.29377947596</v>
      </c>
      <c r="AA73" s="34">
        <v>43620</v>
      </c>
      <c r="AB73" s="3"/>
      <c r="AC73" s="35" t="s">
        <v>3599</v>
      </c>
    </row>
    <row r="74" spans="1:32" x14ac:dyDescent="0.25">
      <c r="A74" s="144"/>
      <c r="B74" s="27" t="s">
        <v>30</v>
      </c>
      <c r="C74" s="28" t="s">
        <v>40</v>
      </c>
      <c r="D74" s="28" t="s">
        <v>40</v>
      </c>
      <c r="E74" t="s">
        <v>37</v>
      </c>
      <c r="F74" s="29">
        <f>42678*0.4536</f>
        <v>19358.7408</v>
      </c>
      <c r="G74" s="196">
        <v>19244.98</v>
      </c>
      <c r="H74" s="30">
        <f>G74-F74</f>
        <v>-113.76080000000002</v>
      </c>
      <c r="I74" t="s">
        <v>3424</v>
      </c>
      <c r="J74" s="52" t="s">
        <v>196</v>
      </c>
      <c r="K74" s="31">
        <v>43607</v>
      </c>
      <c r="L74" s="31">
        <v>43608</v>
      </c>
      <c r="M74" s="28" t="s">
        <v>41</v>
      </c>
      <c r="N74" s="28" t="s">
        <v>3417</v>
      </c>
      <c r="O74" s="2"/>
      <c r="P74" s="32">
        <f>0.7805+0.105</f>
        <v>0.88549999999999995</v>
      </c>
      <c r="Q74" s="140">
        <v>26000</v>
      </c>
      <c r="R74" s="190">
        <v>11658</v>
      </c>
      <c r="S74" s="194">
        <v>19.123000000000001</v>
      </c>
      <c r="T74" s="141">
        <f>X74*F74*0.005</f>
        <v>3814.4637140790855</v>
      </c>
      <c r="V74" s="2">
        <v>0.12</v>
      </c>
      <c r="W74" s="2">
        <v>0.3</v>
      </c>
      <c r="X74" s="2">
        <f>IF(O74&gt;0,O74,((P74*2.2046*S74)+(Q74+R74)/G74)+V74)</f>
        <v>39.408180041122158</v>
      </c>
      <c r="Y74" s="2">
        <f>IF(O74&gt;0,O74,((P74*2.2046*S74)+(Q74+R74+T74)/G74)+V74+W74)</f>
        <v>39.906385688209298</v>
      </c>
      <c r="Z74" s="3">
        <f>Y74*F74</f>
        <v>772537.37680287345</v>
      </c>
      <c r="AA74" s="34">
        <v>43601</v>
      </c>
      <c r="AB74" s="3"/>
      <c r="AC74" s="35"/>
    </row>
    <row r="75" spans="1:32" x14ac:dyDescent="0.25">
      <c r="A75" s="144"/>
      <c r="B75" s="27" t="s">
        <v>26</v>
      </c>
      <c r="C75" t="s">
        <v>27</v>
      </c>
      <c r="D75" s="28" t="s">
        <v>2721</v>
      </c>
      <c r="E75">
        <v>230</v>
      </c>
      <c r="F75" s="29">
        <v>24935</v>
      </c>
      <c r="G75" s="30">
        <v>21310</v>
      </c>
      <c r="H75" s="30">
        <f t="shared" ref="H75:H76" si="46">G75-F75</f>
        <v>-3625</v>
      </c>
      <c r="I75" s="28" t="s">
        <v>3597</v>
      </c>
      <c r="K75" s="31"/>
      <c r="L75" s="31">
        <v>43608</v>
      </c>
      <c r="M75" s="28" t="s">
        <v>41</v>
      </c>
      <c r="O75" s="2">
        <v>30.5</v>
      </c>
      <c r="P75" s="32"/>
      <c r="Q75" s="138">
        <v>22800</v>
      </c>
      <c r="R75" s="2">
        <f t="shared" ref="R75:R76" si="47">75.45*E75</f>
        <v>17353.5</v>
      </c>
      <c r="S75" s="33">
        <f>-38*E75</f>
        <v>-8740</v>
      </c>
      <c r="T75" s="141">
        <f>X75*F75*0.0045</f>
        <v>4175.9566545049274</v>
      </c>
      <c r="U75" s="2">
        <f>E75*5</f>
        <v>1150</v>
      </c>
      <c r="W75" s="2">
        <v>0.3</v>
      </c>
      <c r="X75" s="2">
        <f t="shared" ref="X75" si="48">((O75*F75)+Q75+R75+S75+U75)/G75</f>
        <v>37.216377287658375</v>
      </c>
      <c r="Y75" s="2">
        <f>((O75*F75)+Q75+R75+S75+T75+U75)/G75+W75</f>
        <v>37.712339589606046</v>
      </c>
      <c r="Z75" s="3">
        <f>Y75*G75</f>
        <v>803649.95665450487</v>
      </c>
      <c r="AA75" s="34">
        <v>43621</v>
      </c>
      <c r="AB75" s="3"/>
      <c r="AC75" s="35"/>
    </row>
    <row r="76" spans="1:32" x14ac:dyDescent="0.25">
      <c r="A76" s="144"/>
      <c r="B76" s="27" t="s">
        <v>26</v>
      </c>
      <c r="C76" t="s">
        <v>27</v>
      </c>
      <c r="D76" s="28" t="s">
        <v>2721</v>
      </c>
      <c r="E76">
        <v>150</v>
      </c>
      <c r="F76" s="29">
        <v>16545</v>
      </c>
      <c r="G76" s="196">
        <v>11220</v>
      </c>
      <c r="H76" s="30">
        <f t="shared" si="46"/>
        <v>-5325</v>
      </c>
      <c r="I76" s="28" t="s">
        <v>3598</v>
      </c>
      <c r="K76" s="31"/>
      <c r="L76" s="31">
        <v>43608</v>
      </c>
      <c r="M76" s="28" t="s">
        <v>41</v>
      </c>
      <c r="O76" s="2">
        <v>30.5</v>
      </c>
      <c r="P76" s="32"/>
      <c r="Q76" s="140">
        <v>18100</v>
      </c>
      <c r="R76" s="2">
        <f t="shared" si="47"/>
        <v>11317.5</v>
      </c>
      <c r="S76" s="33">
        <f>-38*E76</f>
        <v>-5700</v>
      </c>
      <c r="T76" s="141">
        <f>X76*F76*0.0045</f>
        <v>3510.87996657754</v>
      </c>
      <c r="U76" s="2">
        <f>E76*5</f>
        <v>750</v>
      </c>
      <c r="W76" s="2">
        <v>0.3</v>
      </c>
      <c r="X76" s="2">
        <f>((O76*F76)+Q76+R76+S76+U76)/G76</f>
        <v>47.155971479500892</v>
      </c>
      <c r="Y76" s="2">
        <f>((O76*F76)+Q76+R76+S76+T76+U76)/G76+W76</f>
        <v>47.76888413249354</v>
      </c>
      <c r="Z76" s="3">
        <f>Y76*G76</f>
        <v>535966.87996657752</v>
      </c>
      <c r="AA76" s="34">
        <v>43621</v>
      </c>
      <c r="AB76" s="3">
        <v>41.2</v>
      </c>
      <c r="AC76" s="35" t="s">
        <v>3634</v>
      </c>
    </row>
    <row r="77" spans="1:32" x14ac:dyDescent="0.25">
      <c r="A77" s="144"/>
      <c r="B77" s="27" t="s">
        <v>30</v>
      </c>
      <c r="C77" s="28" t="s">
        <v>1790</v>
      </c>
      <c r="D77" s="28" t="s">
        <v>1790</v>
      </c>
      <c r="E77" t="s">
        <v>32</v>
      </c>
      <c r="F77" s="29">
        <f>42081*0.4536</f>
        <v>19087.941600000002</v>
      </c>
      <c r="G77" s="196">
        <v>19081.189999999999</v>
      </c>
      <c r="H77" s="30">
        <f>G77-F77</f>
        <v>-6.7516000000032363</v>
      </c>
      <c r="I77" s="28" t="s">
        <v>3425</v>
      </c>
      <c r="J77" s="52" t="s">
        <v>196</v>
      </c>
      <c r="K77" s="31">
        <v>43608</v>
      </c>
      <c r="L77" s="31">
        <v>43609</v>
      </c>
      <c r="M77" s="28" t="s">
        <v>45</v>
      </c>
      <c r="N77" s="28" t="s">
        <v>3418</v>
      </c>
      <c r="O77" s="2"/>
      <c r="P77" s="32">
        <f>0.7805+0.095</f>
        <v>0.87549999999999994</v>
      </c>
      <c r="Q77" s="140">
        <v>26000</v>
      </c>
      <c r="R77" s="190">
        <v>11658</v>
      </c>
      <c r="S77" s="194">
        <v>19.015000000000001</v>
      </c>
      <c r="T77" s="141">
        <f>X77*F77*0.005</f>
        <v>3702.5774827930322</v>
      </c>
      <c r="V77" s="2">
        <v>0.12</v>
      </c>
      <c r="W77" s="2">
        <v>0.3</v>
      </c>
      <c r="X77" s="2">
        <f>IF(O77&gt;0,O77,((P77*2.2046*S77)+(Q77+R77)/G77)+V77)</f>
        <v>38.794937247639439</v>
      </c>
      <c r="Y77" s="2">
        <f>IF(O77&gt;0,O77,((P77*2.2046*S77)+(Q77+R77+T77)/G77)+V77+W77)</f>
        <v>39.288980568983284</v>
      </c>
      <c r="Z77" s="3">
        <f>Y77*F77</f>
        <v>749945.76662428782</v>
      </c>
      <c r="AA77" s="34">
        <v>43609</v>
      </c>
      <c r="AB77" s="3"/>
      <c r="AC77" s="35"/>
    </row>
    <row r="78" spans="1:32" x14ac:dyDescent="0.25">
      <c r="A78" s="144"/>
      <c r="B78" s="27" t="s">
        <v>26</v>
      </c>
      <c r="C78" t="s">
        <v>27</v>
      </c>
      <c r="D78" s="28" t="s">
        <v>1682</v>
      </c>
      <c r="E78">
        <v>228</v>
      </c>
      <c r="F78" s="29">
        <v>27985</v>
      </c>
      <c r="G78" s="196">
        <v>24040</v>
      </c>
      <c r="H78" s="30">
        <f t="shared" ref="H78:H80" si="49">G78-F78</f>
        <v>-3945</v>
      </c>
      <c r="I78" s="28" t="s">
        <v>3632</v>
      </c>
      <c r="K78" s="31"/>
      <c r="L78" s="31">
        <v>43609</v>
      </c>
      <c r="M78" s="28" t="s">
        <v>45</v>
      </c>
      <c r="O78" s="2">
        <v>30.5</v>
      </c>
      <c r="P78" s="32"/>
      <c r="Q78" s="138">
        <v>22800</v>
      </c>
      <c r="R78" s="2">
        <f t="shared" ref="R78:R79" si="50">75.45*E78</f>
        <v>17202.600000000002</v>
      </c>
      <c r="S78" s="33">
        <f>-38*E78</f>
        <v>-8664</v>
      </c>
      <c r="T78" s="141">
        <f>X78*F78*0.0045</f>
        <v>4641.3832019862721</v>
      </c>
      <c r="U78" s="2">
        <f>E78*5</f>
        <v>1140</v>
      </c>
      <c r="W78" s="2">
        <v>0.3</v>
      </c>
      <c r="X78" s="2">
        <f>((O78*F78)+Q78+R78+S78+U78)/G78</f>
        <v>36.856118968386021</v>
      </c>
      <c r="Y78" s="2">
        <f>((O78*F78)+Q78+R78+S78+T78+U78)/G78+W78</f>
        <v>37.349188153160824</v>
      </c>
      <c r="Z78" s="3">
        <f>Y78*G78</f>
        <v>897874.48320198618</v>
      </c>
      <c r="AA78" s="34">
        <v>43622</v>
      </c>
      <c r="AB78" s="3"/>
      <c r="AC78" s="35"/>
    </row>
    <row r="79" spans="1:32" x14ac:dyDescent="0.25">
      <c r="A79" s="144"/>
      <c r="B79" s="27" t="s">
        <v>26</v>
      </c>
      <c r="C79" t="s">
        <v>27</v>
      </c>
      <c r="D79" s="28" t="s">
        <v>1682</v>
      </c>
      <c r="E79">
        <v>150</v>
      </c>
      <c r="F79" s="29">
        <v>18050</v>
      </c>
      <c r="G79" s="196">
        <v>12750</v>
      </c>
      <c r="H79" s="30">
        <f t="shared" si="49"/>
        <v>-5300</v>
      </c>
      <c r="I79" s="28" t="s">
        <v>3633</v>
      </c>
      <c r="K79" s="31"/>
      <c r="L79" s="31">
        <v>43609</v>
      </c>
      <c r="M79" s="28" t="s">
        <v>45</v>
      </c>
      <c r="O79" s="2">
        <v>30.5</v>
      </c>
      <c r="P79" s="32"/>
      <c r="Q79" s="140">
        <v>18100</v>
      </c>
      <c r="R79" s="2">
        <f t="shared" si="50"/>
        <v>11317.5</v>
      </c>
      <c r="S79" s="33">
        <f>-38*E79</f>
        <v>-5700</v>
      </c>
      <c r="T79" s="141">
        <f>X79*F79*0.0045</f>
        <v>3663.040455882352</v>
      </c>
      <c r="U79" s="2">
        <f>E79*5</f>
        <v>750</v>
      </c>
      <c r="W79" s="2">
        <v>0.3</v>
      </c>
      <c r="X79" s="2">
        <f>((O79*F79)+Q79+R79+S79+U79)/G79</f>
        <v>45.097450980392153</v>
      </c>
      <c r="Y79" s="2">
        <f>((O79*F79)+Q79+R79+S79+T79+U79)/G79+W79</f>
        <v>45.684748271049592</v>
      </c>
      <c r="Z79" s="3">
        <f>Y79*G79</f>
        <v>582480.54045588232</v>
      </c>
      <c r="AA79" s="34">
        <v>43622</v>
      </c>
      <c r="AB79" s="3">
        <v>40.26</v>
      </c>
      <c r="AC79" s="35" t="s">
        <v>3659</v>
      </c>
    </row>
    <row r="80" spans="1:32" x14ac:dyDescent="0.25">
      <c r="A80" s="144"/>
      <c r="B80" s="27" t="s">
        <v>30</v>
      </c>
      <c r="C80" t="s">
        <v>40</v>
      </c>
      <c r="D80" s="28" t="s">
        <v>40</v>
      </c>
      <c r="E80" t="s">
        <v>37</v>
      </c>
      <c r="F80" s="29">
        <f>42324*0.4536</f>
        <v>19198.166400000002</v>
      </c>
      <c r="G80" s="196">
        <v>19199.78</v>
      </c>
      <c r="H80" s="30">
        <f t="shared" si="49"/>
        <v>1.6135999999969499</v>
      </c>
      <c r="I80" s="28" t="s">
        <v>3426</v>
      </c>
      <c r="J80" s="52" t="s">
        <v>196</v>
      </c>
      <c r="K80" s="31">
        <v>43609</v>
      </c>
      <c r="L80" s="31">
        <v>43610</v>
      </c>
      <c r="M80" s="28" t="s">
        <v>46</v>
      </c>
      <c r="N80" s="28" t="s">
        <v>3419</v>
      </c>
      <c r="O80" s="2"/>
      <c r="P80" s="32">
        <f>0.7925+0.105</f>
        <v>0.89749999999999996</v>
      </c>
      <c r="Q80" s="140">
        <v>26000</v>
      </c>
      <c r="R80" s="190">
        <v>11658</v>
      </c>
      <c r="S80" s="194">
        <v>19.167999999999999</v>
      </c>
      <c r="T80" s="141">
        <f>X80*F80*0.005</f>
        <v>3840.375071114488</v>
      </c>
      <c r="V80" s="2">
        <v>0.12</v>
      </c>
      <c r="W80" s="2">
        <v>0.3</v>
      </c>
      <c r="X80" s="2">
        <f>IF(O80&gt;0,O80,((P80*2.2046*S80)+(Q80+R80)/G80)+V80)</f>
        <v>40.007727728774007</v>
      </c>
      <c r="Y80" s="2">
        <f>IF(O80&gt;0,O80,((P80*2.2046*S80)+(Q80+R80+T80)/G80)+V80+W80)</f>
        <v>40.507749555644651</v>
      </c>
      <c r="Z80" s="3">
        <f>Y80*F80</f>
        <v>777674.51645879215</v>
      </c>
      <c r="AA80" s="34">
        <v>43605</v>
      </c>
      <c r="AB80" s="3"/>
      <c r="AC80" s="35"/>
    </row>
    <row r="81" spans="1:32" ht="15.75" thickBot="1" x14ac:dyDescent="0.3">
      <c r="A81" s="145"/>
      <c r="B81" s="41"/>
      <c r="C81" s="4"/>
      <c r="D81" s="4"/>
      <c r="E81" s="4"/>
      <c r="F81" s="42"/>
      <c r="G81" s="230"/>
      <c r="H81" s="42"/>
      <c r="I81" s="7"/>
      <c r="J81" s="4"/>
      <c r="K81" s="8"/>
      <c r="L81" s="8"/>
      <c r="M81" s="4"/>
      <c r="N81" s="4"/>
      <c r="O81" s="9"/>
      <c r="P81" s="10"/>
      <c r="Q81" s="9"/>
      <c r="R81" s="9"/>
      <c r="S81" s="9"/>
      <c r="T81" s="9"/>
      <c r="U81" s="9"/>
      <c r="V81" s="9"/>
      <c r="W81" s="9"/>
      <c r="X81" s="9"/>
      <c r="Y81" s="9"/>
      <c r="Z81" s="13"/>
      <c r="AA81" s="43"/>
      <c r="AB81" s="3"/>
      <c r="AC81" s="35"/>
    </row>
    <row r="82" spans="1:32" x14ac:dyDescent="0.25">
      <c r="A82" s="207"/>
      <c r="B82" s="14" t="s">
        <v>26</v>
      </c>
      <c r="C82" s="14" t="s">
        <v>27</v>
      </c>
      <c r="D82" s="15" t="s">
        <v>3690</v>
      </c>
      <c r="E82" s="14">
        <f>230+30</f>
        <v>260</v>
      </c>
      <c r="F82" s="16">
        <f>27235+3035</f>
        <v>30270</v>
      </c>
      <c r="G82" s="17">
        <f>11980+11590</f>
        <v>23570</v>
      </c>
      <c r="H82" s="30">
        <f t="shared" ref="H82:H84" si="51">G82-F82</f>
        <v>-6700</v>
      </c>
      <c r="I82" s="19" t="s">
        <v>3676</v>
      </c>
      <c r="J82" s="14"/>
      <c r="K82" s="20"/>
      <c r="L82" s="20">
        <v>43611</v>
      </c>
      <c r="M82" s="15" t="s">
        <v>28</v>
      </c>
      <c r="N82" s="14"/>
      <c r="O82" s="21">
        <v>31</v>
      </c>
      <c r="P82" s="22"/>
      <c r="Q82" s="139">
        <v>22800</v>
      </c>
      <c r="R82" s="2">
        <f t="shared" ref="R82:R83" si="52">75.45*E82</f>
        <v>19617</v>
      </c>
      <c r="S82" s="21">
        <f>-38*E82</f>
        <v>-9880</v>
      </c>
      <c r="T82" s="157">
        <f>X82*F82*0.0045</f>
        <v>5618.5480061518883</v>
      </c>
      <c r="U82" s="21">
        <f>E82*5</f>
        <v>1300</v>
      </c>
      <c r="V82" s="14"/>
      <c r="W82" s="21">
        <v>0.3</v>
      </c>
      <c r="X82" s="21">
        <f>((O82*F82)+Q82+R82+S82+U82)/G82</f>
        <v>41.247645311837083</v>
      </c>
      <c r="Y82" s="24">
        <f>((O82*F82)+Q82+R82+S82+T82+U82)/G82+W82</f>
        <v>41.786022401618659</v>
      </c>
      <c r="Z82" s="24">
        <f>Y82*G82</f>
        <v>984896.5480061518</v>
      </c>
      <c r="AA82" s="25">
        <v>43626</v>
      </c>
      <c r="AB82" s="3"/>
      <c r="AC82" s="3" t="s">
        <v>3681</v>
      </c>
    </row>
    <row r="83" spans="1:32" x14ac:dyDescent="0.25">
      <c r="A83" s="208"/>
      <c r="B83" s="27" t="s">
        <v>26</v>
      </c>
      <c r="C83" t="s">
        <v>27</v>
      </c>
      <c r="D83" s="28" t="s">
        <v>1682</v>
      </c>
      <c r="E83">
        <v>199</v>
      </c>
      <c r="F83" s="29">
        <v>22430</v>
      </c>
      <c r="G83" s="30">
        <f>11350+6230</f>
        <v>17580</v>
      </c>
      <c r="H83" s="30">
        <f t="shared" si="51"/>
        <v>-4850</v>
      </c>
      <c r="I83" s="28" t="s">
        <v>3679</v>
      </c>
      <c r="K83" s="31"/>
      <c r="L83" s="31">
        <v>43612</v>
      </c>
      <c r="M83" s="28" t="s">
        <v>29</v>
      </c>
      <c r="O83" s="2">
        <v>31</v>
      </c>
      <c r="P83" s="32"/>
      <c r="Q83" s="140">
        <v>22800</v>
      </c>
      <c r="R83" s="2">
        <f t="shared" si="52"/>
        <v>15014.550000000001</v>
      </c>
      <c r="S83" s="33">
        <f>-38*E83</f>
        <v>-7562</v>
      </c>
      <c r="T83" s="141">
        <f>X83*F83*0.0045</f>
        <v>4171.6214453498296</v>
      </c>
      <c r="U83" s="2">
        <f>E83*5</f>
        <v>995</v>
      </c>
      <c r="W83" s="2">
        <v>0.3</v>
      </c>
      <c r="X83" s="2">
        <f>((O83*F83)+Q83+R83+S83+U83)/G83</f>
        <v>41.329781001137661</v>
      </c>
      <c r="Y83" s="2">
        <f>((O83*F83)+Q83+R83+S83+T83+U83)/G83+W83</f>
        <v>41.867074598711596</v>
      </c>
      <c r="Z83" s="3">
        <f>Y83*G83</f>
        <v>736023.17144534981</v>
      </c>
      <c r="AA83" s="34">
        <v>43626</v>
      </c>
      <c r="AB83" s="3">
        <v>40.04</v>
      </c>
      <c r="AC83" s="35" t="s">
        <v>3698</v>
      </c>
    </row>
    <row r="84" spans="1:32" x14ac:dyDescent="0.25">
      <c r="A84" s="208"/>
      <c r="B84" s="27" t="s">
        <v>30</v>
      </c>
      <c r="C84" s="28" t="s">
        <v>1790</v>
      </c>
      <c r="D84" s="28" t="s">
        <v>1790</v>
      </c>
      <c r="E84" t="s">
        <v>32</v>
      </c>
      <c r="F84" s="29">
        <f>42170*0.4536</f>
        <v>19128.312000000002</v>
      </c>
      <c r="G84" s="196">
        <v>19311.21</v>
      </c>
      <c r="H84" s="30">
        <f t="shared" si="51"/>
        <v>182.89799999999741</v>
      </c>
      <c r="I84" s="28" t="s">
        <v>3573</v>
      </c>
      <c r="J84" s="52" t="s">
        <v>196</v>
      </c>
      <c r="K84" s="31">
        <v>43612</v>
      </c>
      <c r="L84" s="31">
        <v>43613</v>
      </c>
      <c r="M84" s="28" t="s">
        <v>48</v>
      </c>
      <c r="N84" s="28" t="s">
        <v>3578</v>
      </c>
      <c r="O84" s="2"/>
      <c r="P84" s="32">
        <f>0.7959+0.095</f>
        <v>0.89090000000000003</v>
      </c>
      <c r="Q84" s="140">
        <v>26000</v>
      </c>
      <c r="R84" s="190">
        <v>11658</v>
      </c>
      <c r="S84" s="194">
        <v>19.07</v>
      </c>
      <c r="T84" s="141">
        <f t="shared" ref="T84" si="53">X84*F84*0.005</f>
        <v>3780.2354506586453</v>
      </c>
      <c r="V84" s="2">
        <v>0.12</v>
      </c>
      <c r="W84" s="2">
        <v>0.3</v>
      </c>
      <c r="X84" s="2">
        <f>IF(O84&gt;0,O84,((P84*2.2046*S84)+(Q84+R84)/G84)+V84)</f>
        <v>39.525029188761089</v>
      </c>
      <c r="Y84" s="2">
        <f>IF(O84&gt;0,O84,((P84*2.2046*S84)+(Q84+R84+T84)/G84)+V84+W84)</f>
        <v>40.020782611289178</v>
      </c>
      <c r="Z84" s="3">
        <f>Y84*F84</f>
        <v>765530.01627291413</v>
      </c>
      <c r="AA84" s="34">
        <v>43612</v>
      </c>
      <c r="AB84" s="3">
        <v>40.56</v>
      </c>
      <c r="AC84" s="35"/>
    </row>
    <row r="85" spans="1:32" x14ac:dyDescent="0.25">
      <c r="A85" s="208"/>
      <c r="B85" s="27" t="s">
        <v>30</v>
      </c>
      <c r="C85" s="28" t="s">
        <v>35</v>
      </c>
      <c r="D85" s="28" t="s">
        <v>36</v>
      </c>
      <c r="E85" t="s">
        <v>37</v>
      </c>
      <c r="F85" s="29">
        <f>41720*0.4536</f>
        <v>18924.191999999999</v>
      </c>
      <c r="G85" s="196">
        <v>18848.669999999998</v>
      </c>
      <c r="H85" s="30">
        <f>G85-F85</f>
        <v>-75.522000000000844</v>
      </c>
      <c r="I85" t="s">
        <v>3574</v>
      </c>
      <c r="J85" s="52" t="s">
        <v>196</v>
      </c>
      <c r="K85" s="31">
        <v>43613</v>
      </c>
      <c r="L85" s="31">
        <v>43614</v>
      </c>
      <c r="M85" s="28" t="s">
        <v>33</v>
      </c>
      <c r="N85" s="28" t="s">
        <v>3579</v>
      </c>
      <c r="O85" s="2"/>
      <c r="P85" s="32">
        <f>0.7959+0.1</f>
        <v>0.89590000000000003</v>
      </c>
      <c r="Q85" s="140">
        <v>26000</v>
      </c>
      <c r="R85" s="190">
        <v>11658</v>
      </c>
      <c r="S85" s="194">
        <v>19.212</v>
      </c>
      <c r="T85" s="141">
        <f>X85*F85*0.005</f>
        <v>3790.8521251696598</v>
      </c>
      <c r="V85" s="2">
        <v>0.12</v>
      </c>
      <c r="W85" s="2">
        <v>0.3</v>
      </c>
      <c r="X85" s="2">
        <f>IF(O85&gt;0,O85,((P85*2.2046*S85)+(Q85+R85)/G85)+V85)</f>
        <v>40.063555951764386</v>
      </c>
      <c r="Y85" s="2">
        <f>IF(O85&gt;0,O85,((P85*2.2046*S85)+(Q85+R85+T85)/G85)+V85+W85)</f>
        <v>40.564676355759445</v>
      </c>
      <c r="Z85" s="3">
        <f>Y85*F85</f>
        <v>767653.72377425199</v>
      </c>
      <c r="AA85" s="34">
        <v>43614</v>
      </c>
      <c r="AB85" s="3">
        <v>40.72</v>
      </c>
      <c r="AC85" s="35"/>
    </row>
    <row r="86" spans="1:32" x14ac:dyDescent="0.25">
      <c r="A86" s="208"/>
      <c r="B86" s="27" t="s">
        <v>26</v>
      </c>
      <c r="C86" t="s">
        <v>27</v>
      </c>
      <c r="D86" s="28" t="s">
        <v>1682</v>
      </c>
      <c r="E86">
        <v>200</v>
      </c>
      <c r="F86" s="29">
        <v>22370</v>
      </c>
      <c r="G86" s="30">
        <f>11370+5970</f>
        <v>17340</v>
      </c>
      <c r="H86" s="30">
        <f>G86-F86</f>
        <v>-5030</v>
      </c>
      <c r="I86" t="s">
        <v>3680</v>
      </c>
      <c r="J86" s="55">
        <v>199</v>
      </c>
      <c r="K86" s="31"/>
      <c r="L86" s="31">
        <v>43613</v>
      </c>
      <c r="M86" s="28" t="s">
        <v>48</v>
      </c>
      <c r="O86" s="2">
        <v>31</v>
      </c>
      <c r="P86" s="32"/>
      <c r="Q86" s="138">
        <v>22800</v>
      </c>
      <c r="R86" s="2">
        <f>75.45*E86</f>
        <v>15090</v>
      </c>
      <c r="S86" s="33">
        <f>-38*E86</f>
        <v>-7600</v>
      </c>
      <c r="T86" s="141">
        <f>X86*F86*0.005</f>
        <v>4674.9945790080747</v>
      </c>
      <c r="U86" s="2">
        <f>E86*5</f>
        <v>1000</v>
      </c>
      <c r="W86" s="2">
        <v>0.3</v>
      </c>
      <c r="X86" s="2">
        <f>((O86*F86)+Q86+R86+S86+U86)/G86</f>
        <v>41.79700115340254</v>
      </c>
      <c r="Y86" s="2">
        <f>((O86*F86)+Q86+R86+S86+T86+U86)/G86+W86</f>
        <v>42.366608683910499</v>
      </c>
      <c r="Z86" s="3">
        <f>Y86*G86</f>
        <v>734636.99457900808</v>
      </c>
      <c r="AA86" s="34">
        <v>43627</v>
      </c>
      <c r="AB86" s="3">
        <v>40.72</v>
      </c>
      <c r="AC86" s="35" t="s">
        <v>3710</v>
      </c>
      <c r="AF86" s="30"/>
    </row>
    <row r="87" spans="1:32" x14ac:dyDescent="0.25">
      <c r="A87" s="208"/>
      <c r="B87" s="27" t="s">
        <v>30</v>
      </c>
      <c r="C87" s="28" t="s">
        <v>31</v>
      </c>
      <c r="D87" s="28" t="s">
        <v>31</v>
      </c>
      <c r="E87" t="s">
        <v>32</v>
      </c>
      <c r="F87" s="29">
        <f>41054*0.4536</f>
        <v>18622.094400000002</v>
      </c>
      <c r="G87" s="196">
        <v>18604.490000000002</v>
      </c>
      <c r="H87" s="30">
        <f t="shared" ref="H87:H88" si="54">G87-F87</f>
        <v>-17.604400000000169</v>
      </c>
      <c r="I87" s="28" t="s">
        <v>3546</v>
      </c>
      <c r="J87" s="52" t="s">
        <v>1690</v>
      </c>
      <c r="K87" s="31">
        <v>43613</v>
      </c>
      <c r="L87" s="31">
        <v>43614</v>
      </c>
      <c r="M87" s="28" t="s">
        <v>33</v>
      </c>
      <c r="N87" s="28" t="s">
        <v>3580</v>
      </c>
      <c r="O87" s="2"/>
      <c r="P87" s="32">
        <f>0.7959+0.105</f>
        <v>0.90090000000000003</v>
      </c>
      <c r="Q87" s="140">
        <v>26000</v>
      </c>
      <c r="R87" s="190">
        <v>11658</v>
      </c>
      <c r="S87" s="228">
        <v>19.167999999999999</v>
      </c>
      <c r="T87" s="141">
        <f t="shared" ref="T87:T88" si="55">X87*F87*0.005</f>
        <v>3744.3596560770234</v>
      </c>
      <c r="V87" s="2">
        <v>0.12</v>
      </c>
      <c r="W87" s="2">
        <v>0.3</v>
      </c>
      <c r="X87" s="2">
        <f>IF(O87&gt;0,O87,((P87*2.2046*S87)+(Q87+R87)/G87)+V87)</f>
        <v>40.21416254958973</v>
      </c>
      <c r="Y87" s="2">
        <f>IF(O87&gt;0,O87,((P87*2.2046*S87)+(Q87+R87+T87)/G87)+V87+W87)</f>
        <v>40.715423624527929</v>
      </c>
      <c r="Z87" s="3">
        <f>Y87*F87</f>
        <v>758206.46227194928</v>
      </c>
      <c r="AA87" s="34">
        <v>43606</v>
      </c>
      <c r="AB87" s="3">
        <v>40.93</v>
      </c>
      <c r="AC87" s="35"/>
    </row>
    <row r="88" spans="1:32" x14ac:dyDescent="0.25">
      <c r="A88" s="208"/>
      <c r="B88" s="27" t="s">
        <v>30</v>
      </c>
      <c r="C88" s="28" t="s">
        <v>31</v>
      </c>
      <c r="D88" s="28" t="s">
        <v>31</v>
      </c>
      <c r="E88" t="s">
        <v>32</v>
      </c>
      <c r="F88" s="29">
        <f>41138*0.4536</f>
        <v>18660.196800000002</v>
      </c>
      <c r="G88" s="196">
        <v>18529.71</v>
      </c>
      <c r="H88" s="30">
        <f t="shared" si="54"/>
        <v>-130.4868000000024</v>
      </c>
      <c r="I88" s="28" t="s">
        <v>3547</v>
      </c>
      <c r="J88" s="52" t="s">
        <v>196</v>
      </c>
      <c r="K88" s="31">
        <v>43613</v>
      </c>
      <c r="L88" s="31">
        <v>43614</v>
      </c>
      <c r="M88" s="28" t="s">
        <v>33</v>
      </c>
      <c r="N88" s="28" t="s">
        <v>3580</v>
      </c>
      <c r="O88" s="2"/>
      <c r="P88" s="32">
        <f>0.7959+0.105</f>
        <v>0.90090000000000003</v>
      </c>
      <c r="Q88" s="140">
        <v>26000</v>
      </c>
      <c r="R88" s="190">
        <v>11658</v>
      </c>
      <c r="S88" s="228">
        <v>19.167999999999999</v>
      </c>
      <c r="T88" s="141">
        <f t="shared" si="55"/>
        <v>3752.7830902809251</v>
      </c>
      <c r="V88" s="2">
        <v>0.12</v>
      </c>
      <c r="W88" s="2">
        <v>0.3</v>
      </c>
      <c r="X88" s="2">
        <f>IF(O88&gt;0,O88,((P88*2.2046*S88)+(Q88+R88)/G88)+V88)</f>
        <v>40.222331313043007</v>
      </c>
      <c r="Y88" s="2">
        <f>IF(O88&gt;0,O88,((P88*2.2046*S88)+(Q88+R88+T88)/G88)+V88+W88)</f>
        <v>40.724859204212422</v>
      </c>
      <c r="Z88" s="3">
        <f>Y88*F88</f>
        <v>759933.88740289526</v>
      </c>
      <c r="AA88" s="34">
        <v>43606</v>
      </c>
      <c r="AB88" s="3">
        <v>42.19</v>
      </c>
      <c r="AC88" s="35"/>
    </row>
    <row r="89" spans="1:32" x14ac:dyDescent="0.25">
      <c r="A89" s="208"/>
      <c r="B89" s="27" t="s">
        <v>26</v>
      </c>
      <c r="C89" t="s">
        <v>27</v>
      </c>
      <c r="D89" s="28" t="s">
        <v>1682</v>
      </c>
      <c r="E89">
        <v>220</v>
      </c>
      <c r="F89" s="29">
        <v>24790</v>
      </c>
      <c r="G89" s="30">
        <f>13270+6160</f>
        <v>19430</v>
      </c>
      <c r="H89" s="30">
        <f>G89-F89</f>
        <v>-5360</v>
      </c>
      <c r="I89" s="28" t="s">
        <v>3711</v>
      </c>
      <c r="K89" s="31"/>
      <c r="L89" s="31">
        <v>43614</v>
      </c>
      <c r="M89" s="28" t="s">
        <v>33</v>
      </c>
      <c r="O89" s="2">
        <v>31</v>
      </c>
      <c r="P89" s="32"/>
      <c r="Q89" s="140">
        <v>22800</v>
      </c>
      <c r="R89" s="2">
        <f>75.45*E89</f>
        <v>16599</v>
      </c>
      <c r="S89" s="33">
        <f>-38*E89</f>
        <v>-8360</v>
      </c>
      <c r="T89" s="141">
        <f>X89*F89*0.005</f>
        <v>5107.460862068966</v>
      </c>
      <c r="U89" s="2">
        <f>E89*5</f>
        <v>1100</v>
      </c>
      <c r="W89" s="2">
        <v>0.3</v>
      </c>
      <c r="X89" s="2">
        <f>((O89*F89)+Q89+R89+S89+U89)/G89</f>
        <v>41.205815748841999</v>
      </c>
      <c r="Y89" s="2">
        <f>((O89*F89)+Q89+R89+S89+T89+U89)/G89+W89</f>
        <v>41.768680435515641</v>
      </c>
      <c r="Z89" s="3">
        <f>Y89*G89</f>
        <v>811565.46086206893</v>
      </c>
      <c r="AA89" s="34">
        <v>43627</v>
      </c>
      <c r="AB89" s="3">
        <v>40.869999999999997</v>
      </c>
      <c r="AC89" s="35" t="s">
        <v>3714</v>
      </c>
    </row>
    <row r="90" spans="1:32" x14ac:dyDescent="0.25">
      <c r="A90" s="208"/>
      <c r="B90" s="27" t="s">
        <v>1805</v>
      </c>
      <c r="C90" s="28" t="s">
        <v>2450</v>
      </c>
      <c r="D90" s="28" t="s">
        <v>1806</v>
      </c>
      <c r="E90" t="s">
        <v>2455</v>
      </c>
      <c r="F90" s="29">
        <f>875+865+869+850</f>
        <v>3459</v>
      </c>
      <c r="G90" s="30">
        <v>3459</v>
      </c>
      <c r="H90" s="30">
        <f>G90-F90</f>
        <v>0</v>
      </c>
      <c r="I90" s="28" t="s">
        <v>3718</v>
      </c>
      <c r="K90" s="31"/>
      <c r="L90" s="31">
        <v>43614</v>
      </c>
      <c r="M90" s="28" t="s">
        <v>33</v>
      </c>
      <c r="O90" s="2">
        <v>18</v>
      </c>
      <c r="P90" s="32"/>
      <c r="Q90" s="2"/>
      <c r="R90" s="2"/>
      <c r="S90" s="33"/>
      <c r="T90" s="33"/>
      <c r="U90" s="2"/>
      <c r="W90" s="2"/>
      <c r="X90" s="2">
        <f>IF(O90&gt;0,O90,((P90*2.2046*S90)+(Q90+R90)/G90)+V90)</f>
        <v>18</v>
      </c>
      <c r="Y90" s="2">
        <f>IF(O90&gt;0,O90,((P90*2.2046*S90)+(Q90+R90+T90)/G90)+V90+W90)</f>
        <v>18</v>
      </c>
      <c r="Z90" s="3">
        <f>Y90*F90</f>
        <v>62262</v>
      </c>
      <c r="AA90" s="34">
        <v>43621</v>
      </c>
      <c r="AB90" s="50">
        <f>SUM(AB83:AB89)/7</f>
        <v>40.861428571428569</v>
      </c>
      <c r="AC90" s="35"/>
    </row>
    <row r="91" spans="1:32" x14ac:dyDescent="0.25">
      <c r="A91" s="208"/>
      <c r="B91" s="27" t="s">
        <v>26</v>
      </c>
      <c r="C91" t="s">
        <v>27</v>
      </c>
      <c r="D91" s="28" t="s">
        <v>1682</v>
      </c>
      <c r="E91">
        <v>199</v>
      </c>
      <c r="F91" s="29">
        <v>21655</v>
      </c>
      <c r="G91" s="30">
        <v>17000</v>
      </c>
      <c r="H91" s="30">
        <f t="shared" ref="H91:H93" si="56">G91-F91</f>
        <v>-4655</v>
      </c>
      <c r="I91" s="28" t="s">
        <v>3727</v>
      </c>
      <c r="K91" s="31"/>
      <c r="L91" s="31">
        <v>43615</v>
      </c>
      <c r="M91" s="28" t="s">
        <v>41</v>
      </c>
      <c r="O91" s="2">
        <v>31</v>
      </c>
      <c r="P91" s="32"/>
      <c r="Q91" s="138">
        <v>22800</v>
      </c>
      <c r="R91" s="2">
        <f t="shared" ref="R91:R92" si="57">75.45*E91</f>
        <v>15014.550000000001</v>
      </c>
      <c r="S91" s="33">
        <f>-38*E91</f>
        <v>-7562</v>
      </c>
      <c r="T91" s="141">
        <f>X91*F91*0.0045</f>
        <v>4027.1758597720582</v>
      </c>
      <c r="U91" s="2">
        <f>E91*5</f>
        <v>995</v>
      </c>
      <c r="W91" s="2">
        <v>0.3</v>
      </c>
      <c r="X91" s="2">
        <f t="shared" ref="X91" si="58">((O91*F91)+Q91+R91+S91+U91)/G91</f>
        <v>41.326620588235293</v>
      </c>
      <c r="Y91" s="2">
        <f>((O91*F91)+Q91+R91+S91+T91+U91)/G91+W91</f>
        <v>41.86351328586894</v>
      </c>
      <c r="Z91" s="3">
        <f>Y91*G91</f>
        <v>711679.72585977195</v>
      </c>
      <c r="AA91" s="34">
        <v>43628</v>
      </c>
      <c r="AB91" s="3"/>
      <c r="AC91" s="35"/>
    </row>
    <row r="92" spans="1:32" x14ac:dyDescent="0.25">
      <c r="A92" s="208"/>
      <c r="B92" s="27" t="s">
        <v>26</v>
      </c>
      <c r="C92" t="s">
        <v>27</v>
      </c>
      <c r="D92" s="28" t="s">
        <v>1682</v>
      </c>
      <c r="E92">
        <v>130</v>
      </c>
      <c r="F92" s="29">
        <v>15055</v>
      </c>
      <c r="G92" s="30">
        <v>11760</v>
      </c>
      <c r="H92" s="30">
        <f t="shared" si="56"/>
        <v>-3295</v>
      </c>
      <c r="I92" s="28" t="s">
        <v>3728</v>
      </c>
      <c r="K92" s="31"/>
      <c r="L92" s="31">
        <v>43615</v>
      </c>
      <c r="M92" s="28" t="s">
        <v>41</v>
      </c>
      <c r="O92" s="2">
        <v>31</v>
      </c>
      <c r="P92" s="32"/>
      <c r="Q92" s="2">
        <v>18100</v>
      </c>
      <c r="R92" s="2">
        <f t="shared" si="57"/>
        <v>9808.5</v>
      </c>
      <c r="S92" s="33">
        <f>-38*E92</f>
        <v>-4940</v>
      </c>
      <c r="T92" s="141">
        <f>X92*F92*0.0045</f>
        <v>2824.6761323341839</v>
      </c>
      <c r="U92" s="2">
        <f>E92*5</f>
        <v>650</v>
      </c>
      <c r="W92" s="2">
        <v>0.3</v>
      </c>
      <c r="X92" s="2">
        <f>((O92*F92)+Q92+R92+S92+U92)/G92</f>
        <v>41.694175170068029</v>
      </c>
      <c r="Y92" s="2">
        <f>((O92*F92)+Q92+R92+S92+T92+U92)/G92+W92</f>
        <v>42.234368718735894</v>
      </c>
      <c r="Z92" s="3">
        <f>Y92*G92</f>
        <v>496676.17613233411</v>
      </c>
      <c r="AA92" s="34">
        <v>43628</v>
      </c>
      <c r="AB92" s="3"/>
      <c r="AC92" s="35" t="s">
        <v>3729</v>
      </c>
    </row>
    <row r="93" spans="1:32" x14ac:dyDescent="0.25">
      <c r="A93" s="208"/>
      <c r="B93" s="27" t="s">
        <v>2556</v>
      </c>
      <c r="C93" t="s">
        <v>1800</v>
      </c>
      <c r="D93" s="28" t="s">
        <v>1734</v>
      </c>
      <c r="E93" t="s">
        <v>3730</v>
      </c>
      <c r="F93" s="29">
        <v>2971.15</v>
      </c>
      <c r="G93" s="30">
        <v>2971.54</v>
      </c>
      <c r="H93" s="30">
        <f t="shared" si="56"/>
        <v>0.38999999999987267</v>
      </c>
      <c r="I93" s="199" t="s">
        <v>3743</v>
      </c>
      <c r="K93" s="31"/>
      <c r="L93" s="31">
        <v>43615</v>
      </c>
      <c r="M93" s="28" t="s">
        <v>41</v>
      </c>
      <c r="O93" s="2">
        <v>96</v>
      </c>
      <c r="P93" s="32"/>
      <c r="Q93" s="2"/>
      <c r="R93" s="2"/>
      <c r="S93" s="33"/>
      <c r="T93" s="33"/>
      <c r="U93" s="2"/>
      <c r="W93" s="2"/>
      <c r="X93" s="2">
        <f>IF(O93&gt;0,O93,((P93*2.2046*S93)+(Q93+R93)/G93)+V93)</f>
        <v>96</v>
      </c>
      <c r="Y93" s="2">
        <f>IF(O93&gt;0,O93,((P93*2.2046*S93)+(Q93+R93+T93)/G93)+V93+W93)</f>
        <v>96</v>
      </c>
      <c r="Z93" s="3">
        <f>Y93*F93</f>
        <v>285230.40000000002</v>
      </c>
      <c r="AA93" s="34">
        <v>43623</v>
      </c>
      <c r="AB93" s="3"/>
      <c r="AC93" s="35"/>
    </row>
    <row r="94" spans="1:32" x14ac:dyDescent="0.25">
      <c r="A94" s="208"/>
      <c r="B94" s="27" t="s">
        <v>26</v>
      </c>
      <c r="C94" t="s">
        <v>27</v>
      </c>
      <c r="D94" s="28" t="s">
        <v>1682</v>
      </c>
      <c r="E94">
        <v>230</v>
      </c>
      <c r="F94" s="29">
        <v>25105</v>
      </c>
      <c r="G94" s="30">
        <v>21780</v>
      </c>
      <c r="H94" s="30">
        <f t="shared" ref="H94:H95" si="59">G94-F94</f>
        <v>-3325</v>
      </c>
      <c r="I94" s="28" t="s">
        <v>3732</v>
      </c>
      <c r="K94" s="31"/>
      <c r="L94" s="31">
        <v>43616</v>
      </c>
      <c r="M94" s="28" t="s">
        <v>45</v>
      </c>
      <c r="O94" s="2">
        <v>31.5</v>
      </c>
      <c r="P94" s="32"/>
      <c r="Q94" s="138">
        <v>22800</v>
      </c>
      <c r="R94" s="2">
        <f t="shared" ref="R94:R95" si="60">75.45*E94</f>
        <v>17353.5</v>
      </c>
      <c r="S94" s="33">
        <f>-38*E94</f>
        <v>-8740</v>
      </c>
      <c r="T94" s="141">
        <f>X94*F94*0.0045</f>
        <v>4270.8117675619833</v>
      </c>
      <c r="U94" s="2">
        <f>E94*5</f>
        <v>1150</v>
      </c>
      <c r="W94" s="2">
        <v>0.3</v>
      </c>
      <c r="X94" s="2">
        <f>((O94*F94)+Q94+R94+S94+U94)/G94</f>
        <v>37.803994490358129</v>
      </c>
      <c r="Y94" s="2">
        <f>((O94*F94)+Q94+R94+S94+T94+U94)/G94+W94</f>
        <v>38.300083184920197</v>
      </c>
      <c r="Z94" s="3">
        <f>Y94*G94</f>
        <v>834175.81176756194</v>
      </c>
      <c r="AA94" s="34">
        <v>43629</v>
      </c>
      <c r="AB94" s="3"/>
      <c r="AC94" s="35"/>
    </row>
    <row r="95" spans="1:32" x14ac:dyDescent="0.25">
      <c r="A95" s="208"/>
      <c r="B95" s="27" t="s">
        <v>26</v>
      </c>
      <c r="C95" t="s">
        <v>27</v>
      </c>
      <c r="D95" s="28" t="s">
        <v>1682</v>
      </c>
      <c r="E95">
        <v>150</v>
      </c>
      <c r="F95" s="29">
        <v>16725</v>
      </c>
      <c r="G95" s="30">
        <v>11480</v>
      </c>
      <c r="H95" s="30">
        <f t="shared" si="59"/>
        <v>-5245</v>
      </c>
      <c r="I95" s="28" t="s">
        <v>3733</v>
      </c>
      <c r="K95" s="31"/>
      <c r="L95" s="31">
        <v>43616</v>
      </c>
      <c r="M95" s="28" t="s">
        <v>45</v>
      </c>
      <c r="O95" s="2">
        <v>31.5</v>
      </c>
      <c r="P95" s="32"/>
      <c r="Q95" s="2">
        <v>18100</v>
      </c>
      <c r="R95" s="2">
        <f t="shared" si="60"/>
        <v>11317.5</v>
      </c>
      <c r="S95" s="153">
        <f>-38*E95</f>
        <v>-5700</v>
      </c>
      <c r="T95" s="141">
        <f>X95*F95*0.0045</f>
        <v>3614.3373312282229</v>
      </c>
      <c r="U95" s="2">
        <f>E95*5</f>
        <v>750</v>
      </c>
      <c r="W95" s="2">
        <v>0.3</v>
      </c>
      <c r="X95" s="2">
        <f>((O95*F95)+Q95+R95+S95+U95)/G95</f>
        <v>48.023083623693381</v>
      </c>
      <c r="Y95" s="2">
        <f>((O95*F95)+Q95+R95+S95+T95+U95)/G95+W95</f>
        <v>48.637921370316043</v>
      </c>
      <c r="Z95" s="3">
        <f>Y95*G95</f>
        <v>558363.33733122819</v>
      </c>
      <c r="AA95" s="34">
        <v>43629</v>
      </c>
      <c r="AB95" s="3">
        <v>41.86</v>
      </c>
      <c r="AC95" s="35" t="s">
        <v>3734</v>
      </c>
    </row>
    <row r="96" spans="1:32" ht="15.75" thickBot="1" x14ac:dyDescent="0.3">
      <c r="A96" s="209"/>
      <c r="B96" s="41"/>
      <c r="C96" s="4"/>
      <c r="D96" s="4"/>
      <c r="E96" s="4"/>
      <c r="F96" s="42"/>
      <c r="G96" s="42"/>
      <c r="H96" s="42"/>
      <c r="I96" s="7"/>
      <c r="J96" s="4"/>
      <c r="K96" s="8"/>
      <c r="L96" s="8"/>
      <c r="M96" s="4"/>
      <c r="N96" s="4"/>
      <c r="O96" s="9"/>
      <c r="P96" s="10"/>
      <c r="Q96" s="9"/>
      <c r="R96" s="9"/>
      <c r="S96" s="9"/>
      <c r="T96" s="9"/>
      <c r="U96" s="9"/>
      <c r="V96" s="9"/>
      <c r="W96" s="9"/>
      <c r="X96" s="9"/>
      <c r="Y96" s="9"/>
      <c r="Z96" s="13"/>
      <c r="AA96" s="43"/>
      <c r="AB96" s="3"/>
      <c r="AC96" s="35"/>
    </row>
  </sheetData>
  <pageMargins left="0.7" right="0.7" top="0.75" bottom="0.75" header="0.3" footer="0.3"/>
  <pageSetup orientation="portrait" horizontalDpi="4294967292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1B0B-5D33-4DDB-96C0-755FF0EB3BC5}">
  <dimension ref="A2:AF91"/>
  <sheetViews>
    <sheetView topLeftCell="A22" zoomScale="80" zoomScaleNormal="80" workbookViewId="0">
      <selection activeCell="R75" sqref="R75"/>
    </sheetView>
  </sheetViews>
  <sheetFormatPr baseColWidth="10" defaultRowHeight="15" x14ac:dyDescent="0.25"/>
  <cols>
    <col min="1" max="1" width="3.85546875" customWidth="1"/>
    <col min="2" max="2" width="15.7109375" bestFit="1" customWidth="1"/>
    <col min="3" max="3" width="13" bestFit="1" customWidth="1"/>
    <col min="4" max="4" width="18.140625" bestFit="1" customWidth="1"/>
    <col min="13" max="13" width="5.140625" customWidth="1"/>
    <col min="18" max="18" width="12.140625" customWidth="1"/>
    <col min="22" max="22" width="8.42578125" customWidth="1"/>
    <col min="23" max="23" width="9.5703125" customWidth="1"/>
    <col min="24" max="24" width="0" hidden="1" customWidth="1"/>
    <col min="26" max="26" width="15.140625" customWidth="1"/>
  </cols>
  <sheetData>
    <row r="2" spans="1:32" x14ac:dyDescent="0.25">
      <c r="A2" s="1" t="s">
        <v>3583</v>
      </c>
      <c r="S2" s="2"/>
      <c r="W2" s="2"/>
      <c r="Z2" s="3"/>
      <c r="AB2" s="3"/>
    </row>
    <row r="3" spans="1:32" ht="30.75" thickBot="1" x14ac:dyDescent="0.3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 t="s">
        <v>7</v>
      </c>
      <c r="I3" s="7" t="s">
        <v>8</v>
      </c>
      <c r="J3" s="4" t="s">
        <v>9</v>
      </c>
      <c r="K3" s="8" t="s">
        <v>10</v>
      </c>
      <c r="L3" s="8" t="s">
        <v>11</v>
      </c>
      <c r="M3" s="4" t="s">
        <v>12</v>
      </c>
      <c r="N3" s="4" t="s">
        <v>13</v>
      </c>
      <c r="O3" s="9" t="s">
        <v>14</v>
      </c>
      <c r="P3" s="10" t="s">
        <v>15</v>
      </c>
      <c r="Q3" s="9" t="s">
        <v>16</v>
      </c>
      <c r="R3" s="11" t="s">
        <v>17</v>
      </c>
      <c r="S3" s="11" t="s">
        <v>18</v>
      </c>
      <c r="T3" s="12" t="s">
        <v>19</v>
      </c>
      <c r="U3" s="9" t="s">
        <v>20</v>
      </c>
      <c r="V3" s="9" t="s">
        <v>21</v>
      </c>
      <c r="W3" s="12" t="s">
        <v>22</v>
      </c>
      <c r="X3" s="9" t="s">
        <v>23</v>
      </c>
      <c r="Y3" s="9" t="s">
        <v>24</v>
      </c>
      <c r="Z3" s="13" t="s">
        <v>25</v>
      </c>
      <c r="AA3" s="9"/>
      <c r="AB3" s="3"/>
    </row>
    <row r="4" spans="1:32" x14ac:dyDescent="0.25">
      <c r="A4" s="208"/>
      <c r="B4" s="27" t="s">
        <v>30</v>
      </c>
      <c r="C4" s="28" t="s">
        <v>40</v>
      </c>
      <c r="D4" s="28" t="s">
        <v>40</v>
      </c>
      <c r="E4" t="s">
        <v>37</v>
      </c>
      <c r="F4" s="29">
        <f>41828*0.4536</f>
        <v>18973.180800000002</v>
      </c>
      <c r="G4" s="196">
        <v>19073.349999999999</v>
      </c>
      <c r="H4" s="30">
        <f>G4-F4</f>
        <v>100.16919999999664</v>
      </c>
      <c r="I4" t="s">
        <v>3575</v>
      </c>
      <c r="J4" s="52" t="s">
        <v>196</v>
      </c>
      <c r="K4" s="31">
        <v>43615</v>
      </c>
      <c r="L4" s="31">
        <v>43617</v>
      </c>
      <c r="M4" s="28" t="s">
        <v>46</v>
      </c>
      <c r="N4" s="28" t="s">
        <v>3705</v>
      </c>
      <c r="O4" s="2"/>
      <c r="P4" s="32">
        <f>0.8109+0.105</f>
        <v>0.91589999999999994</v>
      </c>
      <c r="Q4" s="140">
        <v>26000</v>
      </c>
      <c r="R4" s="190">
        <v>9508</v>
      </c>
      <c r="S4" s="194">
        <v>19.039000000000001</v>
      </c>
      <c r="T4" s="141">
        <f>X4*F4*0.005</f>
        <v>3834.9611256292101</v>
      </c>
      <c r="V4" s="2">
        <v>0.12</v>
      </c>
      <c r="W4" s="2">
        <v>0.3</v>
      </c>
      <c r="X4" s="2">
        <f>IF(O4&gt;0,O4,((P4*2.2046*S4)+(Q4+R4)/G4)+V4)</f>
        <v>40.425073329077321</v>
      </c>
      <c r="Y4" s="2">
        <f>IF(O4&gt;0,O4,((P4*2.2046*S4)+(Q4+R4+T4)/G4)+V4+W4)</f>
        <v>40.926137176048577</v>
      </c>
      <c r="Z4" s="3">
        <f>Y4*F4</f>
        <v>776499.00008677121</v>
      </c>
      <c r="AA4" s="34">
        <v>43608</v>
      </c>
      <c r="AC4" s="35"/>
    </row>
    <row r="5" spans="1:32" x14ac:dyDescent="0.25">
      <c r="A5" s="208"/>
      <c r="B5" s="27" t="s">
        <v>30</v>
      </c>
      <c r="C5" s="28" t="s">
        <v>1790</v>
      </c>
      <c r="D5" s="28" t="s">
        <v>1790</v>
      </c>
      <c r="E5" t="s">
        <v>32</v>
      </c>
      <c r="F5" s="29">
        <f>42105*0.4536</f>
        <v>19098.828000000001</v>
      </c>
      <c r="G5" s="196">
        <v>19110.57</v>
      </c>
      <c r="H5" s="30">
        <f>G5-F5</f>
        <v>11.74199999999837</v>
      </c>
      <c r="I5" s="28" t="s">
        <v>3576</v>
      </c>
      <c r="J5" s="52" t="s">
        <v>196</v>
      </c>
      <c r="K5" s="31">
        <v>43616</v>
      </c>
      <c r="L5" s="31">
        <v>43618</v>
      </c>
      <c r="M5" s="28" t="s">
        <v>28</v>
      </c>
      <c r="N5" s="28" t="s">
        <v>3581</v>
      </c>
      <c r="O5" s="2"/>
      <c r="P5" s="32">
        <f>0.8109+0.095</f>
        <v>0.90589999999999993</v>
      </c>
      <c r="Q5" s="140">
        <v>26000</v>
      </c>
      <c r="R5" s="190">
        <v>12814</v>
      </c>
      <c r="S5" s="194">
        <v>19.760000000000002</v>
      </c>
      <c r="T5" s="141">
        <f>X5*F5*0.005</f>
        <v>3973.9552235559604</v>
      </c>
      <c r="V5" s="2">
        <v>0.12</v>
      </c>
      <c r="W5" s="2">
        <v>0.3</v>
      </c>
      <c r="X5" s="2">
        <f>IF(O5&gt;0,O5,((P5*2.2046*S5)+(Q5+R5)/G5)+V5)</f>
        <v>41.614650108959147</v>
      </c>
      <c r="Y5" s="2">
        <f>IF(O5&gt;0,O5,((P5*2.2046*S5)+(Q5+R5+T5)/G5)+V5+W5)</f>
        <v>42.122595514227321</v>
      </c>
      <c r="Z5" s="3">
        <f>Y5*F5</f>
        <v>804492.20663979917</v>
      </c>
      <c r="AA5" s="34">
        <v>43616</v>
      </c>
      <c r="AB5" s="3"/>
      <c r="AC5" s="35"/>
    </row>
    <row r="6" spans="1:32" x14ac:dyDescent="0.25">
      <c r="A6" s="208"/>
      <c r="B6" s="27" t="s">
        <v>30</v>
      </c>
      <c r="C6" t="s">
        <v>40</v>
      </c>
      <c r="D6" s="28" t="s">
        <v>40</v>
      </c>
      <c r="E6" t="s">
        <v>37</v>
      </c>
      <c r="F6" s="29">
        <f>42854*0.4536</f>
        <v>19438.574400000001</v>
      </c>
      <c r="G6" s="196">
        <v>19205.96</v>
      </c>
      <c r="H6" s="30">
        <f t="shared" ref="H6" si="0">G6-F6</f>
        <v>-232.61440000000221</v>
      </c>
      <c r="I6" s="28" t="s">
        <v>3577</v>
      </c>
      <c r="J6" s="52" t="s">
        <v>196</v>
      </c>
      <c r="K6" s="31">
        <v>43616</v>
      </c>
      <c r="L6" s="31">
        <v>43617</v>
      </c>
      <c r="M6" s="28" t="s">
        <v>46</v>
      </c>
      <c r="N6" s="28" t="s">
        <v>3582</v>
      </c>
      <c r="O6" s="2"/>
      <c r="P6" s="32">
        <f>0.8036+0.105</f>
        <v>0.90859999999999996</v>
      </c>
      <c r="Q6" s="140">
        <v>26000</v>
      </c>
      <c r="R6" s="190">
        <v>11808</v>
      </c>
      <c r="S6" s="194">
        <v>19.100000000000001</v>
      </c>
      <c r="T6" s="141">
        <f>X6*F6*0.005</f>
        <v>3921.5144000742825</v>
      </c>
      <c r="V6" s="2">
        <v>0.12</v>
      </c>
      <c r="W6" s="2">
        <v>0.3</v>
      </c>
      <c r="X6" s="2">
        <f>IF(O6&gt;0,O6,((P6*2.2046*S6)+(Q6+R6)/G6)+V6)</f>
        <v>40.347757190200966</v>
      </c>
      <c r="Y6" s="2">
        <f>IF(O6&gt;0,O6,((P6*2.2046*S6)+(Q6+R6+T6)/G6)+V6+W6)</f>
        <v>40.851939350325964</v>
      </c>
      <c r="Z6" s="3">
        <f>Y6*F6</f>
        <v>794103.46244559891</v>
      </c>
      <c r="AA6" s="34">
        <v>43612</v>
      </c>
      <c r="AB6" s="3"/>
      <c r="AC6" s="35"/>
    </row>
    <row r="7" spans="1:32" ht="15.75" thickBot="1" x14ac:dyDescent="0.3">
      <c r="A7" s="209"/>
      <c r="B7" s="41"/>
      <c r="C7" s="4"/>
      <c r="D7" s="4"/>
      <c r="E7" s="4"/>
      <c r="F7" s="42"/>
      <c r="G7" s="42"/>
      <c r="H7" s="42"/>
      <c r="I7" s="7"/>
      <c r="J7" s="4"/>
      <c r="K7" s="8"/>
      <c r="L7" s="8"/>
      <c r="M7" s="4"/>
      <c r="N7" s="4"/>
      <c r="O7" s="9"/>
      <c r="P7" s="10"/>
      <c r="Q7" s="9"/>
      <c r="R7" s="9"/>
      <c r="S7" s="9"/>
      <c r="T7" s="9"/>
      <c r="U7" s="9"/>
      <c r="V7" s="9"/>
      <c r="W7" s="9"/>
      <c r="X7" s="9"/>
      <c r="Y7" s="9"/>
      <c r="Z7" s="13"/>
      <c r="AA7" s="43"/>
      <c r="AB7" s="3"/>
      <c r="AC7" s="35"/>
    </row>
    <row r="8" spans="1:32" x14ac:dyDescent="0.25">
      <c r="A8" s="168"/>
      <c r="B8" s="14" t="s">
        <v>26</v>
      </c>
      <c r="C8" s="14" t="s">
        <v>27</v>
      </c>
      <c r="D8" s="15" t="s">
        <v>1682</v>
      </c>
      <c r="E8" s="14">
        <v>200</v>
      </c>
      <c r="F8" s="16">
        <v>22935</v>
      </c>
      <c r="G8" s="17">
        <v>17880</v>
      </c>
      <c r="H8" s="30">
        <f t="shared" ref="H8:H12" si="1">G8-F8</f>
        <v>-5055</v>
      </c>
      <c r="I8" s="19" t="s">
        <v>3752</v>
      </c>
      <c r="J8" s="14"/>
      <c r="K8" s="20"/>
      <c r="L8" s="20">
        <v>43618</v>
      </c>
      <c r="M8" s="15" t="s">
        <v>28</v>
      </c>
      <c r="N8" s="14"/>
      <c r="O8" s="21">
        <v>32.5</v>
      </c>
      <c r="P8" s="22"/>
      <c r="Q8" s="139">
        <v>22800</v>
      </c>
      <c r="R8" s="2">
        <f t="shared" ref="R8:R10" si="2">75.45*E8</f>
        <v>15090</v>
      </c>
      <c r="S8" s="21">
        <f>-38*E8</f>
        <v>-7600</v>
      </c>
      <c r="T8" s="157">
        <f>X8*F8*0.0045</f>
        <v>4483.1623647231536</v>
      </c>
      <c r="U8" s="21">
        <f>E8*5</f>
        <v>1000</v>
      </c>
      <c r="V8" s="14"/>
      <c r="W8" s="21">
        <v>0.3</v>
      </c>
      <c r="X8" s="21">
        <f>((O8*F8)+Q8+R8+S8+U8)/G8</f>
        <v>43.438338926174495</v>
      </c>
      <c r="Y8" s="24">
        <f>((O8*F8)+Q8+R8+S8+T8+U8)/G8+W8</f>
        <v>43.989075076326799</v>
      </c>
      <c r="Z8" s="24">
        <f>Y8*G8</f>
        <v>786524.66236472316</v>
      </c>
      <c r="AA8" s="25">
        <v>43633</v>
      </c>
      <c r="AB8" s="3">
        <v>44.5</v>
      </c>
      <c r="AC8" s="3"/>
    </row>
    <row r="9" spans="1:32" x14ac:dyDescent="0.25">
      <c r="A9" s="169"/>
      <c r="B9" s="27" t="s">
        <v>26</v>
      </c>
      <c r="C9" t="s">
        <v>27</v>
      </c>
      <c r="D9" s="28" t="s">
        <v>1682</v>
      </c>
      <c r="E9">
        <v>131</v>
      </c>
      <c r="F9" s="29">
        <v>16300</v>
      </c>
      <c r="G9" s="30">
        <v>13080</v>
      </c>
      <c r="H9" s="30">
        <f t="shared" si="1"/>
        <v>-3220</v>
      </c>
      <c r="I9" s="28" t="s">
        <v>3753</v>
      </c>
      <c r="K9" s="31"/>
      <c r="L9" s="31">
        <v>43618</v>
      </c>
      <c r="M9" s="28" t="s">
        <v>28</v>
      </c>
      <c r="O9" s="2">
        <v>32.5</v>
      </c>
      <c r="P9" s="32"/>
      <c r="Q9" s="140">
        <v>18100</v>
      </c>
      <c r="R9" s="2">
        <f t="shared" si="2"/>
        <v>9883.9500000000007</v>
      </c>
      <c r="S9" s="33">
        <f>-38*E9</f>
        <v>-4978</v>
      </c>
      <c r="T9" s="141">
        <f>X9*F9*0.0045</f>
        <v>3103.4169099770638</v>
      </c>
      <c r="U9" s="2">
        <f>E9*5</f>
        <v>655</v>
      </c>
      <c r="W9" s="2">
        <v>0.3</v>
      </c>
      <c r="X9" s="2">
        <f>((O9*F9)+Q9+R9+S9+U9)/G9</f>
        <v>42.309705657492351</v>
      </c>
      <c r="Y9" s="2">
        <f>((O9*F9)+Q9+R9+S9+T9+U9)/G9+W9</f>
        <v>42.846969947245952</v>
      </c>
      <c r="Z9" s="3">
        <f>Y9*G9</f>
        <v>560438.36690997705</v>
      </c>
      <c r="AA9" s="34">
        <v>43633</v>
      </c>
      <c r="AB9" s="3"/>
      <c r="AC9" s="35" t="s">
        <v>3774</v>
      </c>
    </row>
    <row r="10" spans="1:32" x14ac:dyDescent="0.25">
      <c r="A10" s="169"/>
      <c r="B10" s="27" t="s">
        <v>26</v>
      </c>
      <c r="C10" t="s">
        <v>27</v>
      </c>
      <c r="D10" s="28" t="s">
        <v>1682</v>
      </c>
      <c r="E10">
        <v>221</v>
      </c>
      <c r="F10" s="29">
        <v>26020</v>
      </c>
      <c r="G10" s="196">
        <v>20620</v>
      </c>
      <c r="H10" s="30">
        <f t="shared" si="1"/>
        <v>-5400</v>
      </c>
      <c r="I10" s="28" t="s">
        <v>3757</v>
      </c>
      <c r="K10" s="31"/>
      <c r="L10" s="31">
        <v>43619</v>
      </c>
      <c r="M10" s="28" t="s">
        <v>29</v>
      </c>
      <c r="O10" s="2">
        <v>32.5</v>
      </c>
      <c r="P10" s="32"/>
      <c r="Q10" s="140">
        <v>22800</v>
      </c>
      <c r="R10" s="2">
        <f t="shared" si="2"/>
        <v>16674.45</v>
      </c>
      <c r="S10" s="33">
        <f>-38*E10</f>
        <v>-8398</v>
      </c>
      <c r="T10" s="141">
        <f>X10*F10*0.0045</f>
        <v>4984.7373656886521</v>
      </c>
      <c r="U10" s="2">
        <f>E10*5</f>
        <v>1105</v>
      </c>
      <c r="W10" s="2">
        <v>0.3</v>
      </c>
      <c r="X10" s="2">
        <f>((O10*F10)+Q10+R10+S10+U10)/G10</f>
        <v>42.571845295829291</v>
      </c>
      <c r="Y10" s="2">
        <f>((O10*F10)+Q10+R10+S10+T10+U10)/G10+W10</f>
        <v>43.113588136066369</v>
      </c>
      <c r="Z10" s="3">
        <f>Y10*G10</f>
        <v>889002.1873656885</v>
      </c>
      <c r="AA10" s="34">
        <v>43633</v>
      </c>
      <c r="AB10" s="3"/>
      <c r="AC10" s="35"/>
    </row>
    <row r="11" spans="1:32" x14ac:dyDescent="0.25">
      <c r="A11" s="169"/>
      <c r="B11" s="27" t="s">
        <v>2556</v>
      </c>
      <c r="C11" t="s">
        <v>1800</v>
      </c>
      <c r="D11" s="28" t="s">
        <v>1734</v>
      </c>
      <c r="E11" t="s">
        <v>3853</v>
      </c>
      <c r="F11" s="29">
        <v>1622.2</v>
      </c>
      <c r="G11" s="196">
        <v>1622.2</v>
      </c>
      <c r="H11" s="30">
        <f t="shared" si="1"/>
        <v>0</v>
      </c>
      <c r="I11" s="28" t="s">
        <v>3854</v>
      </c>
      <c r="K11" s="31"/>
      <c r="L11" s="31">
        <v>43619</v>
      </c>
      <c r="M11" s="28" t="s">
        <v>29</v>
      </c>
      <c r="O11" s="2">
        <v>96</v>
      </c>
      <c r="P11" s="32"/>
      <c r="Q11" s="2"/>
      <c r="R11" s="2"/>
      <c r="S11" s="33"/>
      <c r="T11" s="33"/>
      <c r="U11" s="2"/>
      <c r="W11" s="2"/>
      <c r="X11" s="2">
        <f>IF(O11&gt;0,O11,((P11*2.2046*S11)+(Q11+R11)/G11)+V11)</f>
        <v>96</v>
      </c>
      <c r="Y11" s="2">
        <f>IF(O11&gt;0,O11,((P11*2.2046*S11)+(Q11+R11+T11)/G11)+V11+W11)</f>
        <v>96</v>
      </c>
      <c r="Z11" s="3">
        <f>Y11*F11</f>
        <v>155731.20000000001</v>
      </c>
      <c r="AA11" s="34">
        <v>43626</v>
      </c>
      <c r="AB11" s="3"/>
      <c r="AC11" s="35"/>
    </row>
    <row r="12" spans="1:32" x14ac:dyDescent="0.25">
      <c r="A12" s="169"/>
      <c r="B12" s="27" t="s">
        <v>30</v>
      </c>
      <c r="C12" s="28" t="s">
        <v>1790</v>
      </c>
      <c r="D12" s="28" t="s">
        <v>1790</v>
      </c>
      <c r="E12" t="s">
        <v>32</v>
      </c>
      <c r="F12" s="29">
        <f>42154*0.4536</f>
        <v>19121.054400000001</v>
      </c>
      <c r="G12" s="196">
        <v>19146.16</v>
      </c>
      <c r="H12" s="30">
        <f t="shared" si="1"/>
        <v>25.105599999998958</v>
      </c>
      <c r="I12" s="28" t="s">
        <v>3590</v>
      </c>
      <c r="J12" s="52" t="s">
        <v>196</v>
      </c>
      <c r="K12" s="31">
        <v>43619</v>
      </c>
      <c r="L12" s="31">
        <v>43620</v>
      </c>
      <c r="M12" s="28" t="s">
        <v>48</v>
      </c>
      <c r="N12" s="28" t="s">
        <v>3584</v>
      </c>
      <c r="O12" s="2"/>
      <c r="P12" s="32">
        <f>0.833+0.095</f>
        <v>0.92799999999999994</v>
      </c>
      <c r="Q12" s="140">
        <v>26000</v>
      </c>
      <c r="R12" s="190">
        <v>12000</v>
      </c>
      <c r="S12" s="194">
        <v>19.79</v>
      </c>
      <c r="T12" s="141">
        <f t="shared" ref="T12" si="3">X12*F12*0.005</f>
        <v>4072.0652281332982</v>
      </c>
      <c r="V12" s="2">
        <v>0.12</v>
      </c>
      <c r="W12" s="2">
        <v>0.3</v>
      </c>
      <c r="X12" s="2">
        <f>IF(O12&gt;0,O12,((P12*2.2046*S12)+(Q12+R12)/G12)+V12)</f>
        <v>42.592475738506323</v>
      </c>
      <c r="Y12" s="2">
        <f>IF(O12&gt;0,O12,((P12*2.2046*S12)+(Q12+R12+T12)/G12)+V12+W12)</f>
        <v>43.105158868080778</v>
      </c>
      <c r="Z12" s="3">
        <f>Y12*F12</f>
        <v>824216.08763721504</v>
      </c>
      <c r="AA12" s="34">
        <v>43620</v>
      </c>
      <c r="AB12" s="3">
        <v>43.11</v>
      </c>
      <c r="AC12" s="35"/>
    </row>
    <row r="13" spans="1:32" x14ac:dyDescent="0.25">
      <c r="A13" s="169"/>
      <c r="B13" s="27" t="s">
        <v>26</v>
      </c>
      <c r="C13" t="s">
        <v>27</v>
      </c>
      <c r="D13" s="28" t="s">
        <v>1682</v>
      </c>
      <c r="E13">
        <v>220</v>
      </c>
      <c r="F13" s="29">
        <v>24010</v>
      </c>
      <c r="G13" s="196">
        <f>12970+6100</f>
        <v>19070</v>
      </c>
      <c r="H13" s="30">
        <f>G13-F13</f>
        <v>-4940</v>
      </c>
      <c r="I13" s="28" t="s">
        <v>3758</v>
      </c>
      <c r="K13" s="31"/>
      <c r="L13" s="31">
        <v>43620</v>
      </c>
      <c r="M13" s="28" t="s">
        <v>48</v>
      </c>
      <c r="O13" s="2">
        <v>32.5</v>
      </c>
      <c r="P13" s="32"/>
      <c r="Q13" s="138">
        <v>22800</v>
      </c>
      <c r="R13" s="190">
        <f>75.45*E13</f>
        <v>16599</v>
      </c>
      <c r="S13" s="33">
        <f>-38*E13</f>
        <v>-8360</v>
      </c>
      <c r="T13" s="141">
        <f>X13*F13*0.005</f>
        <v>5114.6462087047721</v>
      </c>
      <c r="U13" s="2">
        <f>E13*5</f>
        <v>1100</v>
      </c>
      <c r="W13" s="2">
        <v>0.3</v>
      </c>
      <c r="X13" s="2">
        <f>((O13*F13)+Q13+R13+S13+U13)/G13</f>
        <v>42.604299947561614</v>
      </c>
      <c r="Y13" s="2">
        <f>((O13*F13)+Q13+R13+S13+T13+U13)/G13+W13</f>
        <v>43.172503734069466</v>
      </c>
      <c r="Z13" s="3">
        <f>Y13*G13</f>
        <v>823299.64620870468</v>
      </c>
      <c r="AA13" s="34">
        <v>43634</v>
      </c>
      <c r="AB13" s="3">
        <v>42.17</v>
      </c>
      <c r="AC13" s="35" t="s">
        <v>3782</v>
      </c>
      <c r="AF13" s="30"/>
    </row>
    <row r="14" spans="1:32" x14ac:dyDescent="0.25">
      <c r="A14" s="169"/>
      <c r="B14" s="27" t="s">
        <v>2447</v>
      </c>
      <c r="C14" t="s">
        <v>3067</v>
      </c>
      <c r="D14" s="28" t="s">
        <v>1806</v>
      </c>
      <c r="E14" t="s">
        <v>1914</v>
      </c>
      <c r="F14" s="29">
        <v>1000</v>
      </c>
      <c r="G14" s="196">
        <v>1000</v>
      </c>
      <c r="H14" s="30">
        <f t="shared" ref="H14:H19" si="4">G14-F14</f>
        <v>0</v>
      </c>
      <c r="I14" s="28" t="s">
        <v>3856</v>
      </c>
      <c r="K14" s="31"/>
      <c r="L14" s="31">
        <v>43620</v>
      </c>
      <c r="M14" s="28" t="s">
        <v>48</v>
      </c>
      <c r="O14" s="2">
        <v>28.5</v>
      </c>
      <c r="P14" s="32"/>
      <c r="Q14" s="190"/>
      <c r="R14" s="190"/>
      <c r="S14" s="33"/>
      <c r="T14" s="33"/>
      <c r="U14" s="2"/>
      <c r="W14" s="2"/>
      <c r="X14" s="2">
        <f>IF(O14&gt;0,O14,((P14*2.2046*S14)+(Q14+R14)/G14)+V14)</f>
        <v>28.5</v>
      </c>
      <c r="Y14" s="2">
        <f>IF(O14&gt;0,O14,((P14*2.2046*S14)+(Q14+R14+T14)/G14)+V14+W14)</f>
        <v>28.5</v>
      </c>
      <c r="Z14" s="3">
        <f>Y14*F14</f>
        <v>28500</v>
      </c>
      <c r="AA14" s="34">
        <v>43627</v>
      </c>
      <c r="AB14" s="3"/>
      <c r="AC14" s="35"/>
      <c r="AF14" s="30"/>
    </row>
    <row r="15" spans="1:32" x14ac:dyDescent="0.25">
      <c r="A15" s="169"/>
      <c r="B15" s="27" t="s">
        <v>30</v>
      </c>
      <c r="C15" s="28" t="s">
        <v>31</v>
      </c>
      <c r="D15" s="28" t="s">
        <v>31</v>
      </c>
      <c r="E15" t="s">
        <v>32</v>
      </c>
      <c r="F15" s="29">
        <f>40870*0.4536</f>
        <v>18538.632000000001</v>
      </c>
      <c r="G15" s="196">
        <v>18575.78</v>
      </c>
      <c r="H15" s="30">
        <f t="shared" si="4"/>
        <v>37.14799999999741</v>
      </c>
      <c r="I15" s="28" t="s">
        <v>3591</v>
      </c>
      <c r="J15" s="52" t="s">
        <v>1690</v>
      </c>
      <c r="K15" s="31">
        <v>43620</v>
      </c>
      <c r="L15" s="31">
        <v>43621</v>
      </c>
      <c r="M15" s="28" t="s">
        <v>33</v>
      </c>
      <c r="N15" s="28" t="s">
        <v>3585</v>
      </c>
      <c r="O15" s="2"/>
      <c r="P15" s="32">
        <f>0.833+0.105</f>
        <v>0.93799999999999994</v>
      </c>
      <c r="Q15" s="140">
        <v>26000</v>
      </c>
      <c r="R15" s="190">
        <v>11808</v>
      </c>
      <c r="S15" s="194">
        <v>19.099</v>
      </c>
      <c r="T15" s="141">
        <f t="shared" ref="T15:T16" si="5">X15*F15*0.005</f>
        <v>3860.7112006464713</v>
      </c>
      <c r="V15" s="2">
        <v>0.12</v>
      </c>
      <c r="W15" s="2">
        <v>0.3</v>
      </c>
      <c r="X15" s="2">
        <f>IF(O15&gt;0,O15,((P15*2.2046*S15)+(Q15+R15)/G15)+V15)</f>
        <v>41.650443254350925</v>
      </c>
      <c r="Y15" s="2">
        <f>IF(O15&gt;0,O15,((P15*2.2046*S15)+(Q15+R15+T15)/G15)+V15+W15)</f>
        <v>42.158279006101132</v>
      </c>
      <c r="Z15" s="3">
        <f>Y15*F15</f>
        <v>781556.82024743466</v>
      </c>
      <c r="AA15" s="34">
        <v>43613</v>
      </c>
      <c r="AB15" s="3">
        <v>42.13</v>
      </c>
      <c r="AC15" s="35"/>
    </row>
    <row r="16" spans="1:32" x14ac:dyDescent="0.25">
      <c r="A16" s="169"/>
      <c r="B16" s="27" t="s">
        <v>30</v>
      </c>
      <c r="C16" s="28" t="s">
        <v>31</v>
      </c>
      <c r="D16" s="28" t="s">
        <v>31</v>
      </c>
      <c r="E16" t="s">
        <v>32</v>
      </c>
      <c r="F16" s="29">
        <f>41466*0.4536</f>
        <v>18808.977599999998</v>
      </c>
      <c r="G16" s="196">
        <v>18818.18</v>
      </c>
      <c r="H16" s="30">
        <f t="shared" si="4"/>
        <v>9.2024000000019441</v>
      </c>
      <c r="I16" s="28" t="s">
        <v>3759</v>
      </c>
      <c r="J16" s="52" t="s">
        <v>196</v>
      </c>
      <c r="K16" s="31">
        <v>43620</v>
      </c>
      <c r="L16" s="31">
        <v>43621</v>
      </c>
      <c r="M16" s="28" t="s">
        <v>33</v>
      </c>
      <c r="N16" s="28" t="s">
        <v>3585</v>
      </c>
      <c r="O16" s="2"/>
      <c r="P16" s="32">
        <f>0.833+0.105</f>
        <v>0.93799999999999994</v>
      </c>
      <c r="Q16" s="140">
        <v>26000</v>
      </c>
      <c r="R16" s="190">
        <v>11808</v>
      </c>
      <c r="S16" s="194">
        <v>19.099</v>
      </c>
      <c r="T16" s="141">
        <f t="shared" si="5"/>
        <v>3914.5456470775634</v>
      </c>
      <c r="V16" s="2">
        <v>0.12</v>
      </c>
      <c r="W16" s="2">
        <v>0.3</v>
      </c>
      <c r="X16" s="2">
        <f>IF(O16&gt;0,O16,((P16*2.2046*S16)+(Q16+R16)/G16)+V16)</f>
        <v>41.624225732264826</v>
      </c>
      <c r="Y16" s="2">
        <f>IF(O16&gt;0,O16,((P16*2.2046*S16)+(Q16+R16+T16)/G16)+V16+W16)</f>
        <v>42.132245086265989</v>
      </c>
      <c r="Z16" s="3">
        <f>Y16*F16</f>
        <v>792464.45406528702</v>
      </c>
      <c r="AA16" s="34">
        <v>43613</v>
      </c>
      <c r="AB16" s="3">
        <v>41.93</v>
      </c>
      <c r="AC16" s="35"/>
    </row>
    <row r="17" spans="1:29" x14ac:dyDescent="0.25">
      <c r="A17" s="169"/>
      <c r="B17" s="27" t="s">
        <v>26</v>
      </c>
      <c r="C17" t="s">
        <v>27</v>
      </c>
      <c r="D17" s="28" t="s">
        <v>3783</v>
      </c>
      <c r="E17">
        <f>220+30</f>
        <v>250</v>
      </c>
      <c r="F17" s="29">
        <f>23345+3470</f>
        <v>26815</v>
      </c>
      <c r="G17" s="196">
        <f>14960+5970</f>
        <v>20930</v>
      </c>
      <c r="H17" s="30">
        <f t="shared" si="4"/>
        <v>-5885</v>
      </c>
      <c r="I17" s="28" t="s">
        <v>3784</v>
      </c>
      <c r="K17" s="31"/>
      <c r="L17" s="31">
        <v>43621</v>
      </c>
      <c r="M17" s="28" t="s">
        <v>33</v>
      </c>
      <c r="O17" s="2">
        <v>32.5</v>
      </c>
      <c r="P17" s="32"/>
      <c r="Q17" s="140">
        <v>22800</v>
      </c>
      <c r="R17" s="2">
        <f>75.45*E17</f>
        <v>18862.5</v>
      </c>
      <c r="S17" s="33">
        <f>-38*E17</f>
        <v>-9500</v>
      </c>
      <c r="T17" s="141">
        <f>X17*F17*0.005</f>
        <v>5796.6778547539425</v>
      </c>
      <c r="U17" s="2">
        <f>E17*5</f>
        <v>1250</v>
      </c>
      <c r="W17" s="2">
        <v>0.3</v>
      </c>
      <c r="X17" s="2">
        <f>((O17*F17)+Q17+R17+S17+U17)/G17</f>
        <v>43.234591495461061</v>
      </c>
      <c r="Y17" s="2">
        <f>((O17*F17)+Q17+R17+S17+T17+U17)/G17+W17</f>
        <v>43.811546959137786</v>
      </c>
      <c r="Z17" s="3">
        <f>Y17*G17</f>
        <v>916975.67785475391</v>
      </c>
      <c r="AA17" s="34">
        <v>43634</v>
      </c>
      <c r="AB17" s="3">
        <v>43.05</v>
      </c>
      <c r="AC17" s="35" t="s">
        <v>3826</v>
      </c>
    </row>
    <row r="18" spans="1:29" x14ac:dyDescent="0.25">
      <c r="A18" s="169"/>
      <c r="B18" s="27" t="s">
        <v>1909</v>
      </c>
      <c r="C18" t="s">
        <v>2450</v>
      </c>
      <c r="D18" s="28" t="s">
        <v>1806</v>
      </c>
      <c r="E18" t="s">
        <v>3857</v>
      </c>
      <c r="F18" s="29">
        <f>841+876+850+845+843+863</f>
        <v>5118</v>
      </c>
      <c r="G18" s="196">
        <v>5118</v>
      </c>
      <c r="H18" s="30">
        <f t="shared" si="4"/>
        <v>0</v>
      </c>
      <c r="I18" s="28" t="s">
        <v>3858</v>
      </c>
      <c r="K18" s="31"/>
      <c r="L18" s="31">
        <v>43622</v>
      </c>
      <c r="M18" s="28" t="s">
        <v>41</v>
      </c>
      <c r="O18" s="2">
        <v>18</v>
      </c>
      <c r="P18" s="32"/>
      <c r="Q18" s="2"/>
      <c r="R18" s="2"/>
      <c r="S18" s="33"/>
      <c r="T18" s="33"/>
      <c r="U18" s="2"/>
      <c r="W18" s="2"/>
      <c r="X18" s="2">
        <f>IF(O18&gt;0,O18,((P18*2.2046*S18)+(Q18+R18)/G18)+V18)</f>
        <v>18</v>
      </c>
      <c r="Y18" s="2">
        <f>IF(O18&gt;0,O18,((P18*2.2046*S18)+(Q18+R18+T18)/G18)+V18+W18)</f>
        <v>18</v>
      </c>
      <c r="Z18" s="3">
        <f>Y18*F18</f>
        <v>92124</v>
      </c>
      <c r="AA18" s="34">
        <v>43629</v>
      </c>
      <c r="AB18" s="3"/>
      <c r="AC18" s="35"/>
    </row>
    <row r="19" spans="1:29" x14ac:dyDescent="0.25">
      <c r="A19" s="169"/>
      <c r="B19" s="27" t="s">
        <v>30</v>
      </c>
      <c r="C19" s="28" t="s">
        <v>40</v>
      </c>
      <c r="D19" s="28" t="s">
        <v>40</v>
      </c>
      <c r="E19" t="s">
        <v>37</v>
      </c>
      <c r="F19" s="29">
        <f>41871*0.4536</f>
        <v>18992.685600000001</v>
      </c>
      <c r="G19" s="196">
        <v>19026.66</v>
      </c>
      <c r="H19" s="30">
        <f t="shared" si="4"/>
        <v>33.97439999999915</v>
      </c>
      <c r="I19" s="28" t="s">
        <v>3592</v>
      </c>
      <c r="J19" s="52" t="s">
        <v>196</v>
      </c>
      <c r="K19" s="31">
        <v>43621</v>
      </c>
      <c r="L19" s="31">
        <v>43622</v>
      </c>
      <c r="M19" s="28" t="s">
        <v>41</v>
      </c>
      <c r="N19" s="28" t="s">
        <v>3586</v>
      </c>
      <c r="O19" s="2"/>
      <c r="P19" s="32">
        <f>0.825+0.105</f>
        <v>0.92999999999999994</v>
      </c>
      <c r="Q19" s="140">
        <v>26000</v>
      </c>
      <c r="R19" s="190">
        <v>9508</v>
      </c>
      <c r="S19" s="194">
        <v>19.23</v>
      </c>
      <c r="T19" s="141">
        <f>X19*F19*0.005</f>
        <v>3932.7270379320557</v>
      </c>
      <c r="V19" s="2">
        <v>0.12</v>
      </c>
      <c r="W19" s="2">
        <v>0.3</v>
      </c>
      <c r="X19" s="2">
        <f>IF(O19&gt;0,O19,((P19*2.2046*S19)+(Q19+R19)/G19)+V19)</f>
        <v>41.413069439027154</v>
      </c>
      <c r="Y19" s="2">
        <f>IF(O19&gt;0,O19,((P19*2.2046*S19)+(Q19+R19+T19)/G19)+V19+W19)</f>
        <v>41.919765046029745</v>
      </c>
      <c r="Z19" s="3">
        <f>Y19*F19</f>
        <v>796168.91794511257</v>
      </c>
      <c r="AA19" s="34">
        <v>43615</v>
      </c>
      <c r="AB19" s="3">
        <v>42.27</v>
      </c>
      <c r="AC19" s="35"/>
    </row>
    <row r="20" spans="1:29" x14ac:dyDescent="0.25">
      <c r="A20" s="169"/>
      <c r="B20" s="27" t="s">
        <v>30</v>
      </c>
      <c r="C20" s="28" t="s">
        <v>35</v>
      </c>
      <c r="D20" s="28" t="s">
        <v>36</v>
      </c>
      <c r="E20" t="s">
        <v>3779</v>
      </c>
      <c r="F20" s="29">
        <f>33004*0.4536</f>
        <v>14970.6144</v>
      </c>
      <c r="G20" s="196">
        <v>14937.02</v>
      </c>
      <c r="H20" s="30">
        <f>G20-F20</f>
        <v>-33.594399999999951</v>
      </c>
      <c r="I20" s="28" t="s">
        <v>3593</v>
      </c>
      <c r="J20" s="52" t="s">
        <v>196</v>
      </c>
      <c r="K20" s="31">
        <v>43621</v>
      </c>
      <c r="L20" s="31">
        <v>43622</v>
      </c>
      <c r="M20" s="28" t="s">
        <v>41</v>
      </c>
      <c r="N20" s="28" t="s">
        <v>3589</v>
      </c>
      <c r="O20" s="2"/>
      <c r="P20" s="32">
        <f>0.825+0.1</f>
        <v>0.92499999999999993</v>
      </c>
      <c r="Q20" s="140">
        <v>26000</v>
      </c>
      <c r="R20" s="190">
        <v>11808</v>
      </c>
      <c r="S20" s="194">
        <v>19.55</v>
      </c>
      <c r="T20" s="141">
        <f>X20*F20*0.005</f>
        <v>3182.6475340111888</v>
      </c>
      <c r="V20" s="2">
        <v>0.12</v>
      </c>
      <c r="W20" s="2">
        <v>0.3</v>
      </c>
      <c r="X20" s="2">
        <f>IF(O20&gt;0,O20,((P20*2.2046*S20)+(Q20+R20)/G20)+V20)</f>
        <v>42.518596083954826</v>
      </c>
      <c r="Y20" s="2">
        <f>IF(O20&gt;0,O20,((P20*2.2046*S20)+(Q20+R20+T20)/G20)+V20+W20)</f>
        <v>43.031667200818241</v>
      </c>
      <c r="Z20" s="3">
        <f>Y20*F20</f>
        <v>644210.49665257731</v>
      </c>
      <c r="AA20" s="34">
        <v>43623</v>
      </c>
      <c r="AB20" s="3">
        <v>43.73</v>
      </c>
      <c r="AC20" s="35"/>
    </row>
    <row r="21" spans="1:29" x14ac:dyDescent="0.25">
      <c r="A21" s="169"/>
      <c r="B21" s="27" t="s">
        <v>26</v>
      </c>
      <c r="C21" t="s">
        <v>27</v>
      </c>
      <c r="D21" s="28" t="s">
        <v>1682</v>
      </c>
      <c r="E21">
        <v>200</v>
      </c>
      <c r="F21" s="29">
        <v>23275</v>
      </c>
      <c r="G21" s="30">
        <v>17450</v>
      </c>
      <c r="H21" s="30">
        <f t="shared" ref="H21:H22" si="6">G21-F21</f>
        <v>-5825</v>
      </c>
      <c r="I21" s="28" t="s">
        <v>3824</v>
      </c>
      <c r="K21" s="31"/>
      <c r="L21" s="31">
        <v>43622</v>
      </c>
      <c r="M21" s="28" t="s">
        <v>41</v>
      </c>
      <c r="O21" s="2">
        <v>32.5</v>
      </c>
      <c r="P21" s="32"/>
      <c r="Q21" s="138">
        <v>22800</v>
      </c>
      <c r="R21" s="2">
        <f t="shared" ref="R21:R22" si="7">75.45*E21</f>
        <v>15090</v>
      </c>
      <c r="S21" s="197">
        <f>-38*E21</f>
        <v>-7600</v>
      </c>
      <c r="T21" s="141">
        <f>X21*F21*0.0045</f>
        <v>4728.057824140401</v>
      </c>
      <c r="U21" s="2">
        <f>E21*5</f>
        <v>1000</v>
      </c>
      <c r="W21" s="2">
        <v>0.3</v>
      </c>
      <c r="X21" s="2">
        <f t="shared" ref="X21" si="8">((O21*F21)+Q21+R21+S21+U21)/G21</f>
        <v>45.141977077363897</v>
      </c>
      <c r="Y21" s="2">
        <f>((O21*F21)+Q21+R21+S21+T21+U21)/G21+W21</f>
        <v>45.71292594980747</v>
      </c>
      <c r="Z21" s="3">
        <f>Y21*G21</f>
        <v>797690.5578241403</v>
      </c>
      <c r="AA21" s="34">
        <v>43635</v>
      </c>
      <c r="AB21" s="233">
        <f>SUM(AB12:AB20)/7</f>
        <v>42.627142857142857</v>
      </c>
      <c r="AC21" s="35"/>
    </row>
    <row r="22" spans="1:29" x14ac:dyDescent="0.25">
      <c r="A22" s="169"/>
      <c r="B22" s="27" t="s">
        <v>26</v>
      </c>
      <c r="C22" t="s">
        <v>27</v>
      </c>
      <c r="D22" s="28" t="s">
        <v>1720</v>
      </c>
      <c r="E22">
        <v>130</v>
      </c>
      <c r="F22" s="29">
        <v>13755</v>
      </c>
      <c r="G22" s="30">
        <v>11850</v>
      </c>
      <c r="H22" s="30">
        <f t="shared" si="6"/>
        <v>-1905</v>
      </c>
      <c r="I22" s="28" t="s">
        <v>3825</v>
      </c>
      <c r="K22" s="31"/>
      <c r="L22" s="31">
        <v>43622</v>
      </c>
      <c r="M22" s="28" t="s">
        <v>41</v>
      </c>
      <c r="O22" s="2">
        <v>32.5</v>
      </c>
      <c r="P22" s="32"/>
      <c r="Q22" s="140">
        <v>18100</v>
      </c>
      <c r="R22" s="2">
        <f t="shared" si="7"/>
        <v>9808.5</v>
      </c>
      <c r="S22" s="197">
        <f>-38*E22</f>
        <v>-4940</v>
      </c>
      <c r="T22" s="141">
        <f>X22*F22*0.0045</f>
        <v>2458.4328911392404</v>
      </c>
      <c r="U22" s="2">
        <f>E22*5</f>
        <v>650</v>
      </c>
      <c r="W22" s="2">
        <v>0.3</v>
      </c>
      <c r="X22" s="2">
        <f>((O22*F22)+Q22+R22+S22+U22)/G22</f>
        <v>39.717805907172995</v>
      </c>
      <c r="Y22" s="2">
        <f>((O22*F22)+Q22+R22+S22+T22+U22)/G22+W22</f>
        <v>40.22526859840837</v>
      </c>
      <c r="Z22" s="3">
        <f>Y22*G22</f>
        <v>476669.43289113918</v>
      </c>
      <c r="AA22" s="34">
        <v>43635</v>
      </c>
      <c r="AB22" s="3">
        <v>43.5</v>
      </c>
      <c r="AC22" s="35" t="s">
        <v>3836</v>
      </c>
    </row>
    <row r="23" spans="1:29" x14ac:dyDescent="0.25">
      <c r="A23" s="169"/>
      <c r="B23" s="27" t="s">
        <v>30</v>
      </c>
      <c r="C23" s="28" t="s">
        <v>1790</v>
      </c>
      <c r="D23" s="28" t="s">
        <v>1790</v>
      </c>
      <c r="E23" t="s">
        <v>32</v>
      </c>
      <c r="F23" s="29">
        <f>42119*0.4536</f>
        <v>19105.178400000001</v>
      </c>
      <c r="G23" s="196">
        <v>19311.11</v>
      </c>
      <c r="H23" s="30">
        <f>G23-F23</f>
        <v>205.93159999999989</v>
      </c>
      <c r="I23" s="28" t="s">
        <v>3594</v>
      </c>
      <c r="J23" s="52" t="s">
        <v>196</v>
      </c>
      <c r="K23" s="31">
        <v>43622</v>
      </c>
      <c r="L23" s="31">
        <v>43623</v>
      </c>
      <c r="M23" s="28" t="s">
        <v>45</v>
      </c>
      <c r="N23" s="28" t="s">
        <v>3587</v>
      </c>
      <c r="O23" s="2"/>
      <c r="P23" s="32">
        <f>0.825+0.095</f>
        <v>0.91999999999999993</v>
      </c>
      <c r="Q23" s="140">
        <v>26000</v>
      </c>
      <c r="R23" s="190">
        <v>11808</v>
      </c>
      <c r="S23" s="194">
        <v>19.525099999999998</v>
      </c>
      <c r="T23" s="141">
        <f>X23*F23*0.005</f>
        <v>3981.4493806216051</v>
      </c>
      <c r="V23" s="2">
        <v>0.12</v>
      </c>
      <c r="W23" s="2">
        <v>0.3</v>
      </c>
      <c r="X23" s="2">
        <f>IF(O23&gt;0,O23,((P23*2.2046*S23)+(Q23+R23)/G23)+V23)</f>
        <v>41.679269329634785</v>
      </c>
      <c r="Y23" s="2">
        <f>IF(O23&gt;0,O23,((P23*2.2046*S23)+(Q23+R23+T23)/G23)+V23+W23)</f>
        <v>42.18544336005673</v>
      </c>
      <c r="Z23" s="3">
        <f>Y23*F23</f>
        <v>805960.42127697926</v>
      </c>
      <c r="AA23" s="34">
        <v>43623</v>
      </c>
      <c r="AB23" s="3"/>
      <c r="AC23" s="35"/>
    </row>
    <row r="24" spans="1:29" x14ac:dyDescent="0.25">
      <c r="A24" s="169"/>
      <c r="B24" s="27" t="s">
        <v>26</v>
      </c>
      <c r="C24" t="s">
        <v>27</v>
      </c>
      <c r="D24" s="28" t="s">
        <v>1720</v>
      </c>
      <c r="E24">
        <v>200</v>
      </c>
      <c r="F24" s="29">
        <v>24349</v>
      </c>
      <c r="G24" s="196">
        <v>22960</v>
      </c>
      <c r="H24" s="30">
        <f t="shared" ref="H24:H27" si="9">G24-F24</f>
        <v>-1389</v>
      </c>
      <c r="I24" s="28" t="s">
        <v>3839</v>
      </c>
      <c r="J24" s="55">
        <v>250</v>
      </c>
      <c r="K24" s="31"/>
      <c r="L24" s="31">
        <v>43623</v>
      </c>
      <c r="M24" s="28" t="s">
        <v>45</v>
      </c>
      <c r="O24" s="2">
        <v>32.5</v>
      </c>
      <c r="P24" s="32"/>
      <c r="Q24" s="138">
        <v>22800</v>
      </c>
      <c r="R24" s="2">
        <f t="shared" ref="R24:R25" si="10">75.45*E24</f>
        <v>15090</v>
      </c>
      <c r="S24" s="33">
        <f>-38*E24</f>
        <v>-7600</v>
      </c>
      <c r="T24" s="141">
        <f>X24*F24*0.0045</f>
        <v>3925.7950497060101</v>
      </c>
      <c r="U24" s="2">
        <f>E24*5</f>
        <v>1000</v>
      </c>
      <c r="W24" s="2">
        <v>0.3</v>
      </c>
      <c r="X24" s="2">
        <f>((O24*F24)+Q24+R24+S24+U24)/G24</f>
        <v>35.828941637630663</v>
      </c>
      <c r="Y24" s="2">
        <f>((O24*F24)+Q24+R24+S24+T24+U24)/G24+W24</f>
        <v>36.299925742583014</v>
      </c>
      <c r="Z24" s="3">
        <f>Y24*G24</f>
        <v>833446.29504970601</v>
      </c>
      <c r="AA24" s="34">
        <v>43636</v>
      </c>
      <c r="AB24" s="3">
        <v>43.34</v>
      </c>
      <c r="AC24" s="35"/>
    </row>
    <row r="25" spans="1:29" x14ac:dyDescent="0.25">
      <c r="A25" s="169"/>
      <c r="B25" s="27" t="s">
        <v>26</v>
      </c>
      <c r="C25" t="s">
        <v>27</v>
      </c>
      <c r="D25" s="28" t="s">
        <v>1682</v>
      </c>
      <c r="E25">
        <v>180</v>
      </c>
      <c r="F25" s="29">
        <v>19765</v>
      </c>
      <c r="G25" s="196">
        <v>11880</v>
      </c>
      <c r="H25" s="30">
        <f t="shared" si="9"/>
        <v>-7885</v>
      </c>
      <c r="I25" s="28" t="s">
        <v>1885</v>
      </c>
      <c r="J25" s="55">
        <v>130</v>
      </c>
      <c r="K25" s="31"/>
      <c r="L25" s="31">
        <v>43623</v>
      </c>
      <c r="M25" s="28" t="s">
        <v>45</v>
      </c>
      <c r="O25" s="2">
        <v>32.5</v>
      </c>
      <c r="P25" s="32"/>
      <c r="Q25" s="140">
        <v>18100</v>
      </c>
      <c r="R25" s="2">
        <f t="shared" si="10"/>
        <v>13581</v>
      </c>
      <c r="S25" s="33">
        <f>-38*E25</f>
        <v>-6840</v>
      </c>
      <c r="T25" s="141">
        <f>X25*F25*0.0045</f>
        <v>5001.9188172348486</v>
      </c>
      <c r="U25" s="2">
        <f>E25*5</f>
        <v>900</v>
      </c>
      <c r="W25" s="2">
        <v>0.3</v>
      </c>
      <c r="X25" s="2">
        <f>((O25*F25)+Q25+R25+S25+U25)/G25</f>
        <v>56.237668350168349</v>
      </c>
      <c r="Y25" s="2">
        <f>((O25*F25)+Q25+R25+S25+T25+U25)/G25+W25</f>
        <v>56.958705287646026</v>
      </c>
      <c r="Z25" s="3">
        <f>Y25*G25</f>
        <v>676669.41881723481</v>
      </c>
      <c r="AA25" s="34">
        <v>43636</v>
      </c>
      <c r="AB25" s="3"/>
      <c r="AC25" s="35" t="s">
        <v>3840</v>
      </c>
    </row>
    <row r="26" spans="1:29" x14ac:dyDescent="0.25">
      <c r="A26" s="169"/>
      <c r="B26" s="27" t="s">
        <v>1729</v>
      </c>
      <c r="C26" t="s">
        <v>1730</v>
      </c>
      <c r="D26" s="28" t="s">
        <v>2557</v>
      </c>
      <c r="E26" t="s">
        <v>3859</v>
      </c>
      <c r="F26" s="29">
        <v>9133.4599999999991</v>
      </c>
      <c r="G26" s="196">
        <v>9133.4599999999991</v>
      </c>
      <c r="H26" s="30">
        <f t="shared" si="9"/>
        <v>0</v>
      </c>
      <c r="I26" s="199" t="s">
        <v>3897</v>
      </c>
      <c r="J26" s="191"/>
      <c r="K26" s="31"/>
      <c r="L26" s="31">
        <v>43623</v>
      </c>
      <c r="M26" s="28" t="s">
        <v>45</v>
      </c>
      <c r="O26" s="2">
        <v>88.5</v>
      </c>
      <c r="P26" s="32"/>
      <c r="Q26" s="2"/>
      <c r="R26" s="2"/>
      <c r="S26" s="33"/>
      <c r="T26" s="33"/>
      <c r="U26" s="2"/>
      <c r="W26" s="2"/>
      <c r="X26" s="2">
        <f>IF(O26&gt;0,O26,((P26*2.2046*S26)+(Q26+R26)/G26)+V26)</f>
        <v>88.5</v>
      </c>
      <c r="Y26" s="2">
        <f>IF(O26&gt;0,O26,((P26*2.2046*S26)+(Q26+R26+T26)/G26)+V26+W26)</f>
        <v>88.5</v>
      </c>
      <c r="Z26" s="3">
        <f>Y26*F26</f>
        <v>808311.21</v>
      </c>
      <c r="AA26" s="34">
        <v>43637</v>
      </c>
      <c r="AB26" s="3"/>
      <c r="AC26" s="35"/>
    </row>
    <row r="27" spans="1:29" x14ac:dyDescent="0.25">
      <c r="A27" s="169"/>
      <c r="B27" s="27" t="s">
        <v>30</v>
      </c>
      <c r="C27" t="s">
        <v>40</v>
      </c>
      <c r="D27" s="28" t="s">
        <v>40</v>
      </c>
      <c r="E27" t="s">
        <v>37</v>
      </c>
      <c r="F27" s="29">
        <f>42726*0.4536</f>
        <v>19380.513599999998</v>
      </c>
      <c r="G27" s="196">
        <v>19391.3</v>
      </c>
      <c r="H27" s="30">
        <f t="shared" si="9"/>
        <v>10.786400000000867</v>
      </c>
      <c r="I27" s="28" t="s">
        <v>3595</v>
      </c>
      <c r="J27" s="52" t="s">
        <v>196</v>
      </c>
      <c r="K27" s="31">
        <v>43623</v>
      </c>
      <c r="L27" s="31">
        <v>43624</v>
      </c>
      <c r="M27" s="28" t="s">
        <v>46</v>
      </c>
      <c r="N27" s="28" t="s">
        <v>3588</v>
      </c>
      <c r="O27" s="2"/>
      <c r="P27" s="32">
        <f>0.8397+0.105</f>
        <v>0.94469999999999998</v>
      </c>
      <c r="Q27" s="140">
        <v>26000</v>
      </c>
      <c r="R27" s="190">
        <v>9508</v>
      </c>
      <c r="S27" s="194">
        <v>19.809999999999999</v>
      </c>
      <c r="T27" s="141">
        <f>X27*F27*0.005</f>
        <v>4187.0759087919332</v>
      </c>
      <c r="V27" s="2">
        <v>0.12</v>
      </c>
      <c r="W27" s="2">
        <v>0.3</v>
      </c>
      <c r="X27" s="2">
        <f>IF(O27&gt;0,O27,((P27*2.2046*S27)+(Q27+R27)/G27)+V27)</f>
        <v>43.209132587610412</v>
      </c>
      <c r="Y27" s="2">
        <f>IF(O27&gt;0,O27,((P27*2.2046*S27)+(Q27+R27+T27)/G27)+V27+W27)</f>
        <v>43.72505807526683</v>
      </c>
      <c r="Z27" s="3">
        <f>Y27*F27</f>
        <v>847414.08268849854</v>
      </c>
      <c r="AA27" s="34">
        <v>43619</v>
      </c>
      <c r="AB27" s="3"/>
      <c r="AC27" s="35"/>
    </row>
    <row r="28" spans="1:29" ht="15.75" thickBot="1" x14ac:dyDescent="0.3">
      <c r="A28" s="170"/>
      <c r="B28" s="41"/>
      <c r="C28" s="4"/>
      <c r="D28" s="4"/>
      <c r="E28" s="4"/>
      <c r="F28" s="42"/>
      <c r="G28" s="42"/>
      <c r="H28" s="42"/>
      <c r="I28" s="7"/>
      <c r="J28" s="4"/>
      <c r="K28" s="8"/>
      <c r="L28" s="8"/>
      <c r="M28" s="4"/>
      <c r="N28" s="4"/>
      <c r="O28" s="9"/>
      <c r="P28" s="10"/>
      <c r="Q28" s="9"/>
      <c r="R28" s="9"/>
      <c r="S28" s="9"/>
      <c r="T28" s="9"/>
      <c r="U28" s="9"/>
      <c r="V28" s="9"/>
      <c r="W28" s="9"/>
      <c r="X28" s="9"/>
      <c r="Y28" s="9"/>
      <c r="Z28" s="13"/>
      <c r="AA28" s="43"/>
      <c r="AB28" s="3"/>
      <c r="AC28" s="35"/>
    </row>
    <row r="29" spans="1:29" x14ac:dyDescent="0.25">
      <c r="A29" s="146"/>
      <c r="B29" s="14" t="s">
        <v>26</v>
      </c>
      <c r="C29" s="14" t="s">
        <v>27</v>
      </c>
      <c r="D29" s="15" t="s">
        <v>1998</v>
      </c>
      <c r="E29" s="14">
        <f>200+60</f>
        <v>260</v>
      </c>
      <c r="F29" s="16">
        <f>24055+7570</f>
        <v>31625</v>
      </c>
      <c r="G29" s="17">
        <f>18330+6570</f>
        <v>24900</v>
      </c>
      <c r="H29" s="30">
        <f t="shared" ref="H29:H31" si="11">G29-F29</f>
        <v>-6725</v>
      </c>
      <c r="I29" s="19" t="s">
        <v>3865</v>
      </c>
      <c r="J29" s="121">
        <v>259</v>
      </c>
      <c r="K29" s="20"/>
      <c r="L29" s="20">
        <v>43625</v>
      </c>
      <c r="M29" s="15" t="s">
        <v>28</v>
      </c>
      <c r="N29" s="14"/>
      <c r="O29" s="21">
        <v>33</v>
      </c>
      <c r="P29" s="22"/>
      <c r="Q29" s="139">
        <v>22800</v>
      </c>
      <c r="R29" s="2">
        <f t="shared" ref="R29:R30" si="12">75.45*E29</f>
        <v>19617</v>
      </c>
      <c r="S29" s="21">
        <f>-38*E29</f>
        <v>-9880</v>
      </c>
      <c r="T29" s="157">
        <f>X29*F29*0.0045</f>
        <v>6158.0847740963854</v>
      </c>
      <c r="U29" s="21">
        <f>E29*5</f>
        <v>1300</v>
      </c>
      <c r="V29" s="14"/>
      <c r="W29" s="21">
        <v>0.3</v>
      </c>
      <c r="X29" s="21">
        <f>((O29*F29)+Q29+R29+S29+U29)/G29</f>
        <v>43.271566265060244</v>
      </c>
      <c r="Y29" s="24">
        <f>((O29*F29)+Q29+R29+S29+T29+U29)/G29+W29</f>
        <v>43.818878906590221</v>
      </c>
      <c r="Z29" s="24">
        <f>Y29*G29</f>
        <v>1091090.0847740965</v>
      </c>
      <c r="AA29" s="25">
        <v>43640</v>
      </c>
      <c r="AB29" s="3">
        <v>43.5</v>
      </c>
      <c r="AC29" s="3" t="s">
        <v>3866</v>
      </c>
    </row>
    <row r="30" spans="1:29" x14ac:dyDescent="0.25">
      <c r="A30" s="147"/>
      <c r="B30" s="27" t="s">
        <v>26</v>
      </c>
      <c r="C30" t="s">
        <v>27</v>
      </c>
      <c r="D30" s="28" t="s">
        <v>2000</v>
      </c>
      <c r="E30">
        <f>219+40</f>
        <v>259</v>
      </c>
      <c r="F30" s="29">
        <f>26035+4450</f>
        <v>30485</v>
      </c>
      <c r="G30" s="30">
        <v>23960</v>
      </c>
      <c r="H30" s="30">
        <f t="shared" si="11"/>
        <v>-6525</v>
      </c>
      <c r="I30" s="28" t="s">
        <v>3875</v>
      </c>
      <c r="J30">
        <v>259</v>
      </c>
      <c r="K30" s="31"/>
      <c r="L30" s="31">
        <v>43626</v>
      </c>
      <c r="M30" s="28" t="s">
        <v>29</v>
      </c>
      <c r="O30" s="2">
        <v>33.5</v>
      </c>
      <c r="P30" s="32"/>
      <c r="Q30" s="140">
        <v>22800</v>
      </c>
      <c r="R30" s="2">
        <f t="shared" si="12"/>
        <v>19541.55</v>
      </c>
      <c r="S30" s="33">
        <f>-38*E30</f>
        <v>-9842</v>
      </c>
      <c r="T30" s="141">
        <f>X30*F30*0.0045</f>
        <v>6040.6221212072196</v>
      </c>
      <c r="U30" s="2">
        <f>E30*5</f>
        <v>1295</v>
      </c>
      <c r="W30" s="2">
        <v>0.3</v>
      </c>
      <c r="X30" s="2">
        <f>((O30*F30)+Q30+R30+S30+U30)/G30</f>
        <v>44.033474540901501</v>
      </c>
      <c r="Y30" s="2">
        <f>((O30*F30)+Q30+R30+S30+T30+U30)/G30+W30</f>
        <v>44.585587317245711</v>
      </c>
      <c r="Z30" s="3">
        <f>Y30*G30</f>
        <v>1068270.6721212072</v>
      </c>
      <c r="AA30" s="34">
        <v>43640</v>
      </c>
      <c r="AB30" s="3">
        <v>42.75</v>
      </c>
      <c r="AC30" s="35"/>
    </row>
    <row r="31" spans="1:29" x14ac:dyDescent="0.25">
      <c r="A31" s="147"/>
      <c r="B31" s="27" t="s">
        <v>30</v>
      </c>
      <c r="C31" s="28" t="s">
        <v>1790</v>
      </c>
      <c r="D31" s="28" t="s">
        <v>1790</v>
      </c>
      <c r="E31" t="s">
        <v>32</v>
      </c>
      <c r="F31" s="29">
        <f>41768*0.4536</f>
        <v>18945.964800000002</v>
      </c>
      <c r="G31" s="196">
        <v>18909.91</v>
      </c>
      <c r="H31" s="30">
        <f t="shared" si="11"/>
        <v>-36.054800000001705</v>
      </c>
      <c r="I31" s="28" t="s">
        <v>3790</v>
      </c>
      <c r="J31" s="52" t="s">
        <v>196</v>
      </c>
      <c r="K31" s="31">
        <v>43626</v>
      </c>
      <c r="L31" s="31">
        <v>43627</v>
      </c>
      <c r="M31" s="28" t="s">
        <v>48</v>
      </c>
      <c r="N31" s="28" t="s">
        <v>3792</v>
      </c>
      <c r="O31" s="2"/>
      <c r="P31" s="32">
        <f>0.8432+0.095</f>
        <v>0.93819999999999992</v>
      </c>
      <c r="Q31" s="140">
        <v>26000</v>
      </c>
      <c r="R31" s="190">
        <v>10858</v>
      </c>
      <c r="S31" s="194">
        <v>19.782</v>
      </c>
      <c r="T31" s="141">
        <f t="shared" ref="T31" si="13">X31*F31*0.005</f>
        <v>4071.994599868528</v>
      </c>
      <c r="V31" s="2">
        <v>0.12</v>
      </c>
      <c r="W31" s="2">
        <v>0.3</v>
      </c>
      <c r="X31" s="2">
        <f>IF(O31&gt;0,O31,((P31*2.2046*S31)+(Q31+R31)/G31)+V31)</f>
        <v>42.985349575531011</v>
      </c>
      <c r="Y31" s="2">
        <f>IF(O31&gt;0,O31,((P31*2.2046*S31)+(Q31+R31+T31)/G31)+V31+W31)</f>
        <v>43.500686115994107</v>
      </c>
      <c r="Z31" s="3">
        <f>Y31*F31</f>
        <v>824162.46792947315</v>
      </c>
      <c r="AA31" s="34">
        <v>43626</v>
      </c>
      <c r="AB31" s="3">
        <v>43.85</v>
      </c>
      <c r="AC31" s="35"/>
    </row>
    <row r="32" spans="1:29" x14ac:dyDescent="0.25">
      <c r="A32" s="147"/>
      <c r="B32" s="27" t="s">
        <v>30</v>
      </c>
      <c r="C32" s="28" t="s">
        <v>35</v>
      </c>
      <c r="D32" s="28" t="s">
        <v>36</v>
      </c>
      <c r="E32" t="s">
        <v>37</v>
      </c>
      <c r="F32" s="29">
        <f>41204*0.4536</f>
        <v>18690.134399999999</v>
      </c>
      <c r="G32" s="196">
        <v>18667.47</v>
      </c>
      <c r="H32" s="30">
        <f>G32-F32</f>
        <v>-22.66439999999784</v>
      </c>
      <c r="I32" t="s">
        <v>3791</v>
      </c>
      <c r="J32" s="52" t="s">
        <v>196</v>
      </c>
      <c r="K32" s="31">
        <v>43626</v>
      </c>
      <c r="L32" s="31">
        <v>43627</v>
      </c>
      <c r="M32" s="28" t="s">
        <v>48</v>
      </c>
      <c r="N32" s="28" t="s">
        <v>3793</v>
      </c>
      <c r="O32" s="2"/>
      <c r="P32" s="32">
        <f>0.8472+0.1</f>
        <v>0.94719999999999993</v>
      </c>
      <c r="Q32" s="140">
        <v>26000</v>
      </c>
      <c r="R32" s="190">
        <v>9508</v>
      </c>
      <c r="S32" s="194">
        <v>19.248999999999999</v>
      </c>
      <c r="T32" s="141">
        <f>X32*F32*0.005</f>
        <v>3945.2854052166003</v>
      </c>
      <c r="V32" s="2">
        <v>0.12</v>
      </c>
      <c r="W32" s="2">
        <v>0.3</v>
      </c>
      <c r="X32" s="2">
        <f>IF(O32&gt;0,O32,((P32*2.2046*S32)+(Q32+R32)/G32)+V32)</f>
        <v>42.21783878896666</v>
      </c>
      <c r="Y32" s="2">
        <f>IF(O32&gt;0,O32,((P32*2.2046*S32)+(Q32+R32+T32)/G32)+V32+W32)</f>
        <v>42.729184268842424</v>
      </c>
      <c r="Z32" s="3">
        <f>Y32*F32</f>
        <v>798614.19678703055</v>
      </c>
      <c r="AA32" s="34">
        <v>43628</v>
      </c>
      <c r="AB32" s="3">
        <v>42.67</v>
      </c>
      <c r="AC32" s="35"/>
    </row>
    <row r="33" spans="1:32" x14ac:dyDescent="0.25">
      <c r="A33" s="147"/>
      <c r="B33" s="27" t="s">
        <v>26</v>
      </c>
      <c r="C33" t="s">
        <v>27</v>
      </c>
      <c r="D33" s="28" t="s">
        <v>1682</v>
      </c>
      <c r="E33">
        <v>220</v>
      </c>
      <c r="F33" s="29">
        <v>26180</v>
      </c>
      <c r="G33" s="30">
        <f>14060+6580</f>
        <v>20640</v>
      </c>
      <c r="H33" s="30">
        <f>G33-F33</f>
        <v>-5540</v>
      </c>
      <c r="I33" t="s">
        <v>3893</v>
      </c>
      <c r="K33" s="31"/>
      <c r="L33" s="31">
        <v>43627</v>
      </c>
      <c r="M33" s="28" t="s">
        <v>48</v>
      </c>
      <c r="O33" s="2">
        <v>33</v>
      </c>
      <c r="P33" s="32"/>
      <c r="Q33" s="138">
        <v>22800</v>
      </c>
      <c r="R33" s="2">
        <f t="shared" ref="R33" si="14">75.45*E33</f>
        <v>16599</v>
      </c>
      <c r="S33" s="33">
        <f>-38*E33</f>
        <v>-8360</v>
      </c>
      <c r="T33" s="141">
        <f>X33*F33*0.005</f>
        <v>5682.9816424418605</v>
      </c>
      <c r="U33" s="2">
        <f>E33*5</f>
        <v>1100</v>
      </c>
      <c r="W33" s="2">
        <v>0.3</v>
      </c>
      <c r="X33" s="2">
        <f>((O33*F33)+Q33+R33+S33+U33)/G33</f>
        <v>43.41468023255814</v>
      </c>
      <c r="Y33" s="2">
        <f>((O33*F33)+Q33+R33+S33+T33+U33)/G33+W33</f>
        <v>43.990018490428383</v>
      </c>
      <c r="Z33" s="3">
        <f>Y33*G33</f>
        <v>907953.98164244182</v>
      </c>
      <c r="AA33" s="34">
        <v>43641</v>
      </c>
      <c r="AB33" s="3">
        <v>41.55</v>
      </c>
      <c r="AC33" s="35" t="s">
        <v>3905</v>
      </c>
      <c r="AF33" s="30"/>
    </row>
    <row r="34" spans="1:32" x14ac:dyDescent="0.25">
      <c r="A34" s="147"/>
      <c r="B34" s="27" t="s">
        <v>3881</v>
      </c>
      <c r="C34" t="s">
        <v>3882</v>
      </c>
      <c r="D34" s="28" t="s">
        <v>2044</v>
      </c>
      <c r="E34" s="191" t="s">
        <v>2320</v>
      </c>
      <c r="F34" s="29">
        <v>1003.34</v>
      </c>
      <c r="G34" s="30">
        <v>1003.34</v>
      </c>
      <c r="H34" s="30">
        <f t="shared" ref="H34:H35" si="15">G34-F34</f>
        <v>0</v>
      </c>
      <c r="I34" t="s">
        <v>3880</v>
      </c>
      <c r="K34" s="31"/>
      <c r="L34" s="31">
        <v>43627</v>
      </c>
      <c r="M34" s="28" t="s">
        <v>48</v>
      </c>
      <c r="O34" s="2">
        <v>46</v>
      </c>
      <c r="P34" s="32"/>
      <c r="Q34" s="190"/>
      <c r="R34" s="2"/>
      <c r="S34" s="33"/>
      <c r="T34" s="33"/>
      <c r="U34" s="2"/>
      <c r="W34" s="2"/>
      <c r="X34" s="2">
        <f t="shared" ref="X34:X35" si="16">IF(O34&gt;0,O34,((P34*2.2046*S34)+(Q34+R34)/G34)+V34)</f>
        <v>46</v>
      </c>
      <c r="Y34" s="2">
        <f t="shared" ref="Y34:Y35" si="17">IF(O34&gt;0,O34,((P34*2.2046*S34)+(Q34+R34+T34)/G34)+V34+W34)</f>
        <v>46</v>
      </c>
      <c r="Z34" s="3">
        <f t="shared" ref="Z34:Z35" si="18">Y34*F34</f>
        <v>46153.64</v>
      </c>
      <c r="AA34" s="34">
        <v>43628</v>
      </c>
      <c r="AB34" s="3">
        <v>41.46</v>
      </c>
      <c r="AC34" s="35"/>
      <c r="AF34" s="30"/>
    </row>
    <row r="35" spans="1:32" x14ac:dyDescent="0.25">
      <c r="A35" s="147"/>
      <c r="B35" s="27" t="s">
        <v>3884</v>
      </c>
      <c r="C35" t="s">
        <v>3883</v>
      </c>
      <c r="D35" s="28" t="s">
        <v>2044</v>
      </c>
      <c r="E35" s="191" t="s">
        <v>3928</v>
      </c>
      <c r="F35" s="29">
        <v>500</v>
      </c>
      <c r="G35" s="30">
        <v>500</v>
      </c>
      <c r="H35" s="30">
        <f t="shared" si="15"/>
        <v>0</v>
      </c>
      <c r="I35" t="s">
        <v>3880</v>
      </c>
      <c r="K35" s="31"/>
      <c r="L35" s="31">
        <v>43627</v>
      </c>
      <c r="M35" s="28" t="s">
        <v>48</v>
      </c>
      <c r="O35" s="2">
        <v>46</v>
      </c>
      <c r="P35" s="32"/>
      <c r="Q35" s="190"/>
      <c r="R35" s="2"/>
      <c r="S35" s="33"/>
      <c r="T35" s="33"/>
      <c r="U35" s="2"/>
      <c r="W35" s="2"/>
      <c r="X35" s="2">
        <f t="shared" si="16"/>
        <v>46</v>
      </c>
      <c r="Y35" s="2">
        <f t="shared" si="17"/>
        <v>46</v>
      </c>
      <c r="Z35" s="3">
        <f t="shared" si="18"/>
        <v>23000</v>
      </c>
      <c r="AA35" s="34">
        <v>43628</v>
      </c>
      <c r="AB35" s="3">
        <v>43.14</v>
      </c>
      <c r="AC35" s="35"/>
      <c r="AF35" s="30"/>
    </row>
    <row r="36" spans="1:32" x14ac:dyDescent="0.25">
      <c r="A36" s="147"/>
      <c r="B36" s="27" t="s">
        <v>30</v>
      </c>
      <c r="C36" s="28" t="s">
        <v>31</v>
      </c>
      <c r="D36" s="28" t="s">
        <v>31</v>
      </c>
      <c r="E36" t="s">
        <v>32</v>
      </c>
      <c r="F36" s="29">
        <f>40460*0.4536</f>
        <v>18352.655999999999</v>
      </c>
      <c r="G36" s="196">
        <v>18381.03</v>
      </c>
      <c r="H36" s="30">
        <f t="shared" ref="H36" si="19">G36-F36</f>
        <v>28.373999999999796</v>
      </c>
      <c r="I36" s="28" t="s">
        <v>3670</v>
      </c>
      <c r="J36" s="52" t="s">
        <v>1690</v>
      </c>
      <c r="K36" s="31">
        <v>43627</v>
      </c>
      <c r="L36" s="31">
        <v>43628</v>
      </c>
      <c r="M36" s="28" t="s">
        <v>33</v>
      </c>
      <c r="N36" s="28" t="s">
        <v>3794</v>
      </c>
      <c r="O36" s="2"/>
      <c r="P36" s="32">
        <f>0.8472+0.105</f>
        <v>0.95219999999999994</v>
      </c>
      <c r="Q36" s="140">
        <v>26000</v>
      </c>
      <c r="R36" s="190">
        <v>11808</v>
      </c>
      <c r="S36" s="194">
        <v>19.603000000000002</v>
      </c>
      <c r="T36" s="141">
        <f t="shared" ref="T36" si="20">X36*F36*0.005</f>
        <v>3975.9116183121423</v>
      </c>
      <c r="V36" s="2">
        <v>0.12</v>
      </c>
      <c r="W36" s="2">
        <v>0.3</v>
      </c>
      <c r="X36" s="2">
        <f>IF(O36&gt;0,O36,((P36*2.2046*S36)+(Q36+R36)/G36)+V36)</f>
        <v>43.327915243571745</v>
      </c>
      <c r="Y36" s="2">
        <f>IF(O36&gt;0,O36,((P36*2.2046*S36)+(Q36+R36+T36)/G36)+V36+W36)</f>
        <v>43.844220402657612</v>
      </c>
      <c r="Z36" s="3">
        <f>Y36*F36</f>
        <v>804657.89463815663</v>
      </c>
      <c r="AA36" s="34">
        <v>43620</v>
      </c>
      <c r="AB36" s="233">
        <f>SUM(AB29:AB35)/7</f>
        <v>42.702857142857148</v>
      </c>
      <c r="AC36" s="35"/>
    </row>
    <row r="37" spans="1:32" x14ac:dyDescent="0.25">
      <c r="A37" s="147"/>
      <c r="B37" s="27" t="s">
        <v>26</v>
      </c>
      <c r="C37" t="s">
        <v>27</v>
      </c>
      <c r="D37" s="28" t="s">
        <v>1682</v>
      </c>
      <c r="E37">
        <v>220</v>
      </c>
      <c r="F37" s="29">
        <v>24710</v>
      </c>
      <c r="G37" s="30">
        <f>5940+13490</f>
        <v>19430</v>
      </c>
      <c r="H37" s="30">
        <f>G37-F37</f>
        <v>-5280</v>
      </c>
      <c r="I37" t="s">
        <v>3915</v>
      </c>
      <c r="K37" s="31"/>
      <c r="L37" s="31">
        <v>43628</v>
      </c>
      <c r="M37" s="28" t="s">
        <v>33</v>
      </c>
      <c r="O37" s="2">
        <v>33</v>
      </c>
      <c r="P37" s="32"/>
      <c r="Q37" s="140">
        <v>22800</v>
      </c>
      <c r="R37" s="2">
        <f>75.45*E37</f>
        <v>16599</v>
      </c>
      <c r="S37" s="33">
        <f>-38*E37</f>
        <v>-8360</v>
      </c>
      <c r="T37" s="141">
        <f>X37*F37*0.005</f>
        <v>5389.4570226453943</v>
      </c>
      <c r="U37" s="2">
        <f>E37*5</f>
        <v>1100</v>
      </c>
      <c r="W37" s="2">
        <v>0.3</v>
      </c>
      <c r="X37" s="2">
        <f>((O37*F37)+Q37+R37+S37+U37)/G37</f>
        <v>43.621667524446735</v>
      </c>
      <c r="Y37" s="2">
        <f>((O37*F37)+Q37+R37+S37+T37+U37)/G37+W37</f>
        <v>44.199045652220555</v>
      </c>
      <c r="Z37" s="3">
        <f>Y37*G37</f>
        <v>858787.45702264539</v>
      </c>
      <c r="AA37" s="34">
        <v>43641</v>
      </c>
      <c r="AC37" s="35" t="s">
        <v>3916</v>
      </c>
    </row>
    <row r="38" spans="1:32" x14ac:dyDescent="0.25">
      <c r="A38" s="147"/>
      <c r="B38" s="27" t="s">
        <v>3899</v>
      </c>
      <c r="C38" t="s">
        <v>3900</v>
      </c>
      <c r="D38" s="28" t="s">
        <v>1806</v>
      </c>
      <c r="E38" s="191" t="s">
        <v>3902</v>
      </c>
      <c r="F38" s="29">
        <v>18670.169999999998</v>
      </c>
      <c r="G38" s="30">
        <v>18672.919999999998</v>
      </c>
      <c r="H38" s="30">
        <f>G38-F38</f>
        <v>2.75</v>
      </c>
      <c r="I38" t="s">
        <v>3903</v>
      </c>
      <c r="K38" s="31"/>
      <c r="L38" s="31">
        <v>43628</v>
      </c>
      <c r="M38" s="28" t="s">
        <v>33</v>
      </c>
      <c r="O38" s="2">
        <v>49</v>
      </c>
      <c r="P38" s="32"/>
      <c r="Q38" s="2"/>
      <c r="R38" s="2"/>
      <c r="S38" s="33"/>
      <c r="T38" s="33"/>
      <c r="U38" s="2"/>
      <c r="W38" s="2"/>
      <c r="X38" s="2">
        <f t="shared" ref="X38:X39" si="21">IF(O38&gt;0,O38,((P38*2.2046*S38)+(Q38+R38)/G38)+V38)</f>
        <v>49</v>
      </c>
      <c r="Y38" s="2">
        <f t="shared" ref="Y38:Y39" si="22">IF(O38&gt;0,O38,((P38*2.2046*S38)+(Q38+R38+T38)/G38)+V38+W38)</f>
        <v>49</v>
      </c>
      <c r="Z38" s="3">
        <f t="shared" ref="Z38:Z39" si="23">Y38*F38</f>
        <v>914838.33</v>
      </c>
      <c r="AA38" s="34">
        <v>43640</v>
      </c>
      <c r="AC38" s="35"/>
    </row>
    <row r="39" spans="1:32" x14ac:dyDescent="0.25">
      <c r="A39" s="147"/>
      <c r="B39" s="27" t="s">
        <v>1909</v>
      </c>
      <c r="C39" t="s">
        <v>2006</v>
      </c>
      <c r="D39" s="28" t="s">
        <v>1806</v>
      </c>
      <c r="E39" t="s">
        <v>3901</v>
      </c>
      <c r="F39" s="29">
        <f>862+849+863+860</f>
        <v>3434</v>
      </c>
      <c r="G39" s="30">
        <v>3434</v>
      </c>
      <c r="H39" s="30">
        <f t="shared" ref="H39:H41" si="24">G39-F39</f>
        <v>0</v>
      </c>
      <c r="I39" s="191" t="s">
        <v>3929</v>
      </c>
      <c r="K39" s="31"/>
      <c r="L39" s="31">
        <v>43628</v>
      </c>
      <c r="M39" s="28" t="s">
        <v>33</v>
      </c>
      <c r="O39" s="2">
        <v>18</v>
      </c>
      <c r="P39" s="32"/>
      <c r="Q39" s="2"/>
      <c r="R39" s="2"/>
      <c r="S39" s="33"/>
      <c r="T39" s="33"/>
      <c r="U39" s="2"/>
      <c r="W39" s="2"/>
      <c r="X39" s="2">
        <f t="shared" si="21"/>
        <v>18</v>
      </c>
      <c r="Y39" s="2">
        <f t="shared" si="22"/>
        <v>18</v>
      </c>
      <c r="Z39" s="3">
        <f t="shared" si="23"/>
        <v>61812</v>
      </c>
      <c r="AA39" s="34">
        <v>43635</v>
      </c>
      <c r="AB39" s="3"/>
      <c r="AC39" s="35"/>
    </row>
    <row r="40" spans="1:32" x14ac:dyDescent="0.25">
      <c r="A40" s="147"/>
      <c r="B40" s="27" t="s">
        <v>3930</v>
      </c>
      <c r="C40" t="s">
        <v>3931</v>
      </c>
      <c r="D40" s="28" t="s">
        <v>1806</v>
      </c>
      <c r="E40" t="s">
        <v>3539</v>
      </c>
      <c r="F40" s="29">
        <f>167.82+66.66</f>
        <v>234.48</v>
      </c>
      <c r="G40" s="196">
        <v>234.48</v>
      </c>
      <c r="H40" s="30">
        <f t="shared" ref="H40" si="25">G40-F40</f>
        <v>0</v>
      </c>
      <c r="I40" s="191" t="s">
        <v>3932</v>
      </c>
      <c r="K40" s="31"/>
      <c r="L40" s="31">
        <v>43628</v>
      </c>
      <c r="M40" s="28" t="s">
        <v>33</v>
      </c>
      <c r="O40" s="2">
        <v>22</v>
      </c>
      <c r="P40" s="32"/>
      <c r="Q40" s="2"/>
      <c r="R40" s="2"/>
      <c r="S40" s="33"/>
      <c r="T40" s="33"/>
      <c r="U40" s="2"/>
      <c r="W40" s="2"/>
      <c r="X40" s="2">
        <f t="shared" ref="X40" si="26">IF(O40&gt;0,O40,((P40*2.2046*S40)+(Q40+R40)/G40)+V40)</f>
        <v>22</v>
      </c>
      <c r="Y40" s="2">
        <f t="shared" ref="Y40" si="27">IF(O40&gt;0,O40,((P40*2.2046*S40)+(Q40+R40+T40)/G40)+V40+W40)</f>
        <v>22</v>
      </c>
      <c r="Z40" s="3">
        <f t="shared" ref="Z40" si="28">Y40*F40</f>
        <v>5158.5599999999995</v>
      </c>
      <c r="AA40" s="34">
        <v>43635</v>
      </c>
      <c r="AB40" s="3"/>
      <c r="AC40" s="35"/>
    </row>
    <row r="41" spans="1:32" x14ac:dyDescent="0.25">
      <c r="A41" s="147"/>
      <c r="B41" s="27" t="s">
        <v>30</v>
      </c>
      <c r="C41" s="28" t="s">
        <v>40</v>
      </c>
      <c r="D41" s="28" t="s">
        <v>40</v>
      </c>
      <c r="E41" t="s">
        <v>37</v>
      </c>
      <c r="F41" s="29">
        <f>42492*0.4536</f>
        <v>19274.371200000001</v>
      </c>
      <c r="G41" s="196">
        <v>19259.509999999998</v>
      </c>
      <c r="H41" s="30">
        <f t="shared" si="24"/>
        <v>-14.861200000003009</v>
      </c>
      <c r="I41" t="s">
        <v>3804</v>
      </c>
      <c r="J41" s="52" t="s">
        <v>196</v>
      </c>
      <c r="K41" s="31">
        <v>43628</v>
      </c>
      <c r="L41" s="31">
        <v>43629</v>
      </c>
      <c r="M41" s="28" t="s">
        <v>41</v>
      </c>
      <c r="N41" s="28" t="s">
        <v>3796</v>
      </c>
      <c r="O41" s="2"/>
      <c r="P41" s="32">
        <f>0.8237+0.105</f>
        <v>0.92869999999999997</v>
      </c>
      <c r="Q41" s="140">
        <v>26000</v>
      </c>
      <c r="R41" s="190">
        <v>10858</v>
      </c>
      <c r="S41" s="194">
        <v>19.593</v>
      </c>
      <c r="T41" s="141">
        <f>X41*F41*0.005</f>
        <v>4061.9484047244482</v>
      </c>
      <c r="V41" s="2">
        <v>0.12</v>
      </c>
      <c r="W41" s="2">
        <v>0.3</v>
      </c>
      <c r="X41" s="2">
        <f>IF(O41&gt;0,O41,((P41*2.2046*S41)+(Q41+R41)/G41)+V41)</f>
        <v>42.148699561461676</v>
      </c>
      <c r="Y41" s="2">
        <f>IF(O41&gt;0,O41,((P41*2.2046*S41)+(Q41+R41+T41)/G41)+V41+W41)</f>
        <v>42.659605675102384</v>
      </c>
      <c r="Z41" s="3">
        <f>Y41*F41</f>
        <v>822237.07502754999</v>
      </c>
      <c r="AA41" s="34">
        <v>43622</v>
      </c>
      <c r="AC41" s="35"/>
    </row>
    <row r="42" spans="1:32" x14ac:dyDescent="0.25">
      <c r="A42" s="147"/>
      <c r="B42" s="27" t="s">
        <v>30</v>
      </c>
      <c r="C42" s="28" t="s">
        <v>35</v>
      </c>
      <c r="D42" s="28" t="s">
        <v>36</v>
      </c>
      <c r="E42" t="s">
        <v>37</v>
      </c>
      <c r="F42" s="29">
        <f>41757*0.4536</f>
        <v>18940.975200000001</v>
      </c>
      <c r="G42" s="196">
        <v>18899.669999999998</v>
      </c>
      <c r="H42" s="30">
        <f>G42-F42</f>
        <v>-41.305200000002515</v>
      </c>
      <c r="I42" t="s">
        <v>3795</v>
      </c>
      <c r="J42" s="52" t="s">
        <v>196</v>
      </c>
      <c r="K42" s="31">
        <v>43628</v>
      </c>
      <c r="L42" s="31">
        <v>43629</v>
      </c>
      <c r="M42" s="28" t="s">
        <v>41</v>
      </c>
      <c r="N42" s="28" t="s">
        <v>3837</v>
      </c>
      <c r="O42" s="2"/>
      <c r="P42" s="32">
        <f>0.8237+0.1</f>
        <v>0.92369999999999997</v>
      </c>
      <c r="Q42" s="140">
        <v>26000</v>
      </c>
      <c r="R42" s="190">
        <v>9508</v>
      </c>
      <c r="S42" s="194">
        <v>19.175000000000001</v>
      </c>
      <c r="T42" s="141">
        <f>X42*F42*0.005</f>
        <v>3887.3058161146691</v>
      </c>
      <c r="V42" s="2">
        <v>0.12</v>
      </c>
      <c r="W42" s="2">
        <v>0.3</v>
      </c>
      <c r="X42" s="2">
        <f>IF(O42&gt;0,O42,((P42*2.2046*S42)+(Q42+R42)/G42)+V42)</f>
        <v>41.046522421027916</v>
      </c>
      <c r="Y42" s="2">
        <f>IF(O42&gt;0,O42,((P42*2.2046*S42)+(Q42+R42+T42)/G42)+V42+W42)</f>
        <v>41.552203568694232</v>
      </c>
      <c r="Z42" s="3">
        <f>Y42*F42</f>
        <v>787039.257299989</v>
      </c>
      <c r="AA42" s="34">
        <v>43629</v>
      </c>
      <c r="AB42" s="3"/>
      <c r="AC42" s="35"/>
    </row>
    <row r="43" spans="1:32" x14ac:dyDescent="0.25">
      <c r="A43" s="147"/>
      <c r="B43" s="27" t="s">
        <v>26</v>
      </c>
      <c r="C43" t="s">
        <v>27</v>
      </c>
      <c r="D43" s="28" t="s">
        <v>1682</v>
      </c>
      <c r="E43">
        <v>230</v>
      </c>
      <c r="F43" s="29">
        <v>26995</v>
      </c>
      <c r="G43" s="30">
        <v>21050</v>
      </c>
      <c r="H43" s="30">
        <f t="shared" ref="H43:H44" si="29">G43-F43</f>
        <v>-5945</v>
      </c>
      <c r="I43" t="s">
        <v>1957</v>
      </c>
      <c r="K43" s="31"/>
      <c r="L43" s="31">
        <v>43629</v>
      </c>
      <c r="M43" s="28" t="s">
        <v>41</v>
      </c>
      <c r="O43" s="2">
        <v>33.5</v>
      </c>
      <c r="P43" s="32"/>
      <c r="Q43" s="138">
        <v>22800</v>
      </c>
      <c r="R43" s="2">
        <f t="shared" ref="R43" si="30">75.45*E43</f>
        <v>17353.5</v>
      </c>
      <c r="S43" s="33">
        <f>-38*E43</f>
        <v>-8740</v>
      </c>
      <c r="T43" s="141">
        <f>X43*F43*0.0045</f>
        <v>5406.7355743467933</v>
      </c>
      <c r="U43" s="2">
        <f>E43*5</f>
        <v>1150</v>
      </c>
      <c r="W43" s="2">
        <v>0.3</v>
      </c>
      <c r="X43" s="2">
        <f t="shared" ref="X43" si="31">((O43*F43)+Q43+R43+S43+U43)/G43</f>
        <v>44.508123515439429</v>
      </c>
      <c r="Y43" s="2">
        <f>((O43*F43)+Q43+R43+S43+T43+U43)/G43+W43</f>
        <v>45.064975561726691</v>
      </c>
      <c r="Z43" s="3">
        <f>Y43*G43</f>
        <v>948617.73557434685</v>
      </c>
      <c r="AA43" s="34">
        <v>43642</v>
      </c>
      <c r="AB43" s="3"/>
      <c r="AC43" s="35"/>
    </row>
    <row r="44" spans="1:32" x14ac:dyDescent="0.25">
      <c r="A44" s="147"/>
      <c r="B44" s="27" t="s">
        <v>26</v>
      </c>
      <c r="C44" t="s">
        <v>27</v>
      </c>
      <c r="D44" s="28" t="s">
        <v>1720</v>
      </c>
      <c r="E44">
        <v>130</v>
      </c>
      <c r="F44" s="29">
        <v>15380</v>
      </c>
      <c r="G44" s="30">
        <v>11920</v>
      </c>
      <c r="H44" s="30">
        <f t="shared" si="29"/>
        <v>-3460</v>
      </c>
      <c r="I44" t="s">
        <v>3920</v>
      </c>
      <c r="K44" s="31"/>
      <c r="L44" s="31">
        <v>43629</v>
      </c>
      <c r="M44" s="28" t="s">
        <v>41</v>
      </c>
      <c r="O44" s="2">
        <v>33.5</v>
      </c>
      <c r="P44" s="32"/>
      <c r="Q44" s="140">
        <v>18100</v>
      </c>
      <c r="R44" s="2">
        <f t="shared" ref="R44" si="32">75.45*E44</f>
        <v>9808.5</v>
      </c>
      <c r="S44" s="33">
        <f>-38*E44</f>
        <v>-4940</v>
      </c>
      <c r="T44" s="141">
        <f>X44*F44*0.0045</f>
        <v>3128.6665004194629</v>
      </c>
      <c r="U44" s="2">
        <f>E44*5</f>
        <v>650</v>
      </c>
      <c r="W44" s="2">
        <v>0.3</v>
      </c>
      <c r="X44" s="2">
        <f>((O44*F44)+Q44+R44+S44+U44)/G44</f>
        <v>45.205411073825502</v>
      </c>
      <c r="Y44" s="2">
        <f>((O44*F44)+Q44+R44+S44+T44+U44)/G44+W44</f>
        <v>45.767883095672772</v>
      </c>
      <c r="Z44" s="3">
        <f>Y44*G44</f>
        <v>545553.16650041949</v>
      </c>
      <c r="AA44" s="34">
        <v>43642</v>
      </c>
      <c r="AB44" s="3"/>
      <c r="AC44" s="35" t="s">
        <v>3921</v>
      </c>
    </row>
    <row r="45" spans="1:32" x14ac:dyDescent="0.25">
      <c r="A45" s="147"/>
      <c r="B45" s="27" t="s">
        <v>30</v>
      </c>
      <c r="C45" s="28" t="s">
        <v>1790</v>
      </c>
      <c r="D45" s="28" t="s">
        <v>1790</v>
      </c>
      <c r="E45" t="s">
        <v>32</v>
      </c>
      <c r="F45" s="29">
        <f>41280*0.4536</f>
        <v>18724.608</v>
      </c>
      <c r="G45" s="196">
        <v>18857.82</v>
      </c>
      <c r="H45" s="30">
        <f>G45-F45</f>
        <v>133.21199999999953</v>
      </c>
      <c r="I45" s="28" t="s">
        <v>3802</v>
      </c>
      <c r="J45" s="52" t="s">
        <v>196</v>
      </c>
      <c r="K45" s="31">
        <v>39977</v>
      </c>
      <c r="L45" s="31">
        <v>43630</v>
      </c>
      <c r="M45" s="28" t="s">
        <v>45</v>
      </c>
      <c r="N45" s="28" t="s">
        <v>3797</v>
      </c>
      <c r="O45" s="2"/>
      <c r="P45" s="32">
        <f>0.8237+0.095</f>
        <v>0.91869999999999996</v>
      </c>
      <c r="Q45" s="140">
        <v>26000</v>
      </c>
      <c r="R45" s="190">
        <v>10808</v>
      </c>
      <c r="S45" s="194">
        <v>19.189</v>
      </c>
      <c r="T45" s="141">
        <f>X45*F45*0.005</f>
        <v>3832.6106115462985</v>
      </c>
      <c r="V45" s="2">
        <v>0.12</v>
      </c>
      <c r="W45" s="2">
        <v>0.3</v>
      </c>
      <c r="X45" s="2">
        <f>IF(O45&gt;0,O45,((P45*2.2046*S45)+(Q45+R45)/G45)+V45)</f>
        <v>40.936617861867106</v>
      </c>
      <c r="Y45" s="2">
        <f>IF(O45&gt;0,O45,((P45*2.2046*S45)+(Q45+R45+T45)/G45)+V45+W45)</f>
        <v>41.439855065931319</v>
      </c>
      <c r="Z45" s="3">
        <f>Y45*F45</f>
        <v>775945.04168637807</v>
      </c>
      <c r="AA45" s="34">
        <v>43630</v>
      </c>
      <c r="AB45" s="3"/>
      <c r="AC45" s="35"/>
    </row>
    <row r="46" spans="1:32" x14ac:dyDescent="0.25">
      <c r="A46" s="147"/>
      <c r="B46" s="27" t="s">
        <v>3800</v>
      </c>
      <c r="C46" s="28" t="s">
        <v>35</v>
      </c>
      <c r="D46" s="28" t="s">
        <v>36</v>
      </c>
      <c r="E46" t="s">
        <v>3906</v>
      </c>
      <c r="F46" s="29">
        <f>41048*0.4536</f>
        <v>18619.372800000001</v>
      </c>
      <c r="G46" s="196">
        <v>18454.89</v>
      </c>
      <c r="H46" s="30">
        <f>G46-F46</f>
        <v>-164.48280000000159</v>
      </c>
      <c r="I46" t="s">
        <v>3798</v>
      </c>
      <c r="J46" s="52" t="s">
        <v>196</v>
      </c>
      <c r="K46" s="31">
        <v>39977</v>
      </c>
      <c r="L46" s="31">
        <v>43630</v>
      </c>
      <c r="M46" s="28" t="s">
        <v>45</v>
      </c>
      <c r="N46" s="28" t="s">
        <v>3799</v>
      </c>
      <c r="O46" s="2"/>
      <c r="P46" s="32">
        <f>0.8406+0.135</f>
        <v>0.97560000000000002</v>
      </c>
      <c r="Q46" s="140">
        <v>26000</v>
      </c>
      <c r="R46" s="190">
        <v>11808</v>
      </c>
      <c r="S46" s="194">
        <v>19.178000000000001</v>
      </c>
      <c r="T46" s="141">
        <f>X46*F46*0.005</f>
        <v>4041.973727856594</v>
      </c>
      <c r="V46" s="2">
        <v>0.12</v>
      </c>
      <c r="W46" s="2">
        <v>0.3</v>
      </c>
      <c r="X46" s="2">
        <f>IF(O46&gt;0,O46,((P46*2.2046*S46)+(Q46+R46)/G46)+V46)</f>
        <v>43.416862332297185</v>
      </c>
      <c r="Y46" s="2">
        <f>IF(O46&gt;0,O46,((P46*2.2046*S46)+(Q46+R46+T46)/G46)+V46+W46)</f>
        <v>43.935881450149232</v>
      </c>
      <c r="Z46" s="3">
        <f>Y46*F46</f>
        <v>818058.55601693317</v>
      </c>
      <c r="AA46" s="34">
        <v>43630</v>
      </c>
      <c r="AB46" s="3"/>
      <c r="AC46" s="35"/>
    </row>
    <row r="47" spans="1:32" x14ac:dyDescent="0.25">
      <c r="A47" s="147"/>
      <c r="B47" s="27" t="s">
        <v>26</v>
      </c>
      <c r="C47" t="s">
        <v>27</v>
      </c>
      <c r="D47" s="28" t="s">
        <v>1682</v>
      </c>
      <c r="E47">
        <v>220</v>
      </c>
      <c r="F47" s="29">
        <v>24415</v>
      </c>
      <c r="G47" s="30">
        <v>23010</v>
      </c>
      <c r="H47" s="30">
        <f t="shared" ref="H47:H49" si="33">G47-F47</f>
        <v>-1405</v>
      </c>
      <c r="I47" t="s">
        <v>3922</v>
      </c>
      <c r="J47" s="55">
        <v>250</v>
      </c>
      <c r="K47" s="31"/>
      <c r="L47" s="31">
        <v>43630</v>
      </c>
      <c r="M47" s="28" t="s">
        <v>45</v>
      </c>
      <c r="O47" s="2">
        <v>33.5</v>
      </c>
      <c r="P47" s="32"/>
      <c r="Q47" s="138">
        <v>22800</v>
      </c>
      <c r="R47" s="2">
        <f t="shared" ref="R47:R48" si="34">75.45*E47</f>
        <v>16599</v>
      </c>
      <c r="S47" s="33">
        <f>-38*E47</f>
        <v>-8360</v>
      </c>
      <c r="T47" s="141">
        <f>X47*F47*0.0045</f>
        <v>4058.7542156127765</v>
      </c>
      <c r="U47" s="2">
        <f>E47*5</f>
        <v>1100</v>
      </c>
      <c r="W47" s="2">
        <v>0.3</v>
      </c>
      <c r="X47" s="2">
        <f>((O47*F47)+Q47+R47+S47+U47)/G47</f>
        <v>36.9422642329422</v>
      </c>
      <c r="Y47" s="2">
        <f>((O47*F47)+Q47+R47+S47+T47+U47)/G47+W47</f>
        <v>37.418655115845837</v>
      </c>
      <c r="Z47" s="3">
        <f>Y47*G47</f>
        <v>861003.25421561266</v>
      </c>
      <c r="AA47" s="34">
        <v>43643</v>
      </c>
      <c r="AB47" s="3" t="s">
        <v>3925</v>
      </c>
      <c r="AC47" s="35"/>
    </row>
    <row r="48" spans="1:32" x14ac:dyDescent="0.25">
      <c r="A48" s="147"/>
      <c r="B48" s="27" t="s">
        <v>26</v>
      </c>
      <c r="C48" t="s">
        <v>27</v>
      </c>
      <c r="D48" s="28" t="s">
        <v>1682</v>
      </c>
      <c r="E48">
        <v>161</v>
      </c>
      <c r="F48" s="29">
        <v>19400</v>
      </c>
      <c r="G48" s="30">
        <v>11270</v>
      </c>
      <c r="H48" s="30">
        <f t="shared" si="33"/>
        <v>-8130</v>
      </c>
      <c r="I48" s="28" t="s">
        <v>3923</v>
      </c>
      <c r="J48" s="55">
        <v>131</v>
      </c>
      <c r="K48" s="119">
        <v>0.7823</v>
      </c>
      <c r="L48" s="31">
        <v>43630</v>
      </c>
      <c r="M48" s="28" t="s">
        <v>45</v>
      </c>
      <c r="O48" s="2">
        <v>33.5</v>
      </c>
      <c r="P48" s="32"/>
      <c r="Q48" s="234">
        <v>9050</v>
      </c>
      <c r="R48" s="2">
        <f t="shared" si="34"/>
        <v>12147.45</v>
      </c>
      <c r="S48" s="33">
        <f>-38*E48</f>
        <v>-6118</v>
      </c>
      <c r="T48" s="141">
        <f>X48*F48*0.0045</f>
        <v>5157.3187653061213</v>
      </c>
      <c r="U48" s="2">
        <f>E48*5</f>
        <v>805</v>
      </c>
      <c r="W48" s="2">
        <v>0.3</v>
      </c>
      <c r="X48" s="2">
        <f>((O48*F48)+Q48+R48+S48+U48)/G48</f>
        <v>59.075816326530607</v>
      </c>
      <c r="Y48" s="2">
        <f>((O48*F48)+Q48+R48+S48+T48+U48)/G48+W48</f>
        <v>59.833431123807102</v>
      </c>
      <c r="Z48" s="3">
        <f>Y48*G48</f>
        <v>674322.7687653061</v>
      </c>
      <c r="AA48" s="34">
        <v>43643</v>
      </c>
      <c r="AB48" s="3" t="s">
        <v>3926</v>
      </c>
      <c r="AC48" s="35" t="s">
        <v>3927</v>
      </c>
      <c r="AD48" t="s">
        <v>3924</v>
      </c>
    </row>
    <row r="49" spans="1:32" x14ac:dyDescent="0.25">
      <c r="A49" s="147"/>
      <c r="B49" s="27" t="s">
        <v>30</v>
      </c>
      <c r="C49" t="s">
        <v>40</v>
      </c>
      <c r="D49" s="28" t="s">
        <v>40</v>
      </c>
      <c r="E49" t="s">
        <v>37</v>
      </c>
      <c r="F49" s="29">
        <f>40104*0.4536</f>
        <v>18191.1744</v>
      </c>
      <c r="G49" s="196">
        <v>18113.36</v>
      </c>
      <c r="H49" s="30">
        <f t="shared" si="33"/>
        <v>-77.814399999999296</v>
      </c>
      <c r="I49" s="28" t="s">
        <v>3803</v>
      </c>
      <c r="J49" s="52" t="s">
        <v>196</v>
      </c>
      <c r="K49" s="31">
        <v>43630</v>
      </c>
      <c r="L49" s="31">
        <v>43631</v>
      </c>
      <c r="M49" s="28" t="s">
        <v>46</v>
      </c>
      <c r="N49" s="28" t="s">
        <v>3801</v>
      </c>
      <c r="O49" s="2"/>
      <c r="P49" s="32">
        <f>0.824+0.105</f>
        <v>0.92899999999999994</v>
      </c>
      <c r="Q49" s="140">
        <v>26000</v>
      </c>
      <c r="R49" s="190">
        <v>11658</v>
      </c>
      <c r="S49" s="194">
        <v>19.79</v>
      </c>
      <c r="T49" s="141">
        <f>X49*F49*0.005</f>
        <v>3886.57992921602</v>
      </c>
      <c r="V49" s="2">
        <v>0.12</v>
      </c>
      <c r="W49" s="2">
        <v>0.3</v>
      </c>
      <c r="X49" s="2">
        <f>IF(O49&gt;0,O49,((P49*2.2046*S49)+(Q49+R49)/G49)+V49)</f>
        <v>42.730390504265849</v>
      </c>
      <c r="Y49" s="2">
        <f>IF(O49&gt;0,O49,((P49*2.2046*S49)+(Q49+R49+T49)/G49)+V49+W49)</f>
        <v>43.244960298562212</v>
      </c>
      <c r="Z49" s="3">
        <f>Y49*F49</f>
        <v>786676.61471222132</v>
      </c>
      <c r="AA49" s="34">
        <v>43626</v>
      </c>
      <c r="AB49" s="3"/>
      <c r="AC49" s="35"/>
    </row>
    <row r="50" spans="1:32" ht="15.75" thickBot="1" x14ac:dyDescent="0.3">
      <c r="A50" s="148"/>
      <c r="B50" s="41"/>
      <c r="C50" s="4"/>
      <c r="D50" s="4"/>
      <c r="E50" s="4"/>
      <c r="F50" s="42"/>
      <c r="G50" s="42"/>
      <c r="H50" s="42"/>
      <c r="I50" s="7"/>
      <c r="J50" s="4"/>
      <c r="K50" s="8"/>
      <c r="L50" s="8"/>
      <c r="M50" s="4"/>
      <c r="N50" s="4"/>
      <c r="O50" s="9"/>
      <c r="P50" s="10"/>
      <c r="Q50" s="9"/>
      <c r="R50" s="9"/>
      <c r="S50" s="9"/>
      <c r="T50" s="9"/>
      <c r="U50" s="9"/>
      <c r="V50" s="9"/>
      <c r="W50" s="9"/>
      <c r="X50" s="9"/>
      <c r="Y50" s="9"/>
      <c r="Z50" s="13"/>
      <c r="AA50" s="43"/>
      <c r="AB50" s="3"/>
      <c r="AC50" s="35"/>
    </row>
    <row r="51" spans="1:32" x14ac:dyDescent="0.25">
      <c r="A51" s="168"/>
      <c r="B51" s="14" t="s">
        <v>26</v>
      </c>
      <c r="C51" s="14" t="s">
        <v>27</v>
      </c>
      <c r="D51" s="15" t="s">
        <v>1682</v>
      </c>
      <c r="E51" s="14">
        <v>200</v>
      </c>
      <c r="F51" s="16">
        <v>23255</v>
      </c>
      <c r="G51" s="17">
        <v>18630</v>
      </c>
      <c r="H51" s="30">
        <f t="shared" ref="H51:H55" si="35">G51-F51</f>
        <v>-4625</v>
      </c>
      <c r="I51" s="19" t="s">
        <v>3949</v>
      </c>
      <c r="J51" s="14"/>
      <c r="K51" s="20"/>
      <c r="L51" s="20">
        <v>43632</v>
      </c>
      <c r="M51" s="15" t="s">
        <v>28</v>
      </c>
      <c r="N51" s="14"/>
      <c r="O51" s="21">
        <v>33.5</v>
      </c>
      <c r="P51" s="22"/>
      <c r="Q51" s="138">
        <v>22800</v>
      </c>
      <c r="R51" s="2">
        <f t="shared" ref="R51" si="36">75.45*E51</f>
        <v>15090</v>
      </c>
      <c r="S51" s="33">
        <f>-38*E51</f>
        <v>-7600</v>
      </c>
      <c r="T51" s="157">
        <f>X51*F51*0.0045</f>
        <v>4551.7590066425118</v>
      </c>
      <c r="U51" s="21">
        <f>E51*5</f>
        <v>1000</v>
      </c>
      <c r="V51" s="14"/>
      <c r="W51" s="21">
        <v>0.3</v>
      </c>
      <c r="X51" s="21">
        <f>((O51*F51)+Q51+R51+S51+U51)/G51</f>
        <v>43.496108427267849</v>
      </c>
      <c r="Y51" s="24">
        <f>((O51*F51)+Q51+R51+S51+T51+U51)/G51+W51</f>
        <v>44.040432582213768</v>
      </c>
      <c r="Z51" s="24">
        <f>Y51*G51</f>
        <v>820473.2590066425</v>
      </c>
      <c r="AA51" s="25">
        <v>43647</v>
      </c>
      <c r="AB51" s="3"/>
      <c r="AC51" s="3"/>
    </row>
    <row r="52" spans="1:32" x14ac:dyDescent="0.25">
      <c r="A52" s="169"/>
      <c r="B52" s="27" t="s">
        <v>26</v>
      </c>
      <c r="C52" t="s">
        <v>27</v>
      </c>
      <c r="D52" s="28" t="s">
        <v>1871</v>
      </c>
      <c r="E52">
        <v>130</v>
      </c>
      <c r="F52" s="29">
        <v>15140</v>
      </c>
      <c r="G52" s="30">
        <v>11690</v>
      </c>
      <c r="H52" s="30">
        <f t="shared" si="35"/>
        <v>-3450</v>
      </c>
      <c r="I52" s="28" t="s">
        <v>3950</v>
      </c>
      <c r="K52" s="31"/>
      <c r="L52" s="31">
        <v>43632</v>
      </c>
      <c r="M52" s="28" t="s">
        <v>28</v>
      </c>
      <c r="O52" s="2">
        <v>33.5</v>
      </c>
      <c r="P52" s="32"/>
      <c r="Q52" s="140">
        <v>18100</v>
      </c>
      <c r="R52" s="2">
        <f t="shared" ref="R52" si="37">75.45*E52</f>
        <v>9808.5</v>
      </c>
      <c r="S52" s="33">
        <f>-38*E52</f>
        <v>-4940</v>
      </c>
      <c r="T52" s="141">
        <f>X52*F52*0.0045</f>
        <v>3093.5828147989732</v>
      </c>
      <c r="U52" s="2">
        <f>E52*5</f>
        <v>650</v>
      </c>
      <c r="W52" s="2">
        <v>0.3</v>
      </c>
      <c r="X52" s="2">
        <f>((O52*F52)+Q52+R52+S52+U52)/G52</f>
        <v>45.40705731394354</v>
      </c>
      <c r="Y52" s="2">
        <f>((O52*F52)+Q52+R52+S52+T52+U52)/G52+W52</f>
        <v>45.971692285269363</v>
      </c>
      <c r="Z52" s="3">
        <f>Y52*G52</f>
        <v>537409.08281479881</v>
      </c>
      <c r="AA52" s="34">
        <v>43647</v>
      </c>
      <c r="AB52" s="3"/>
      <c r="AC52" s="35" t="s">
        <v>3954</v>
      </c>
    </row>
    <row r="53" spans="1:32" x14ac:dyDescent="0.25">
      <c r="A53" s="169"/>
      <c r="B53" s="27" t="s">
        <v>26</v>
      </c>
      <c r="C53" t="s">
        <v>27</v>
      </c>
      <c r="D53" s="28" t="s">
        <v>1998</v>
      </c>
      <c r="E53">
        <f>230+20</f>
        <v>250</v>
      </c>
      <c r="F53" s="29">
        <f>25075+2260</f>
        <v>27335</v>
      </c>
      <c r="G53" s="30">
        <f>15680+6220</f>
        <v>21900</v>
      </c>
      <c r="H53" s="30">
        <f t="shared" si="35"/>
        <v>-5435</v>
      </c>
      <c r="I53" s="28" t="s">
        <v>3959</v>
      </c>
      <c r="K53" s="31"/>
      <c r="L53" s="31">
        <v>43633</v>
      </c>
      <c r="M53" s="28" t="s">
        <v>29</v>
      </c>
      <c r="O53" s="2">
        <v>33.5</v>
      </c>
      <c r="P53" s="32"/>
      <c r="Q53" s="140">
        <v>22800</v>
      </c>
      <c r="R53" s="2">
        <f t="shared" ref="R53" si="38">75.45*E53</f>
        <v>18862.5</v>
      </c>
      <c r="S53" s="33">
        <f>-38*E53</f>
        <v>-9500</v>
      </c>
      <c r="T53" s="141">
        <f>X53*F53*0.0045</f>
        <v>5331.083265410959</v>
      </c>
      <c r="U53" s="2">
        <f>E53*5</f>
        <v>1250</v>
      </c>
      <c r="W53" s="2">
        <v>0.3</v>
      </c>
      <c r="X53" s="2">
        <f>((O53*F53)+Q53+R53+S53+U53)/G53</f>
        <v>43.339497716894975</v>
      </c>
      <c r="Y53" s="2">
        <f>((O53*F53)+Q53+R53+S53+T53+U53)/G53+W53</f>
        <v>43.882926176502778</v>
      </c>
      <c r="Z53" s="3">
        <f>Y53*G53</f>
        <v>961036.08326541085</v>
      </c>
      <c r="AA53" s="34">
        <v>43647</v>
      </c>
      <c r="AB53" s="3"/>
      <c r="AC53" s="35" t="s">
        <v>3967</v>
      </c>
    </row>
    <row r="54" spans="1:32" x14ac:dyDescent="0.25">
      <c r="A54" s="169"/>
      <c r="B54" s="27" t="s">
        <v>2359</v>
      </c>
      <c r="C54" t="s">
        <v>3931</v>
      </c>
      <c r="D54" s="28" t="s">
        <v>1806</v>
      </c>
      <c r="E54" t="s">
        <v>4095</v>
      </c>
      <c r="F54" s="29">
        <v>1002.74</v>
      </c>
      <c r="G54" s="30">
        <v>1002.74</v>
      </c>
      <c r="H54" s="30">
        <f t="shared" si="35"/>
        <v>0</v>
      </c>
      <c r="I54" s="28" t="s">
        <v>4096</v>
      </c>
      <c r="K54" s="31"/>
      <c r="L54" s="31">
        <v>43633</v>
      </c>
      <c r="M54" s="28" t="s">
        <v>29</v>
      </c>
      <c r="O54" s="2">
        <v>21</v>
      </c>
      <c r="P54" s="32"/>
      <c r="Q54" s="190"/>
      <c r="R54" s="2"/>
      <c r="S54" s="33"/>
      <c r="T54" s="33"/>
      <c r="U54" s="2"/>
      <c r="W54" s="2"/>
      <c r="X54" s="2">
        <f>IF(O54&gt;0,O54,((P54*2.2046*S54)+(Q54+R54)/G54)+V54)</f>
        <v>21</v>
      </c>
      <c r="Y54" s="2">
        <f>IF(O54&gt;0,O54,((P54*2.2046*S54)+(Q54+R54+T54)/G54)+V54+W54)</f>
        <v>21</v>
      </c>
      <c r="Z54" s="3">
        <f>Y54*F54</f>
        <v>21057.54</v>
      </c>
      <c r="AA54" s="34">
        <v>43670</v>
      </c>
      <c r="AB54" s="3"/>
      <c r="AC54" s="35"/>
    </row>
    <row r="55" spans="1:32" x14ac:dyDescent="0.25">
      <c r="A55" s="169"/>
      <c r="B55" s="27" t="s">
        <v>30</v>
      </c>
      <c r="C55" s="28" t="s">
        <v>1790</v>
      </c>
      <c r="D55" s="28" t="s">
        <v>1790</v>
      </c>
      <c r="E55" t="s">
        <v>32</v>
      </c>
      <c r="F55" s="29">
        <f>41941*0.4536</f>
        <v>19024.437600000001</v>
      </c>
      <c r="G55" s="196">
        <v>18997.68</v>
      </c>
      <c r="H55" s="30">
        <f t="shared" si="35"/>
        <v>-26.757600000000821</v>
      </c>
      <c r="I55" s="28" t="s">
        <v>3814</v>
      </c>
      <c r="J55" s="52" t="s">
        <v>196</v>
      </c>
      <c r="K55" s="31">
        <v>43633</v>
      </c>
      <c r="L55" s="31">
        <v>43634</v>
      </c>
      <c r="M55" s="28" t="s">
        <v>48</v>
      </c>
      <c r="N55" s="28" t="s">
        <v>3816</v>
      </c>
      <c r="O55" s="2"/>
      <c r="P55" s="32">
        <f>0.7762+0.095</f>
        <v>0.87119999999999997</v>
      </c>
      <c r="Q55" s="140">
        <v>26000</v>
      </c>
      <c r="R55" s="190">
        <v>11818</v>
      </c>
      <c r="S55" s="194">
        <v>19.215</v>
      </c>
      <c r="T55" s="141">
        <f t="shared" ref="T55" si="39">X55*F55*0.005</f>
        <v>3711.278366449038</v>
      </c>
      <c r="V55" s="2">
        <v>0.12</v>
      </c>
      <c r="W55" s="2">
        <v>0.3</v>
      </c>
      <c r="X55" s="2">
        <f>IF(O55&gt;0,O55,((P55*2.2046*S55)+(Q55+R55)/G55)+V55)</f>
        <v>39.0159062199982</v>
      </c>
      <c r="Y55" s="2">
        <f>IF(O55&gt;0,O55,((P55*2.2046*S55)+(Q55+R55+T55)/G55)+V55+W55)</f>
        <v>39.511260514125112</v>
      </c>
      <c r="Z55" s="3">
        <f>Y55*F55</f>
        <v>751679.5101483172</v>
      </c>
      <c r="AA55" s="34">
        <v>43482</v>
      </c>
      <c r="AB55" s="3">
        <v>39.51</v>
      </c>
      <c r="AC55" s="35"/>
    </row>
    <row r="56" spans="1:32" x14ac:dyDescent="0.25">
      <c r="A56" s="169"/>
      <c r="B56" s="27" t="s">
        <v>26</v>
      </c>
      <c r="C56" t="s">
        <v>27</v>
      </c>
      <c r="D56" s="28" t="s">
        <v>2000</v>
      </c>
      <c r="E56">
        <f>228+20</f>
        <v>248</v>
      </c>
      <c r="F56" s="29">
        <f>27555+2315</f>
        <v>29870</v>
      </c>
      <c r="G56" s="30">
        <f>17210+6640</f>
        <v>23850</v>
      </c>
      <c r="H56" s="30">
        <f>G56-F56</f>
        <v>-6020</v>
      </c>
      <c r="I56" s="28" t="s">
        <v>3979</v>
      </c>
      <c r="K56" s="31"/>
      <c r="L56" s="31">
        <v>43634</v>
      </c>
      <c r="M56" s="28" t="s">
        <v>48</v>
      </c>
      <c r="O56" s="2">
        <v>33.5</v>
      </c>
      <c r="P56" s="32"/>
      <c r="Q56" s="138">
        <v>22800</v>
      </c>
      <c r="R56" s="2">
        <f>75.45*E56</f>
        <v>18711.600000000002</v>
      </c>
      <c r="S56" s="33">
        <f>-38*E56</f>
        <v>-9424</v>
      </c>
      <c r="T56" s="141">
        <f>X56*F56*0.005</f>
        <v>6474.792780293501</v>
      </c>
      <c r="U56" s="2">
        <f>E56*5</f>
        <v>1240</v>
      </c>
      <c r="W56" s="2">
        <v>0.3</v>
      </c>
      <c r="X56" s="2">
        <f>((O56*F56)+Q56+R56+S56+U56)/G56</f>
        <v>43.353148846960167</v>
      </c>
      <c r="Y56" s="2">
        <f>((O56*F56)+Q56+R56+S56+T56+U56)/G56+W56</f>
        <v>43.924628628104543</v>
      </c>
      <c r="Z56" s="3">
        <f>Y56*G56</f>
        <v>1047602.3927802934</v>
      </c>
      <c r="AA56" s="34">
        <v>43648</v>
      </c>
      <c r="AB56" s="3">
        <v>40.98</v>
      </c>
      <c r="AC56" s="35" t="s">
        <v>3984</v>
      </c>
      <c r="AF56" s="30"/>
    </row>
    <row r="57" spans="1:32" x14ac:dyDescent="0.25">
      <c r="A57" s="169"/>
      <c r="B57" s="27" t="s">
        <v>30</v>
      </c>
      <c r="C57" s="28" t="s">
        <v>31</v>
      </c>
      <c r="D57" s="28" t="s">
        <v>31</v>
      </c>
      <c r="E57" t="s">
        <v>32</v>
      </c>
      <c r="F57" s="29">
        <f>40962*0.4536</f>
        <v>18580.3632</v>
      </c>
      <c r="G57" s="196">
        <v>18584.099999999999</v>
      </c>
      <c r="H57" s="30">
        <f t="shared" ref="H57:H59" si="40">G57-F57</f>
        <v>3.736799999998766</v>
      </c>
      <c r="I57" s="28" t="s">
        <v>3671</v>
      </c>
      <c r="J57" s="52" t="s">
        <v>1690</v>
      </c>
      <c r="K57" s="31">
        <v>43634</v>
      </c>
      <c r="L57" s="31">
        <v>43635</v>
      </c>
      <c r="M57" s="28" t="s">
        <v>33</v>
      </c>
      <c r="N57" s="28" t="s">
        <v>3817</v>
      </c>
      <c r="O57" s="2"/>
      <c r="P57" s="32">
        <f>0.7762+0.105</f>
        <v>0.88119999999999998</v>
      </c>
      <c r="Q57" s="140">
        <v>26000</v>
      </c>
      <c r="R57" s="190">
        <v>9508</v>
      </c>
      <c r="S57" s="194">
        <v>19.785</v>
      </c>
      <c r="T57" s="141">
        <f t="shared" ref="T57:T58" si="41">X57*F57*0.005</f>
        <v>3759.4444903061785</v>
      </c>
      <c r="V57" s="2">
        <v>0.12</v>
      </c>
      <c r="W57" s="2">
        <v>0.3</v>
      </c>
      <c r="X57" s="2">
        <f>IF(O57&gt;0,O57,((P57*2.2046*S57)+(Q57+R57)/G57)+V57)</f>
        <v>40.46685686215411</v>
      </c>
      <c r="Y57" s="2">
        <f>IF(O57&gt;0,O57,((P57*2.2046*S57)+(Q57+R57+T57)/G57)+V57+W57)</f>
        <v>40.969150462075874</v>
      </c>
      <c r="Z57" s="3">
        <f>Y57*F57</f>
        <v>761221.69558081753</v>
      </c>
      <c r="AA57" s="34">
        <v>43627</v>
      </c>
      <c r="AB57" s="3">
        <v>41.09</v>
      </c>
      <c r="AC57" s="35"/>
    </row>
    <row r="58" spans="1:32" x14ac:dyDescent="0.25">
      <c r="A58" s="169"/>
      <c r="B58" s="27" t="s">
        <v>30</v>
      </c>
      <c r="C58" s="28" t="s">
        <v>31</v>
      </c>
      <c r="D58" s="28" t="s">
        <v>31</v>
      </c>
      <c r="E58" t="s">
        <v>32</v>
      </c>
      <c r="F58" s="29">
        <f>41319*0.4536</f>
        <v>18742.2984</v>
      </c>
      <c r="G58" s="196">
        <v>18725.509999999998</v>
      </c>
      <c r="H58" s="30">
        <f t="shared" si="40"/>
        <v>-16.788400000001275</v>
      </c>
      <c r="I58" s="28" t="s">
        <v>3672</v>
      </c>
      <c r="J58" s="52" t="s">
        <v>196</v>
      </c>
      <c r="K58" s="31">
        <v>43634</v>
      </c>
      <c r="L58" s="31">
        <v>43635</v>
      </c>
      <c r="M58" s="28" t="s">
        <v>33</v>
      </c>
      <c r="N58" s="28" t="s">
        <v>3817</v>
      </c>
      <c r="O58" s="2"/>
      <c r="P58" s="32">
        <f>0.7762+0.105</f>
        <v>0.88119999999999998</v>
      </c>
      <c r="Q58" s="140">
        <v>26000</v>
      </c>
      <c r="R58" s="190">
        <v>11808</v>
      </c>
      <c r="S58" s="194">
        <v>19.79</v>
      </c>
      <c r="T58" s="141">
        <f t="shared" si="41"/>
        <v>3803.2779597207614</v>
      </c>
      <c r="V58" s="2">
        <v>0.12</v>
      </c>
      <c r="W58" s="2">
        <v>0.3</v>
      </c>
      <c r="X58" s="2">
        <f>IF(O58&gt;0,O58,((P58*2.2046*S58)+(Q58+R58)/G58)+V58)</f>
        <v>40.584968594041392</v>
      </c>
      <c r="Y58" s="2">
        <f>IF(O58&gt;0,O58,((P58*2.2046*S58)+(Q58+R58+T58)/G58)+V58+W58)</f>
        <v>41.088075369756488</v>
      </c>
      <c r="Z58" s="3">
        <f>Y58*F58</f>
        <v>770084.96926166641</v>
      </c>
      <c r="AA58" s="34">
        <v>43627</v>
      </c>
      <c r="AB58" s="3">
        <v>39.03</v>
      </c>
      <c r="AC58" s="35"/>
    </row>
    <row r="59" spans="1:32" x14ac:dyDescent="0.25">
      <c r="A59" s="169"/>
      <c r="B59" s="27" t="s">
        <v>1805</v>
      </c>
      <c r="C59" s="28" t="s">
        <v>2450</v>
      </c>
      <c r="D59" s="28" t="s">
        <v>1806</v>
      </c>
      <c r="E59" t="s">
        <v>1910</v>
      </c>
      <c r="F59" s="29">
        <f>853+858+851+846+875</f>
        <v>4283</v>
      </c>
      <c r="G59" s="196">
        <v>4283</v>
      </c>
      <c r="H59" s="30">
        <f t="shared" si="40"/>
        <v>0</v>
      </c>
      <c r="I59" s="199" t="s">
        <v>4099</v>
      </c>
      <c r="J59" s="191"/>
      <c r="K59" s="201"/>
      <c r="L59" s="201">
        <v>43635</v>
      </c>
      <c r="M59" s="199" t="s">
        <v>33</v>
      </c>
      <c r="N59" s="199"/>
      <c r="O59" s="190">
        <v>19</v>
      </c>
      <c r="P59" s="202"/>
      <c r="Q59" s="190"/>
      <c r="R59" s="190"/>
      <c r="S59" s="194"/>
      <c r="T59" s="33"/>
      <c r="V59" s="2"/>
      <c r="W59" s="2"/>
      <c r="X59" s="2">
        <f>IF(O59&gt;0,O59,((P59*2.2046*S59)+(Q59+R59)/G59)+V59)</f>
        <v>19</v>
      </c>
      <c r="Y59" s="2">
        <f>IF(O59&gt;0,O59,((P59*2.2046*S59)+(Q59+R59+T59)/G59)+V59+W59)</f>
        <v>19</v>
      </c>
      <c r="Z59" s="3">
        <f>Y59*F59</f>
        <v>81377</v>
      </c>
      <c r="AA59" s="34">
        <v>43642</v>
      </c>
      <c r="AB59" s="3"/>
      <c r="AC59" s="35"/>
    </row>
    <row r="60" spans="1:32" x14ac:dyDescent="0.25">
      <c r="A60" s="169"/>
      <c r="B60" s="27" t="s">
        <v>26</v>
      </c>
      <c r="C60" t="s">
        <v>27</v>
      </c>
      <c r="D60" s="28" t="s">
        <v>2000</v>
      </c>
      <c r="E60">
        <f>230+20</f>
        <v>250</v>
      </c>
      <c r="F60" s="29">
        <f>28915+2475</f>
        <v>31390</v>
      </c>
      <c r="G60" s="30">
        <f>18070+7070</f>
        <v>25140</v>
      </c>
      <c r="H60" s="30">
        <f>G60-F60</f>
        <v>-6250</v>
      </c>
      <c r="I60" s="28" t="s">
        <v>3989</v>
      </c>
      <c r="K60" s="159">
        <v>249</v>
      </c>
      <c r="L60" s="31">
        <v>43635</v>
      </c>
      <c r="M60" s="28" t="s">
        <v>33</v>
      </c>
      <c r="O60" s="2">
        <v>33.5</v>
      </c>
      <c r="P60" s="32"/>
      <c r="Q60" s="140">
        <v>22800</v>
      </c>
      <c r="R60" s="2">
        <f>75.45*E60</f>
        <v>18862.5</v>
      </c>
      <c r="S60" s="33">
        <f>-38*E60</f>
        <v>-9500</v>
      </c>
      <c r="T60" s="141">
        <f>X60*F60*0.005</f>
        <v>6773.5568267700883</v>
      </c>
      <c r="U60" s="2">
        <f>E60*5</f>
        <v>1250</v>
      </c>
      <c r="W60" s="2">
        <v>0.3</v>
      </c>
      <c r="X60" s="2">
        <f>((O60*F60)+Q60+R60+S60+U60)/G60</f>
        <v>43.157418456642802</v>
      </c>
      <c r="Y60" s="2">
        <f>((O60*F60)+Q60+R60+S60+T60+U60)/G60+W60</f>
        <v>43.726851902417266</v>
      </c>
      <c r="Z60" s="3">
        <f>Y60*G60</f>
        <v>1099293.0568267701</v>
      </c>
      <c r="AA60" s="34">
        <v>43648</v>
      </c>
      <c r="AB60" s="3">
        <v>39.51</v>
      </c>
      <c r="AC60" s="35" t="s">
        <v>3990</v>
      </c>
    </row>
    <row r="61" spans="1:32" x14ac:dyDescent="0.25">
      <c r="A61" s="169"/>
      <c r="B61" s="27" t="s">
        <v>30</v>
      </c>
      <c r="C61" s="28" t="s">
        <v>40</v>
      </c>
      <c r="D61" s="28" t="s">
        <v>40</v>
      </c>
      <c r="E61" t="s">
        <v>37</v>
      </c>
      <c r="F61" s="29">
        <f>42723*0.4536</f>
        <v>19379.1528</v>
      </c>
      <c r="G61" s="196">
        <v>19376.34</v>
      </c>
      <c r="H61" s="30">
        <f>G61-F61</f>
        <v>-2.8127999999996973</v>
      </c>
      <c r="I61" t="s">
        <v>3821</v>
      </c>
      <c r="J61" s="52" t="s">
        <v>196</v>
      </c>
      <c r="K61" s="31">
        <v>43635</v>
      </c>
      <c r="L61" s="31">
        <v>43636</v>
      </c>
      <c r="M61" s="28" t="s">
        <v>41</v>
      </c>
      <c r="N61" s="28" t="s">
        <v>3818</v>
      </c>
      <c r="O61" s="2"/>
      <c r="P61" s="32">
        <f>0.7602+0.105</f>
        <v>0.86519999999999997</v>
      </c>
      <c r="Q61" s="140">
        <v>26000</v>
      </c>
      <c r="R61" s="190">
        <v>9508</v>
      </c>
      <c r="S61" s="194">
        <v>19.175000000000001</v>
      </c>
      <c r="T61" s="141">
        <f>X61*F61*0.005</f>
        <v>3733.1342218321756</v>
      </c>
      <c r="V61" s="2">
        <v>0.12</v>
      </c>
      <c r="W61" s="2">
        <v>0.3</v>
      </c>
      <c r="X61" s="2">
        <f>IF(O61&gt;0,O61,((P61*2.2046*S61)+(Q61+R61)/G61)+V61)</f>
        <v>38.527321192618651</v>
      </c>
      <c r="Y61" s="2">
        <f>IF(O61&gt;0,O61,((P61*2.2046*S61)+(Q61+R61+T61)/G61)+V61+W61)</f>
        <v>39.019985763008727</v>
      </c>
      <c r="Z61" s="3">
        <f>Y61*F61</f>
        <v>756174.26635517064</v>
      </c>
      <c r="AA61" s="34">
        <v>43629</v>
      </c>
      <c r="AB61" s="3">
        <v>39.43</v>
      </c>
      <c r="AC61" s="35"/>
    </row>
    <row r="62" spans="1:32" x14ac:dyDescent="0.25">
      <c r="A62" s="169"/>
      <c r="B62" s="27" t="s">
        <v>30</v>
      </c>
      <c r="C62" s="28" t="s">
        <v>35</v>
      </c>
      <c r="D62" s="28" t="s">
        <v>36</v>
      </c>
      <c r="E62" t="s">
        <v>37</v>
      </c>
      <c r="F62" s="29">
        <f>41703*0.4536</f>
        <v>18916.480800000001</v>
      </c>
      <c r="G62" s="196">
        <v>18829.27</v>
      </c>
      <c r="H62" s="30">
        <f>G62-F62</f>
        <v>-87.210800000000745</v>
      </c>
      <c r="I62" t="s">
        <v>3815</v>
      </c>
      <c r="J62" s="52" t="s">
        <v>196</v>
      </c>
      <c r="K62" s="31">
        <v>43635</v>
      </c>
      <c r="L62" s="31">
        <v>43636</v>
      </c>
      <c r="M62" s="28" t="s">
        <v>41</v>
      </c>
      <c r="N62" s="28" t="s">
        <v>3940</v>
      </c>
      <c r="O62" s="2"/>
      <c r="P62" s="32">
        <f>0.7602+0.1</f>
        <v>0.86019999999999996</v>
      </c>
      <c r="Q62" s="140">
        <v>26000</v>
      </c>
      <c r="R62" s="190">
        <v>9508</v>
      </c>
      <c r="S62" s="194">
        <v>19.219000000000001</v>
      </c>
      <c r="T62" s="141">
        <f>X62*F62*0.005</f>
        <v>3636.9431123596873</v>
      </c>
      <c r="V62" s="2">
        <v>0.12</v>
      </c>
      <c r="W62" s="2">
        <v>0.3</v>
      </c>
      <c r="X62" s="2">
        <f>IF(O62&gt;0,O62,((P62*2.2046*S62)+(Q62+R62)/G62)+V62)</f>
        <v>38.452639799255756</v>
      </c>
      <c r="Y62" s="2">
        <f>IF(O62&gt;0,O62,((P62*2.2046*S62)+(Q62+R62+T62)/G62)+V62+W62)</f>
        <v>38.945793496258325</v>
      </c>
      <c r="Z62" s="3">
        <f>Y62*F62</f>
        <v>736717.35491273552</v>
      </c>
      <c r="AA62" s="34">
        <v>43636</v>
      </c>
      <c r="AB62" s="3">
        <v>36.549999999999997</v>
      </c>
      <c r="AC62" s="35"/>
    </row>
    <row r="63" spans="1:32" x14ac:dyDescent="0.25">
      <c r="A63" s="169"/>
      <c r="B63" s="27" t="s">
        <v>26</v>
      </c>
      <c r="C63" t="s">
        <v>27</v>
      </c>
      <c r="D63" s="28" t="s">
        <v>1682</v>
      </c>
      <c r="E63">
        <v>229</v>
      </c>
      <c r="F63" s="29">
        <v>28300</v>
      </c>
      <c r="G63" s="30">
        <v>24710</v>
      </c>
      <c r="H63" s="30">
        <f t="shared" ref="H63:H64" si="42">G63-F63</f>
        <v>-3590</v>
      </c>
      <c r="I63" s="28" t="s">
        <v>3996</v>
      </c>
      <c r="J63">
        <v>249</v>
      </c>
      <c r="K63" s="31"/>
      <c r="L63" s="31">
        <v>43636</v>
      </c>
      <c r="M63" s="28" t="s">
        <v>41</v>
      </c>
      <c r="O63" s="2">
        <v>33.5</v>
      </c>
      <c r="P63" s="32"/>
      <c r="Q63" s="138">
        <v>22800</v>
      </c>
      <c r="R63" s="2">
        <f t="shared" ref="R63:R64" si="43">75.45*E63</f>
        <v>17278.05</v>
      </c>
      <c r="S63" s="33">
        <f>-38*E63</f>
        <v>-8702</v>
      </c>
      <c r="T63" s="141">
        <f>X63*F63*0.0045</f>
        <v>5053.6512835896401</v>
      </c>
      <c r="U63" s="2">
        <f>E63*5</f>
        <v>1145</v>
      </c>
      <c r="W63" s="2">
        <v>0.3</v>
      </c>
      <c r="X63" s="2">
        <f t="shared" ref="X63" si="44">((O63*F63)+Q63+R63+S63+U63)/G63</f>
        <v>39.683166734115744</v>
      </c>
      <c r="Y63" s="2">
        <f>((O63*F63)+Q63+R63+S63+T63+U63)/G63+W63</f>
        <v>40.18768519965964</v>
      </c>
      <c r="Z63" s="3">
        <f>Y63*G63</f>
        <v>993037.7012835897</v>
      </c>
      <c r="AA63" s="34">
        <v>43649</v>
      </c>
      <c r="AB63" s="235">
        <f>SUM(AB55:AB62)/7</f>
        <v>39.442857142857143</v>
      </c>
      <c r="AC63" s="35"/>
    </row>
    <row r="64" spans="1:32" x14ac:dyDescent="0.25">
      <c r="A64" s="169"/>
      <c r="B64" s="27" t="s">
        <v>26</v>
      </c>
      <c r="C64" t="s">
        <v>27</v>
      </c>
      <c r="D64" s="28" t="s">
        <v>1871</v>
      </c>
      <c r="E64">
        <v>150</v>
      </c>
      <c r="F64" s="29">
        <v>16735</v>
      </c>
      <c r="G64" s="30">
        <v>11720</v>
      </c>
      <c r="H64" s="30">
        <f t="shared" si="42"/>
        <v>-5015</v>
      </c>
      <c r="I64" s="28" t="s">
        <v>3997</v>
      </c>
      <c r="J64">
        <v>131</v>
      </c>
      <c r="K64" s="31"/>
      <c r="L64" s="31">
        <v>43636</v>
      </c>
      <c r="M64" s="28" t="s">
        <v>41</v>
      </c>
      <c r="O64" s="2">
        <v>33.5</v>
      </c>
      <c r="P64" s="32"/>
      <c r="Q64" s="140">
        <v>18100</v>
      </c>
      <c r="R64" s="2">
        <f t="shared" si="43"/>
        <v>11317.5</v>
      </c>
      <c r="S64" s="33">
        <f>-38*E64</f>
        <v>-5700</v>
      </c>
      <c r="T64" s="141">
        <f>X64*F64*0.0045</f>
        <v>3759.5277453071672</v>
      </c>
      <c r="U64" s="2">
        <f>E64*5</f>
        <v>750</v>
      </c>
      <c r="W64" s="2">
        <v>0.3</v>
      </c>
      <c r="X64" s="2">
        <f>((O64*F64)+Q64+R64+S64+U64)/G64</f>
        <v>49.922354948805463</v>
      </c>
      <c r="Y64" s="2">
        <f>((O64*F64)+Q64+R64+S64+T64+U64)/G64+W64</f>
        <v>50.543133766664432</v>
      </c>
      <c r="Z64" s="3">
        <f>Y64*G64</f>
        <v>592365.52774530719</v>
      </c>
      <c r="AA64" s="34">
        <v>43649</v>
      </c>
      <c r="AB64" s="3"/>
      <c r="AC64" s="35" t="s">
        <v>4029</v>
      </c>
    </row>
    <row r="65" spans="1:32" x14ac:dyDescent="0.25">
      <c r="A65" s="169"/>
      <c r="B65" s="27" t="s">
        <v>30</v>
      </c>
      <c r="C65" s="28" t="s">
        <v>1790</v>
      </c>
      <c r="D65" s="28" t="s">
        <v>1790</v>
      </c>
      <c r="E65" t="s">
        <v>32</v>
      </c>
      <c r="F65" s="29">
        <f>41492*0.4536</f>
        <v>18820.771199999999</v>
      </c>
      <c r="G65" s="196">
        <v>18838.86</v>
      </c>
      <c r="H65" s="30">
        <f>G65-F65</f>
        <v>18.088800000001356</v>
      </c>
      <c r="I65" s="28" t="s">
        <v>3822</v>
      </c>
      <c r="J65" s="52" t="s">
        <v>196</v>
      </c>
      <c r="K65" s="31">
        <v>43636</v>
      </c>
      <c r="L65" s="31">
        <v>43637</v>
      </c>
      <c r="M65" s="28" t="s">
        <v>45</v>
      </c>
      <c r="N65" s="28" t="s">
        <v>3819</v>
      </c>
      <c r="O65" s="2"/>
      <c r="P65" s="32">
        <f>0.7602+0.095</f>
        <v>0.85519999999999996</v>
      </c>
      <c r="Q65" s="140">
        <v>26000</v>
      </c>
      <c r="R65" s="190">
        <v>11808</v>
      </c>
      <c r="S65" s="194">
        <v>19.13</v>
      </c>
      <c r="T65" s="141">
        <f>X65*F65*0.005</f>
        <v>3594.2138351216454</v>
      </c>
      <c r="V65" s="2">
        <v>0.12</v>
      </c>
      <c r="W65" s="2">
        <v>0.3</v>
      </c>
      <c r="X65" s="2">
        <f>IF(O65&gt;0,O65,((P65*2.2046*S65)+(Q65+R65)/G65)+V65)</f>
        <v>38.194118582363359</v>
      </c>
      <c r="Y65" s="2">
        <f>IF(O65&gt;0,O65,((P65*2.2046*S65)+(Q65+R65+T65)/G65)+V65+W65)</f>
        <v>38.684905808083045</v>
      </c>
      <c r="Z65" s="3">
        <f>Y65*F65</f>
        <v>728079.76110748202</v>
      </c>
      <c r="AA65" s="34">
        <v>43637</v>
      </c>
      <c r="AB65" s="73"/>
      <c r="AC65" s="35"/>
    </row>
    <row r="66" spans="1:32" x14ac:dyDescent="0.25">
      <c r="A66" s="169"/>
      <c r="B66" s="27" t="s">
        <v>26</v>
      </c>
      <c r="C66" t="s">
        <v>27</v>
      </c>
      <c r="D66" s="28" t="s">
        <v>1682</v>
      </c>
      <c r="E66">
        <v>230</v>
      </c>
      <c r="F66" s="29">
        <v>28985</v>
      </c>
      <c r="G66" s="30">
        <v>25160</v>
      </c>
      <c r="H66" s="30">
        <f t="shared" ref="H66:H68" si="45">G66-F66</f>
        <v>-3825</v>
      </c>
      <c r="I66" s="28" t="s">
        <v>4018</v>
      </c>
      <c r="J66">
        <v>250</v>
      </c>
      <c r="K66" s="31"/>
      <c r="L66" s="31">
        <v>43637</v>
      </c>
      <c r="M66" s="28" t="s">
        <v>45</v>
      </c>
      <c r="O66" s="2">
        <v>33.5</v>
      </c>
      <c r="P66" s="32"/>
      <c r="Q66" s="138">
        <v>22800</v>
      </c>
      <c r="R66" s="2">
        <f t="shared" ref="R66:R67" si="46">75.45*E66</f>
        <v>17353.5</v>
      </c>
      <c r="S66" s="33">
        <f>-38*E66</f>
        <v>-8740</v>
      </c>
      <c r="T66" s="141">
        <f>X66*F66*0.0045</f>
        <v>5202.582278716216</v>
      </c>
      <c r="U66" s="2">
        <f>E66*5</f>
        <v>1150</v>
      </c>
      <c r="W66" s="2">
        <v>0.3</v>
      </c>
      <c r="X66" s="2">
        <f>((O66*F66)+Q66+R66+S66+U66)/G66</f>
        <v>39.887162162162163</v>
      </c>
      <c r="Y66" s="2">
        <f>((O66*F66)+Q66+R66+S66+T66+U66)/G66+W66</f>
        <v>40.393942061952153</v>
      </c>
      <c r="Z66" s="3">
        <f>Y66*G66</f>
        <v>1016311.5822787161</v>
      </c>
      <c r="AA66" s="34">
        <v>43650</v>
      </c>
      <c r="AB66" s="3"/>
      <c r="AC66" s="35"/>
    </row>
    <row r="67" spans="1:32" x14ac:dyDescent="0.25">
      <c r="A67" s="169"/>
      <c r="B67" s="27" t="s">
        <v>26</v>
      </c>
      <c r="C67" t="s">
        <v>27</v>
      </c>
      <c r="D67" s="28" t="s">
        <v>1829</v>
      </c>
      <c r="E67">
        <v>150</v>
      </c>
      <c r="F67" s="29">
        <v>16415</v>
      </c>
      <c r="G67" s="30">
        <v>11060</v>
      </c>
      <c r="H67" s="30">
        <f t="shared" si="45"/>
        <v>-5355</v>
      </c>
      <c r="I67" s="28" t="s">
        <v>4019</v>
      </c>
      <c r="J67">
        <v>130</v>
      </c>
      <c r="K67" s="31"/>
      <c r="L67" s="31">
        <v>43637</v>
      </c>
      <c r="M67" s="28" t="s">
        <v>45</v>
      </c>
      <c r="O67" s="2">
        <v>33.5</v>
      </c>
      <c r="P67" s="32"/>
      <c r="Q67" s="140">
        <v>18100</v>
      </c>
      <c r="R67" s="2">
        <f t="shared" si="46"/>
        <v>11317.5</v>
      </c>
      <c r="S67" s="33">
        <f>-38*E67</f>
        <v>-5700</v>
      </c>
      <c r="T67" s="141">
        <f>X67*F67*0.0045</f>
        <v>3836.1009018987343</v>
      </c>
      <c r="U67" s="2">
        <f>E67*5</f>
        <v>750</v>
      </c>
      <c r="W67" s="2">
        <v>0.3</v>
      </c>
      <c r="X67" s="2">
        <f>((O67*F67)+Q67+R67+S67+U67)/G67</f>
        <v>51.93218806509946</v>
      </c>
      <c r="Y67" s="2">
        <f>((O67*F67)+Q67+R67+S67+T67+U67)/G67+W67</f>
        <v>52.579032631274742</v>
      </c>
      <c r="Z67" s="3">
        <f>Y67*G67</f>
        <v>581524.1009018987</v>
      </c>
      <c r="AA67" s="34">
        <v>43650</v>
      </c>
      <c r="AB67" s="3"/>
      <c r="AC67" s="35" t="s">
        <v>4030</v>
      </c>
    </row>
    <row r="68" spans="1:32" x14ac:dyDescent="0.25">
      <c r="A68" s="169"/>
      <c r="B68" s="239" t="s">
        <v>30</v>
      </c>
      <c r="C68" s="46" t="s">
        <v>40</v>
      </c>
      <c r="D68" s="240" t="s">
        <v>40</v>
      </c>
      <c r="E68" s="46" t="s">
        <v>37</v>
      </c>
      <c r="F68" s="241">
        <v>19000</v>
      </c>
      <c r="G68" s="165">
        <v>19000</v>
      </c>
      <c r="H68" s="165">
        <f t="shared" si="45"/>
        <v>0</v>
      </c>
      <c r="I68" s="240" t="s">
        <v>3823</v>
      </c>
      <c r="J68" s="48" t="s">
        <v>230</v>
      </c>
      <c r="K68" s="242">
        <v>43637</v>
      </c>
      <c r="L68" s="242">
        <v>43638</v>
      </c>
      <c r="M68" s="240" t="s">
        <v>46</v>
      </c>
      <c r="N68" s="240" t="s">
        <v>3820</v>
      </c>
      <c r="O68" s="243"/>
      <c r="P68" s="244">
        <f>0.6959+0.105</f>
        <v>0.80089999999999995</v>
      </c>
      <c r="Q68" s="243">
        <v>26000</v>
      </c>
      <c r="R68" s="243">
        <v>12000</v>
      </c>
      <c r="S68" s="245">
        <v>19.225000000000001</v>
      </c>
      <c r="T68" s="246">
        <f>X68*F68*0.005</f>
        <v>3426.1648436924997</v>
      </c>
      <c r="U68" s="46"/>
      <c r="V68" s="243">
        <v>0.12</v>
      </c>
      <c r="W68" s="243">
        <v>0.3</v>
      </c>
      <c r="X68" s="243">
        <f>IF(O68&gt;0,O68,((P68*2.2046*S68)+(Q68+R68)/G68)+V68)</f>
        <v>36.064893091499997</v>
      </c>
      <c r="Y68" s="243">
        <f>IF(O68&gt;0,O68,((P68*2.2046*S68)+(Q68+R68+T68)/G68)+V68+W68)</f>
        <v>36.545217556957496</v>
      </c>
      <c r="Z68" s="83">
        <f>Y68*F68</f>
        <v>694359.13358219247</v>
      </c>
      <c r="AA68" s="48" t="s">
        <v>230</v>
      </c>
      <c r="AB68" s="3"/>
      <c r="AC68" s="35"/>
    </row>
    <row r="69" spans="1:32" ht="15.75" thickBot="1" x14ac:dyDescent="0.3">
      <c r="A69" s="170"/>
      <c r="B69" s="41"/>
      <c r="C69" s="4"/>
      <c r="D69" s="4"/>
      <c r="E69" s="4"/>
      <c r="F69" s="42"/>
      <c r="G69" s="42"/>
      <c r="H69" s="42"/>
      <c r="I69" s="7"/>
      <c r="J69" s="4"/>
      <c r="K69" s="8"/>
      <c r="L69" s="8"/>
      <c r="M69" s="4"/>
      <c r="N69" s="4"/>
      <c r="O69" s="9"/>
      <c r="P69" s="10"/>
      <c r="Q69" s="9"/>
      <c r="R69" s="9"/>
      <c r="S69" s="9"/>
      <c r="T69" s="9"/>
      <c r="U69" s="9"/>
      <c r="V69" s="9"/>
      <c r="W69" s="9"/>
      <c r="X69" s="9"/>
      <c r="Y69" s="9"/>
      <c r="Z69" s="13"/>
      <c r="AA69" s="43"/>
      <c r="AB69" s="3"/>
      <c r="AC69" s="35"/>
    </row>
    <row r="70" spans="1:32" x14ac:dyDescent="0.25">
      <c r="A70" s="146"/>
      <c r="B70" s="14" t="s">
        <v>26</v>
      </c>
      <c r="C70" s="14" t="s">
        <v>27</v>
      </c>
      <c r="D70" s="15" t="s">
        <v>4023</v>
      </c>
      <c r="E70" s="14">
        <f>200+50</f>
        <v>250</v>
      </c>
      <c r="F70" s="16">
        <f>22050+5705</f>
        <v>27755</v>
      </c>
      <c r="G70" s="17">
        <f>15420+6160</f>
        <v>21580</v>
      </c>
      <c r="H70" s="30">
        <f t="shared" ref="H70:H72" si="47">G70-F70</f>
        <v>-6175</v>
      </c>
      <c r="I70" s="19" t="s">
        <v>4024</v>
      </c>
      <c r="J70" s="14"/>
      <c r="K70" s="20"/>
      <c r="L70" s="20">
        <v>43639</v>
      </c>
      <c r="M70" s="15" t="s">
        <v>28</v>
      </c>
      <c r="N70" s="14"/>
      <c r="O70" s="21">
        <v>33.5</v>
      </c>
      <c r="P70" s="22"/>
      <c r="Q70" s="138">
        <v>22800</v>
      </c>
      <c r="R70" s="2">
        <f t="shared" ref="R70:R71" si="48">75.45*E70</f>
        <v>18862.5</v>
      </c>
      <c r="S70" s="33">
        <f t="shared" ref="S70:S71" si="49">-38*E70</f>
        <v>-9500</v>
      </c>
      <c r="T70" s="141">
        <f t="shared" ref="T70:T71" si="50">X70*F70*0.005</f>
        <v>6194.104442771084</v>
      </c>
      <c r="U70" s="2">
        <f t="shared" ref="U70:U71" si="51">E70*5</f>
        <v>1250</v>
      </c>
      <c r="V70" s="14"/>
      <c r="W70" s="21">
        <v>0.3</v>
      </c>
      <c r="X70" s="21">
        <f>((O70*F70)+Q70+R70+S70+U70)/G70</f>
        <v>44.634151992585728</v>
      </c>
      <c r="Y70" s="24">
        <f>((O70*F70)+Q70+R70+S70+T70+U70)/G70+W70</f>
        <v>45.221181855550093</v>
      </c>
      <c r="Z70" s="24">
        <f>Y70*G70</f>
        <v>975873.10444277094</v>
      </c>
      <c r="AA70" s="25">
        <v>43654</v>
      </c>
      <c r="AB70" s="3"/>
      <c r="AC70" s="3" t="s">
        <v>4031</v>
      </c>
    </row>
    <row r="71" spans="1:32" x14ac:dyDescent="0.25">
      <c r="A71" s="147"/>
      <c r="B71" s="27" t="s">
        <v>26</v>
      </c>
      <c r="C71" t="s">
        <v>27</v>
      </c>
      <c r="D71" s="28" t="s">
        <v>4027</v>
      </c>
      <c r="E71">
        <f>200+49</f>
        <v>249</v>
      </c>
      <c r="F71" s="29">
        <f>21620+5885</f>
        <v>27505</v>
      </c>
      <c r="G71" s="196">
        <f>15460+5850</f>
        <v>21310</v>
      </c>
      <c r="H71" s="30">
        <f t="shared" si="47"/>
        <v>-6195</v>
      </c>
      <c r="I71" s="28" t="s">
        <v>4028</v>
      </c>
      <c r="K71" s="55">
        <v>248</v>
      </c>
      <c r="L71" s="31">
        <v>43640</v>
      </c>
      <c r="M71" s="28" t="s">
        <v>29</v>
      </c>
      <c r="O71" s="2">
        <v>33.5</v>
      </c>
      <c r="P71" s="32"/>
      <c r="Q71" s="138">
        <v>22800</v>
      </c>
      <c r="R71" s="2">
        <f t="shared" si="48"/>
        <v>18787.05</v>
      </c>
      <c r="S71" s="33">
        <f t="shared" si="49"/>
        <v>-9462</v>
      </c>
      <c r="T71" s="141">
        <f t="shared" si="50"/>
        <v>6161.7624501994369</v>
      </c>
      <c r="U71" s="2">
        <f t="shared" si="51"/>
        <v>1245</v>
      </c>
      <c r="W71" s="2">
        <v>0.3</v>
      </c>
      <c r="X71" s="2">
        <f>((O71*F71)+Q71+R71+S71+U71)/G71</f>
        <v>44.804671515720322</v>
      </c>
      <c r="Y71" s="2">
        <f>((O71*F71)+Q71+R71+S71+T71+U71)/G71+W71</f>
        <v>45.393820387151543</v>
      </c>
      <c r="Z71" s="3">
        <f>Y71*G71</f>
        <v>967342.31245019939</v>
      </c>
      <c r="AA71" s="34">
        <v>43654</v>
      </c>
      <c r="AB71" s="3"/>
      <c r="AC71" s="35" t="s">
        <v>4032</v>
      </c>
    </row>
    <row r="72" spans="1:32" x14ac:dyDescent="0.25">
      <c r="A72" s="147"/>
      <c r="B72" s="27" t="s">
        <v>30</v>
      </c>
      <c r="C72" s="28" t="s">
        <v>1790</v>
      </c>
      <c r="D72" s="28" t="s">
        <v>1790</v>
      </c>
      <c r="E72" t="s">
        <v>32</v>
      </c>
      <c r="F72" s="29">
        <f>41981*0.4536</f>
        <v>19042.581600000001</v>
      </c>
      <c r="G72" s="196">
        <v>19069.310000000001</v>
      </c>
      <c r="H72" s="30">
        <f t="shared" si="47"/>
        <v>26.728399999999965</v>
      </c>
      <c r="I72" s="28" t="s">
        <v>3968</v>
      </c>
      <c r="J72" s="52" t="s">
        <v>196</v>
      </c>
      <c r="K72" s="31">
        <v>43640</v>
      </c>
      <c r="L72" s="31">
        <v>43641</v>
      </c>
      <c r="M72" s="28" t="s">
        <v>48</v>
      </c>
      <c r="N72" s="28" t="s">
        <v>4033</v>
      </c>
      <c r="O72" s="2"/>
      <c r="P72" s="32">
        <f>0.6481+0.095</f>
        <v>0.74309999999999998</v>
      </c>
      <c r="Q72" s="140">
        <v>26000</v>
      </c>
      <c r="R72" s="190">
        <v>10808</v>
      </c>
      <c r="S72" s="194">
        <v>19.221</v>
      </c>
      <c r="T72" s="141">
        <f t="shared" ref="T72" si="52">X72*F72*0.005</f>
        <v>3193.3266318906922</v>
      </c>
      <c r="V72" s="2">
        <v>0.12</v>
      </c>
      <c r="W72" s="2">
        <v>0.3</v>
      </c>
      <c r="X72" s="2">
        <f>IF(O72&gt;0,O72,((P72*2.2046*S72)+(Q72+R72)/G72)+V72)</f>
        <v>33.538799507002679</v>
      </c>
      <c r="Y72" s="2">
        <f>IF(O72&gt;0,O72,((P72*2.2046*S72)+(Q72+R72+T72)/G72)+V72+W72)</f>
        <v>34.006258457111031</v>
      </c>
      <c r="Z72" s="3">
        <f>Y72*F72</f>
        <v>647566.951580227</v>
      </c>
      <c r="AA72" s="34">
        <v>43640</v>
      </c>
      <c r="AB72" s="3">
        <v>34.01</v>
      </c>
      <c r="AC72" s="35"/>
    </row>
    <row r="73" spans="1:32" x14ac:dyDescent="0.25">
      <c r="A73" s="147"/>
      <c r="B73" s="27" t="s">
        <v>30</v>
      </c>
      <c r="C73" s="28" t="s">
        <v>35</v>
      </c>
      <c r="D73" s="28" t="s">
        <v>36</v>
      </c>
      <c r="E73" t="s">
        <v>37</v>
      </c>
      <c r="F73" s="29">
        <f>41730*0.4536</f>
        <v>18928.727999999999</v>
      </c>
      <c r="G73" s="196">
        <v>18843.57</v>
      </c>
      <c r="H73" s="30">
        <f>G73-F73</f>
        <v>-85.157999999999447</v>
      </c>
      <c r="I73" t="s">
        <v>3969</v>
      </c>
      <c r="J73" s="52" t="s">
        <v>196</v>
      </c>
      <c r="K73" s="31">
        <v>43640</v>
      </c>
      <c r="L73" s="31">
        <v>43641</v>
      </c>
      <c r="M73" s="28" t="s">
        <v>48</v>
      </c>
      <c r="N73" s="28" t="s">
        <v>4034</v>
      </c>
      <c r="O73" s="2"/>
      <c r="P73" s="32">
        <f>0.6481+0.1</f>
        <v>0.74809999999999999</v>
      </c>
      <c r="Q73" s="140">
        <v>26000</v>
      </c>
      <c r="R73" s="190">
        <v>11808</v>
      </c>
      <c r="S73" s="194">
        <v>19.22</v>
      </c>
      <c r="T73" s="141">
        <f>X73*F73*0.005</f>
        <v>3201.3414975179662</v>
      </c>
      <c r="V73" s="2">
        <v>0.12</v>
      </c>
      <c r="W73" s="2">
        <v>0.3</v>
      </c>
      <c r="X73" s="2">
        <f>IF(O73&gt;0,O73,((P73*2.2046*S73)+(Q73+R73)/G73)+V73)</f>
        <v>33.825215276144981</v>
      </c>
      <c r="Y73" s="2">
        <f>IF(O73&gt;0,O73,((P73*2.2046*S73)+(Q73+R73+T73)/G73)+V73+W73)</f>
        <v>34.295105668332766</v>
      </c>
      <c r="Z73" s="3">
        <f>Y73*F73</f>
        <v>649162.72692712909</v>
      </c>
      <c r="AA73" s="34">
        <v>43640</v>
      </c>
      <c r="AB73" s="3">
        <v>34.29</v>
      </c>
      <c r="AC73" s="35"/>
    </row>
    <row r="74" spans="1:32" x14ac:dyDescent="0.25">
      <c r="A74" s="147"/>
      <c r="B74" s="27" t="s">
        <v>26</v>
      </c>
      <c r="C74" t="s">
        <v>27</v>
      </c>
      <c r="D74" s="28" t="s">
        <v>1871</v>
      </c>
      <c r="E74">
        <f>201+50</f>
        <v>251</v>
      </c>
      <c r="F74" s="29">
        <f>23240+5585</f>
        <v>28825</v>
      </c>
      <c r="G74" s="30">
        <f>16010+6140</f>
        <v>22150</v>
      </c>
      <c r="H74" s="30">
        <f>G74-F74</f>
        <v>-6675</v>
      </c>
      <c r="I74" t="s">
        <v>4042</v>
      </c>
      <c r="K74" s="31"/>
      <c r="L74" s="31">
        <v>43641</v>
      </c>
      <c r="M74" s="28" t="s">
        <v>48</v>
      </c>
      <c r="O74" s="2">
        <v>33.5</v>
      </c>
      <c r="P74" s="32"/>
      <c r="Q74" s="140">
        <v>22800</v>
      </c>
      <c r="R74" s="2">
        <f>75.45*E74</f>
        <v>18937.95</v>
      </c>
      <c r="S74" s="33">
        <f>-38*E74</f>
        <v>-9538</v>
      </c>
      <c r="T74" s="141">
        <f>X74*F74*0.005</f>
        <v>6500.8667880925505</v>
      </c>
      <c r="U74" s="2">
        <f>E74*5</f>
        <v>1255</v>
      </c>
      <c r="W74" s="2">
        <v>0.3</v>
      </c>
      <c r="X74" s="2">
        <f>((O74*F74)+Q74+R74+S74+U74)/G74</f>
        <v>45.105753950338595</v>
      </c>
      <c r="Y74" s="2">
        <f>((O74*F74)+Q74+R74+S74+T74+U74)/G74+W74</f>
        <v>45.699246807588821</v>
      </c>
      <c r="Z74" s="3">
        <f>Y74*G74</f>
        <v>1012238.3167880924</v>
      </c>
      <c r="AA74" s="34">
        <v>43655</v>
      </c>
      <c r="AB74" s="3">
        <v>34.28</v>
      </c>
      <c r="AC74" s="35" t="s">
        <v>4049</v>
      </c>
      <c r="AD74" s="55" t="s">
        <v>4097</v>
      </c>
      <c r="AF74" s="30"/>
    </row>
    <row r="75" spans="1:32" x14ac:dyDescent="0.25">
      <c r="A75" s="147"/>
      <c r="B75" s="27" t="s">
        <v>30</v>
      </c>
      <c r="C75" s="28" t="s">
        <v>40</v>
      </c>
      <c r="D75" s="28" t="s">
        <v>40</v>
      </c>
      <c r="E75" t="s">
        <v>37</v>
      </c>
      <c r="F75" s="29">
        <f>41897*0.4536</f>
        <v>19004.479200000002</v>
      </c>
      <c r="G75" s="196">
        <v>18976.169999999998</v>
      </c>
      <c r="H75" s="30">
        <f t="shared" ref="H75:H77" si="53">G75-F75</f>
        <v>-28.309200000003329</v>
      </c>
      <c r="I75" s="28" t="s">
        <v>3970</v>
      </c>
      <c r="J75" s="52" t="s">
        <v>1690</v>
      </c>
      <c r="K75" s="31">
        <v>43641</v>
      </c>
      <c r="L75" s="31">
        <v>43642</v>
      </c>
      <c r="M75" s="28" t="s">
        <v>33</v>
      </c>
      <c r="N75" s="28" t="s">
        <v>4035</v>
      </c>
      <c r="O75" s="2"/>
      <c r="P75" s="32">
        <f>0.6481+0.105</f>
        <v>0.75309999999999999</v>
      </c>
      <c r="Q75" s="140">
        <v>26000</v>
      </c>
      <c r="R75" s="190">
        <v>9508</v>
      </c>
      <c r="S75" s="194">
        <v>19.169</v>
      </c>
      <c r="T75" s="141">
        <f t="shared" ref="T75" si="54">X75*F75*0.005</f>
        <v>3213.3892747774667</v>
      </c>
      <c r="V75" s="2">
        <v>0.12</v>
      </c>
      <c r="W75" s="2">
        <v>0.3</v>
      </c>
      <c r="X75" s="2">
        <f>IF(O75&gt;0,O75,((P75*2.2046*S75)+(Q75+R75)/G75)+V75)</f>
        <v>33.81717795010627</v>
      </c>
      <c r="Y75" s="2">
        <f>IF(O75&gt;0,O75,((P75*2.2046*S75)+(Q75+R75+T75)/G75)+V75+W75)</f>
        <v>34.286516087084244</v>
      </c>
      <c r="Z75" s="3">
        <f>Y75*F75</f>
        <v>651597.38181745796</v>
      </c>
      <c r="AA75" s="34">
        <v>43635</v>
      </c>
      <c r="AB75" s="3">
        <v>34.520000000000003</v>
      </c>
      <c r="AC75" s="35"/>
    </row>
    <row r="76" spans="1:32" x14ac:dyDescent="0.25">
      <c r="A76" s="147"/>
      <c r="B76" s="27" t="s">
        <v>1805</v>
      </c>
      <c r="C76" s="28" t="s">
        <v>2450</v>
      </c>
      <c r="D76" s="28" t="s">
        <v>1806</v>
      </c>
      <c r="E76" t="s">
        <v>2455</v>
      </c>
      <c r="F76" s="29">
        <f>869+884+862+858</f>
        <v>3473</v>
      </c>
      <c r="G76" s="196">
        <v>3473</v>
      </c>
      <c r="H76" s="30">
        <f t="shared" si="53"/>
        <v>0</v>
      </c>
      <c r="I76" s="199" t="s">
        <v>4101</v>
      </c>
      <c r="J76" s="191"/>
      <c r="K76" s="201"/>
      <c r="L76" s="201">
        <v>43642</v>
      </c>
      <c r="M76" s="199" t="s">
        <v>33</v>
      </c>
      <c r="N76" s="199"/>
      <c r="O76" s="190">
        <v>19</v>
      </c>
      <c r="P76" s="202"/>
      <c r="Q76" s="190"/>
      <c r="R76" s="190"/>
      <c r="S76" s="194"/>
      <c r="T76" s="33"/>
      <c r="V76" s="2"/>
      <c r="W76" s="2"/>
      <c r="X76" s="2">
        <f>IF(O76&gt;0,O76,((P76*2.2046*S76)+(Q76+R76)/G76)+V76)</f>
        <v>19</v>
      </c>
      <c r="Y76" s="2">
        <f>IF(O76&gt;0,O76,((P76*2.2046*S76)+(Q76+R76+T76)/G76)+V76+W76)</f>
        <v>19</v>
      </c>
      <c r="Z76" s="3">
        <f>Y76*F76</f>
        <v>65987</v>
      </c>
      <c r="AA76" s="34">
        <v>43644</v>
      </c>
      <c r="AB76" s="3"/>
      <c r="AC76" s="35"/>
    </row>
    <row r="77" spans="1:32" x14ac:dyDescent="0.25">
      <c r="A77" s="147"/>
      <c r="B77" s="27" t="s">
        <v>26</v>
      </c>
      <c r="C77" t="s">
        <v>27</v>
      </c>
      <c r="D77" s="28" t="s">
        <v>1682</v>
      </c>
      <c r="E77">
        <f>200+50</f>
        <v>250</v>
      </c>
      <c r="F77" s="29">
        <f>23415+5930</f>
        <v>29345</v>
      </c>
      <c r="G77" s="30">
        <f>16630+6650</f>
        <v>23280</v>
      </c>
      <c r="H77" s="30">
        <f t="shared" si="53"/>
        <v>-6065</v>
      </c>
      <c r="I77" s="28" t="s">
        <v>4053</v>
      </c>
      <c r="K77" s="55">
        <v>249</v>
      </c>
      <c r="L77" s="31">
        <v>43642</v>
      </c>
      <c r="M77" s="28" t="s">
        <v>33</v>
      </c>
      <c r="O77" s="2">
        <v>33.5</v>
      </c>
      <c r="P77" s="32"/>
      <c r="Q77" s="138">
        <v>22800</v>
      </c>
      <c r="R77" s="2">
        <f>75.45*E77</f>
        <v>18862.5</v>
      </c>
      <c r="S77" s="33">
        <f>-38*E77</f>
        <v>-9500</v>
      </c>
      <c r="T77" s="141">
        <f>X77*F77*0.005</f>
        <v>6406.4244308419247</v>
      </c>
      <c r="U77" s="2">
        <f>E77*5</f>
        <v>1250</v>
      </c>
      <c r="W77" s="2">
        <v>0.3</v>
      </c>
      <c r="X77" s="2">
        <f>((O77*F77)+Q77+R77+S77+U77)/G77</f>
        <v>43.662800687285227</v>
      </c>
      <c r="Y77" s="2">
        <f>((O77*F77)+Q77+R77+S77+T77+U77)/G77+W77</f>
        <v>44.237990740156441</v>
      </c>
      <c r="Z77" s="3">
        <f>Y77*G77</f>
        <v>1029860.4244308419</v>
      </c>
      <c r="AA77" s="34">
        <v>43655</v>
      </c>
      <c r="AB77" s="3">
        <v>32.5</v>
      </c>
      <c r="AC77" s="35" t="s">
        <v>4054</v>
      </c>
    </row>
    <row r="78" spans="1:32" x14ac:dyDescent="0.25">
      <c r="A78" s="147"/>
      <c r="B78" s="27" t="s">
        <v>30</v>
      </c>
      <c r="C78" s="28" t="s">
        <v>40</v>
      </c>
      <c r="D78" s="28" t="s">
        <v>40</v>
      </c>
      <c r="E78" t="s">
        <v>37</v>
      </c>
      <c r="F78" s="29">
        <f>42312*0.4536</f>
        <v>19192.7232</v>
      </c>
      <c r="G78" s="196">
        <v>19139.36</v>
      </c>
      <c r="H78" s="30">
        <f>G78-F78</f>
        <v>-53.363199999999779</v>
      </c>
      <c r="I78" t="s">
        <v>3971</v>
      </c>
      <c r="J78" s="52" t="s">
        <v>196</v>
      </c>
      <c r="K78" s="31">
        <v>43643</v>
      </c>
      <c r="L78" s="31">
        <v>43644</v>
      </c>
      <c r="M78" s="28" t="s">
        <v>45</v>
      </c>
      <c r="N78" s="28" t="s">
        <v>4067</v>
      </c>
      <c r="O78" s="2"/>
      <c r="P78" s="32">
        <f>0.6504+0.105</f>
        <v>0.75539999999999996</v>
      </c>
      <c r="Q78" s="140">
        <v>26000</v>
      </c>
      <c r="R78" s="190">
        <v>10858</v>
      </c>
      <c r="S78" s="194">
        <v>19.219000000000001</v>
      </c>
      <c r="T78" s="141">
        <f>X78*F78*0.005</f>
        <v>3267.7745855637822</v>
      </c>
      <c r="V78" s="2">
        <v>0.12</v>
      </c>
      <c r="W78" s="2">
        <v>0.3</v>
      </c>
      <c r="X78" s="2">
        <f>IF(O78&gt;0,O78,((P78*2.2046*S78)+(Q78+R78)/G78)+V78)</f>
        <v>34.052224392667547</v>
      </c>
      <c r="Y78" s="2">
        <f>IF(O78&gt;0,O78,((P78*2.2046*S78)+(Q78+R78+T78)/G78)+V78+W78)</f>
        <v>34.522960226340345</v>
      </c>
      <c r="Z78" s="3">
        <f>Y78*F78</f>
        <v>662589.61966875964</v>
      </c>
      <c r="AA78" s="34">
        <v>43636</v>
      </c>
      <c r="AB78" s="3">
        <v>32.47</v>
      </c>
      <c r="AC78" s="35"/>
    </row>
    <row r="79" spans="1:32" x14ac:dyDescent="0.25">
      <c r="A79" s="147"/>
      <c r="B79" s="27" t="s">
        <v>30</v>
      </c>
      <c r="C79" s="28" t="s">
        <v>35</v>
      </c>
      <c r="D79" s="28" t="s">
        <v>36</v>
      </c>
      <c r="E79" t="s">
        <v>37</v>
      </c>
      <c r="F79" s="29">
        <f>41672*0.4536</f>
        <v>18902.4192</v>
      </c>
      <c r="G79" s="196">
        <v>18795.87</v>
      </c>
      <c r="H79" s="30">
        <f>G79-F79</f>
        <v>-106.54920000000129</v>
      </c>
      <c r="I79" t="s">
        <v>3972</v>
      </c>
      <c r="J79" s="52" t="s">
        <v>196</v>
      </c>
      <c r="K79" s="31">
        <v>43642</v>
      </c>
      <c r="L79" s="31">
        <v>43643</v>
      </c>
      <c r="M79" s="28" t="s">
        <v>41</v>
      </c>
      <c r="N79" s="28" t="s">
        <v>4041</v>
      </c>
      <c r="O79" s="2"/>
      <c r="P79" s="32">
        <f>0.61+0.1</f>
        <v>0.71</v>
      </c>
      <c r="Q79" s="140">
        <v>26000</v>
      </c>
      <c r="R79" s="190">
        <v>9508</v>
      </c>
      <c r="S79" s="194">
        <v>19.190999999999999</v>
      </c>
      <c r="T79" s="141">
        <f>X79*F79*0.005</f>
        <v>3028.9386061029008</v>
      </c>
      <c r="V79" s="2">
        <v>0.12</v>
      </c>
      <c r="W79" s="2">
        <v>0.3</v>
      </c>
      <c r="X79" s="2">
        <f>IF(O79&gt;0,O79,((P79*2.2046*S79)+(Q79+R79)/G79)+V79)</f>
        <v>32.0481582177894</v>
      </c>
      <c r="Y79" s="2">
        <f>IF(O79&gt;0,O79,((P79*2.2046*S79)+(Q79+R79+T79)/G79)+V79+W79)</f>
        <v>32.509307374817126</v>
      </c>
      <c r="Z79" s="3">
        <f>Y79*F79</f>
        <v>614504.55590044486</v>
      </c>
      <c r="AA79" s="34">
        <v>43644</v>
      </c>
      <c r="AB79" s="3">
        <v>34.75</v>
      </c>
      <c r="AC79" s="35"/>
    </row>
    <row r="80" spans="1:32" x14ac:dyDescent="0.25">
      <c r="A80" s="147"/>
      <c r="B80" s="27" t="s">
        <v>26</v>
      </c>
      <c r="C80" t="s">
        <v>27</v>
      </c>
      <c r="D80" s="28" t="s">
        <v>1682</v>
      </c>
      <c r="E80">
        <v>230</v>
      </c>
      <c r="F80" s="29">
        <v>27300</v>
      </c>
      <c r="G80" s="30">
        <v>23300</v>
      </c>
      <c r="H80" s="30">
        <f t="shared" ref="H80:H82" si="55">G80-F80</f>
        <v>-4000</v>
      </c>
      <c r="I80" t="s">
        <v>4086</v>
      </c>
      <c r="J80" s="55">
        <v>249</v>
      </c>
      <c r="K80" s="31"/>
      <c r="L80" s="31">
        <v>43643</v>
      </c>
      <c r="M80" s="28" t="s">
        <v>41</v>
      </c>
      <c r="O80" s="2">
        <v>33.5</v>
      </c>
      <c r="P80" s="32"/>
      <c r="Q80" s="140">
        <v>22800</v>
      </c>
      <c r="R80" s="190">
        <f t="shared" ref="R80" si="56">75.45*E80</f>
        <v>17353.5</v>
      </c>
      <c r="S80" s="197">
        <f>-38*E80</f>
        <v>-8740</v>
      </c>
      <c r="T80" s="141">
        <f>X80*F80*0.0045</f>
        <v>4993.6864152360513</v>
      </c>
      <c r="U80" s="2">
        <f>E80*5</f>
        <v>1150</v>
      </c>
      <c r="W80" s="2">
        <v>0.3</v>
      </c>
      <c r="X80" s="2">
        <f t="shared" ref="X80" si="57">((O80*F80)+Q80+R80+S80+U80)/G80</f>
        <v>40.64864806866953</v>
      </c>
      <c r="Y80" s="2">
        <f>((O80*F80)+Q80+R80+S80+T80+U80)/G80+W80</f>
        <v>41.162969374044465</v>
      </c>
      <c r="Z80" s="3">
        <f>Y80*G80</f>
        <v>959097.18641523609</v>
      </c>
      <c r="AA80" s="34">
        <v>43656</v>
      </c>
      <c r="AB80" s="235">
        <f>SUM(AB72:AB79)/7</f>
        <v>33.831428571428567</v>
      </c>
      <c r="AC80" s="35"/>
    </row>
    <row r="81" spans="1:29" x14ac:dyDescent="0.25">
      <c r="A81" s="147"/>
      <c r="B81" s="27" t="s">
        <v>26</v>
      </c>
      <c r="C81" t="s">
        <v>27</v>
      </c>
      <c r="D81" s="28" t="s">
        <v>1871</v>
      </c>
      <c r="E81">
        <v>150</v>
      </c>
      <c r="F81" s="29">
        <v>17220</v>
      </c>
      <c r="G81" s="30">
        <v>11590</v>
      </c>
      <c r="H81" s="30">
        <f t="shared" si="55"/>
        <v>-5630</v>
      </c>
      <c r="I81" t="s">
        <v>4087</v>
      </c>
      <c r="J81" s="55">
        <v>130</v>
      </c>
      <c r="K81" s="31"/>
      <c r="L81" s="31">
        <v>43643</v>
      </c>
      <c r="M81" s="28" t="s">
        <v>41</v>
      </c>
      <c r="O81" s="2">
        <v>33.5</v>
      </c>
      <c r="P81" s="32"/>
      <c r="Q81" s="140">
        <v>18100</v>
      </c>
      <c r="R81" s="190">
        <f t="shared" ref="R81" si="58">75.45*E81</f>
        <v>11317.5</v>
      </c>
      <c r="S81" s="197">
        <f>-38*E81</f>
        <v>-5700</v>
      </c>
      <c r="T81" s="141">
        <f>X81*F81*0.0045</f>
        <v>4020.5041307161346</v>
      </c>
      <c r="U81" s="2">
        <f>E81*5</f>
        <v>750</v>
      </c>
      <c r="W81" s="2">
        <v>0.3</v>
      </c>
      <c r="X81" s="2">
        <f>((O81*F81)+Q81+R81+S81+U81)/G81</f>
        <v>51.884167385677308</v>
      </c>
      <c r="Y81" s="2">
        <f>((O81*F81)+Q81+R81+S81+T81+U81)/G81+W81</f>
        <v>52.531061616110101</v>
      </c>
      <c r="Z81" s="3">
        <f>Y81*G81</f>
        <v>608835.00413071609</v>
      </c>
      <c r="AA81" s="34">
        <v>43656</v>
      </c>
      <c r="AB81" s="3">
        <v>44.94</v>
      </c>
      <c r="AC81" s="35" t="s">
        <v>4091</v>
      </c>
    </row>
    <row r="82" spans="1:29" x14ac:dyDescent="0.25">
      <c r="A82" s="147"/>
      <c r="B82" s="27" t="s">
        <v>2447</v>
      </c>
      <c r="C82" t="s">
        <v>2448</v>
      </c>
      <c r="D82" s="28" t="s">
        <v>1806</v>
      </c>
      <c r="E82" t="s">
        <v>4103</v>
      </c>
      <c r="F82" s="29">
        <v>1500</v>
      </c>
      <c r="G82" s="30">
        <v>1500</v>
      </c>
      <c r="H82" s="30">
        <f t="shared" si="55"/>
        <v>0</v>
      </c>
      <c r="I82" t="s">
        <v>4104</v>
      </c>
      <c r="K82" s="31"/>
      <c r="L82" s="31">
        <v>43643</v>
      </c>
      <c r="M82" s="28" t="s">
        <v>41</v>
      </c>
      <c r="O82" s="2">
        <v>28.5</v>
      </c>
      <c r="P82" s="32"/>
      <c r="Q82" s="2"/>
      <c r="R82" s="190"/>
      <c r="S82" s="197"/>
      <c r="T82" s="33"/>
      <c r="U82" s="2"/>
      <c r="W82" s="2"/>
      <c r="X82" s="2">
        <f>IF(O82&gt;0,O82,((P82*2.2046*S82)+(Q82+R82)/G82)+V82)</f>
        <v>28.5</v>
      </c>
      <c r="Y82" s="2">
        <f>IF(O82&gt;0,O82,((P82*2.2046*S82)+(Q82+R82+T82)/G82)+V82+W82)</f>
        <v>28.5</v>
      </c>
      <c r="Z82" s="3">
        <f>Y82*F82</f>
        <v>42750</v>
      </c>
      <c r="AA82" s="34">
        <v>43650</v>
      </c>
      <c r="AB82" s="3"/>
      <c r="AC82" s="35"/>
    </row>
    <row r="83" spans="1:29" x14ac:dyDescent="0.25">
      <c r="A83" s="147"/>
      <c r="B83" s="27" t="s">
        <v>30</v>
      </c>
      <c r="C83" s="28" t="s">
        <v>1790</v>
      </c>
      <c r="D83" s="28" t="s">
        <v>1790</v>
      </c>
      <c r="E83" t="s">
        <v>32</v>
      </c>
      <c r="F83" s="29">
        <f>40354*0.4536</f>
        <v>18304.574400000001</v>
      </c>
      <c r="G83" s="196">
        <v>18411.91</v>
      </c>
      <c r="H83" s="30">
        <f>G83-F83</f>
        <v>107.33559999999852</v>
      </c>
      <c r="I83" s="28" t="s">
        <v>3973</v>
      </c>
      <c r="J83" s="52" t="s">
        <v>196</v>
      </c>
      <c r="K83" s="31">
        <v>43643</v>
      </c>
      <c r="L83" s="31">
        <v>43644</v>
      </c>
      <c r="M83" s="28" t="s">
        <v>45</v>
      </c>
      <c r="N83" s="28" t="s">
        <v>4036</v>
      </c>
      <c r="O83" s="2"/>
      <c r="P83" s="32">
        <f>0.61+0.095</f>
        <v>0.70499999999999996</v>
      </c>
      <c r="Q83" s="140">
        <v>26000</v>
      </c>
      <c r="R83" s="190">
        <v>11808</v>
      </c>
      <c r="S83" s="194">
        <v>19.190000000000001</v>
      </c>
      <c r="T83" s="141">
        <f>X83*F83*0.005</f>
        <v>2928.6748499223295</v>
      </c>
      <c r="V83" s="2">
        <v>0.12</v>
      </c>
      <c r="W83" s="2">
        <v>0.3</v>
      </c>
      <c r="X83" s="2">
        <f>IF(O83&gt;0,O83,((P83*2.2046*S83)+(Q83+R83)/G83)+V83)</f>
        <v>31.999376613993594</v>
      </c>
      <c r="Y83" s="2">
        <f>IF(O83&gt;0,O83,((P83*2.2046*S83)+(Q83+R83+T83)/G83)+V83+W83)</f>
        <v>32.458440765943188</v>
      </c>
      <c r="Z83" s="3">
        <f>Y83*F83</f>
        <v>594137.94390820013</v>
      </c>
      <c r="AA83" s="34">
        <v>43644</v>
      </c>
      <c r="AB83" s="3"/>
      <c r="AC83" s="35"/>
    </row>
    <row r="84" spans="1:29" x14ac:dyDescent="0.25">
      <c r="A84" s="147"/>
      <c r="B84" s="27" t="s">
        <v>26</v>
      </c>
      <c r="C84" t="s">
        <v>27</v>
      </c>
      <c r="D84" s="28" t="s">
        <v>1682</v>
      </c>
      <c r="E84">
        <v>229</v>
      </c>
      <c r="F84" s="29">
        <v>26875</v>
      </c>
      <c r="G84" s="196">
        <v>23150</v>
      </c>
      <c r="H84" s="30">
        <f t="shared" ref="H84:H87" si="59">G84-F84</f>
        <v>-3725</v>
      </c>
      <c r="I84" t="s">
        <v>4092</v>
      </c>
      <c r="J84" s="55">
        <v>250</v>
      </c>
      <c r="K84" s="31"/>
      <c r="L84" s="31">
        <v>43644</v>
      </c>
      <c r="M84" s="28" t="s">
        <v>45</v>
      </c>
      <c r="O84" s="2">
        <v>33.5</v>
      </c>
      <c r="P84" s="32"/>
      <c r="Q84" s="140">
        <v>22800</v>
      </c>
      <c r="R84" s="2">
        <f t="shared" ref="R84:R85" si="60">75.45*E84</f>
        <v>17278.05</v>
      </c>
      <c r="S84" s="33">
        <f>-38*E84</f>
        <v>-8702</v>
      </c>
      <c r="T84" s="141">
        <f>X84*F84*0.0045</f>
        <v>4873.1990260529155</v>
      </c>
      <c r="U84" s="2">
        <f>E84*5</f>
        <v>1145</v>
      </c>
      <c r="W84" s="2">
        <v>0.3</v>
      </c>
      <c r="X84" s="2">
        <f>((O84*F84)+Q84+R84+S84+U84)/G84</f>
        <v>40.295185745140394</v>
      </c>
      <c r="Y84" s="2">
        <f>((O84*F84)+Q84+R84+S84+T84+U84)/G84+W84</f>
        <v>40.805691102637276</v>
      </c>
      <c r="Z84" s="3">
        <f>Y84*G84</f>
        <v>944651.74902605289</v>
      </c>
      <c r="AA84" s="34">
        <v>43657</v>
      </c>
      <c r="AB84" s="3"/>
      <c r="AC84" s="35"/>
    </row>
    <row r="85" spans="1:29" x14ac:dyDescent="0.25">
      <c r="A85" s="147"/>
      <c r="B85" s="27" t="s">
        <v>26</v>
      </c>
      <c r="C85" t="s">
        <v>27</v>
      </c>
      <c r="D85" s="28" t="s">
        <v>1829</v>
      </c>
      <c r="E85">
        <v>149</v>
      </c>
      <c r="F85" s="29">
        <v>16190</v>
      </c>
      <c r="G85" s="196">
        <v>10860</v>
      </c>
      <c r="H85" s="30">
        <f t="shared" si="59"/>
        <v>-5330</v>
      </c>
      <c r="I85" s="28" t="s">
        <v>4093</v>
      </c>
      <c r="J85" s="55">
        <v>128</v>
      </c>
      <c r="K85" s="31"/>
      <c r="L85" s="31">
        <v>43644</v>
      </c>
      <c r="M85" s="28" t="s">
        <v>45</v>
      </c>
      <c r="O85" s="2">
        <v>33.5</v>
      </c>
      <c r="P85" s="32"/>
      <c r="Q85" s="140">
        <v>18100</v>
      </c>
      <c r="R85" s="2">
        <f t="shared" si="60"/>
        <v>11242.050000000001</v>
      </c>
      <c r="S85" s="33">
        <f>-38*E85</f>
        <v>-5662</v>
      </c>
      <c r="T85" s="141">
        <f>X85*F85*0.0045</f>
        <v>3802.3470619475138</v>
      </c>
      <c r="U85" s="2">
        <f>E85*5</f>
        <v>745</v>
      </c>
      <c r="W85" s="2">
        <v>0.3</v>
      </c>
      <c r="X85" s="2">
        <f>((O85*F85)+Q85+R85+S85+U85)/G85</f>
        <v>52.190612338858202</v>
      </c>
      <c r="Y85" s="2">
        <f>((O85*F85)+Q85+R85+S85+T85+U85)/G85+W85</f>
        <v>52.840736377711565</v>
      </c>
      <c r="Z85" s="3">
        <f>Y85*G85</f>
        <v>573850.39706194762</v>
      </c>
      <c r="AA85" s="34">
        <v>43657</v>
      </c>
      <c r="AB85" s="3">
        <v>44.6</v>
      </c>
      <c r="AC85" s="35" t="s">
        <v>4094</v>
      </c>
    </row>
    <row r="86" spans="1:29" x14ac:dyDescent="0.25">
      <c r="A86" s="147"/>
      <c r="B86" s="27" t="s">
        <v>30</v>
      </c>
      <c r="C86" t="s">
        <v>40</v>
      </c>
      <c r="D86" s="28" t="s">
        <v>40</v>
      </c>
      <c r="E86" t="s">
        <v>37</v>
      </c>
      <c r="F86" s="29">
        <f>42101*0.4536</f>
        <v>19097.013599999998</v>
      </c>
      <c r="G86" s="196">
        <v>18967.439999999999</v>
      </c>
      <c r="H86" s="30">
        <f t="shared" si="59"/>
        <v>-129.57359999999971</v>
      </c>
      <c r="I86" s="28" t="s">
        <v>3974</v>
      </c>
      <c r="J86" s="52" t="s">
        <v>196</v>
      </c>
      <c r="K86" s="31">
        <v>43644</v>
      </c>
      <c r="L86" s="31">
        <v>43645</v>
      </c>
      <c r="M86" s="28" t="s">
        <v>46</v>
      </c>
      <c r="N86" s="28" t="s">
        <v>4037</v>
      </c>
      <c r="O86" s="2"/>
      <c r="P86" s="32">
        <f>0.6537+0.105</f>
        <v>0.75869999999999993</v>
      </c>
      <c r="Q86" s="140">
        <v>26000</v>
      </c>
      <c r="R86" s="190">
        <v>9508</v>
      </c>
      <c r="S86" s="194">
        <v>19.225000000000001</v>
      </c>
      <c r="T86" s="141">
        <f>X86*F86*0.005</f>
        <v>3260.6587003762083</v>
      </c>
      <c r="V86" s="2">
        <v>0.12</v>
      </c>
      <c r="W86" s="2">
        <v>0.3</v>
      </c>
      <c r="X86" s="2">
        <f>IF(O86&gt;0,O86,((P86*2.2046*S86)+(Q86+R86)/G86)+V86)</f>
        <v>34.148362342646166</v>
      </c>
      <c r="Y86" s="2">
        <f>IF(O86&gt;0,O86,((P86*2.2046*S86)+(Q86+R86+T86)/G86)+V86+W86)</f>
        <v>34.620270554844339</v>
      </c>
      <c r="Z86" s="3">
        <f>Y86*F86</f>
        <v>661143.77762154187</v>
      </c>
      <c r="AA86" s="34">
        <v>43633</v>
      </c>
      <c r="AB86" s="3"/>
      <c r="AC86" s="35"/>
    </row>
    <row r="87" spans="1:29" x14ac:dyDescent="0.25">
      <c r="A87" s="147"/>
      <c r="B87" s="27" t="s">
        <v>3899</v>
      </c>
      <c r="C87" t="s">
        <v>3900</v>
      </c>
      <c r="D87" s="28" t="s">
        <v>2557</v>
      </c>
      <c r="E87" t="s">
        <v>4213</v>
      </c>
      <c r="F87" s="29">
        <v>2504.2399999999998</v>
      </c>
      <c r="G87" s="196">
        <v>2504.2399999999998</v>
      </c>
      <c r="H87" s="30">
        <f t="shared" si="59"/>
        <v>0</v>
      </c>
      <c r="I87" s="28" t="s">
        <v>4214</v>
      </c>
      <c r="J87" s="191"/>
      <c r="K87" s="31"/>
      <c r="L87" s="31">
        <v>43645</v>
      </c>
      <c r="M87" s="28" t="s">
        <v>46</v>
      </c>
      <c r="N87" s="28"/>
      <c r="O87" s="2">
        <v>51</v>
      </c>
      <c r="P87" s="32"/>
      <c r="Q87" s="190"/>
      <c r="R87" s="190"/>
      <c r="S87" s="194"/>
      <c r="T87" s="33"/>
      <c r="V87" s="2"/>
      <c r="W87" s="2">
        <v>1.3</v>
      </c>
      <c r="X87" s="2">
        <f>IF(O87&gt;0,O87,((P87*2.2046*S87)+(Q87+R87)/G87)+V87)</f>
        <v>51</v>
      </c>
      <c r="Y87" s="2">
        <f>IF(O87&gt;0,O87,((P87*2.2046*S87)+(Q87+R87+T87)/G87)+V87+W87)</f>
        <v>51</v>
      </c>
      <c r="Z87" s="3">
        <f>Y87*F87</f>
        <v>127716.23999999999</v>
      </c>
      <c r="AA87" s="34">
        <v>43654</v>
      </c>
      <c r="AB87" s="3"/>
      <c r="AC87" s="35"/>
    </row>
    <row r="88" spans="1:29" ht="15.75" thickBot="1" x14ac:dyDescent="0.3">
      <c r="A88" s="148"/>
      <c r="B88" s="41"/>
      <c r="C88" s="4"/>
      <c r="D88" s="4"/>
      <c r="E88" s="4"/>
      <c r="F88" s="42"/>
      <c r="G88" s="42"/>
      <c r="H88" s="42"/>
      <c r="I88" s="7"/>
      <c r="J88" s="4"/>
      <c r="K88" s="8"/>
      <c r="L88" s="8"/>
      <c r="M88" s="4"/>
      <c r="N88" s="4"/>
      <c r="O88" s="9"/>
      <c r="P88" s="10"/>
      <c r="Q88" s="9"/>
      <c r="R88" s="9"/>
      <c r="S88" s="9"/>
      <c r="T88" s="9"/>
      <c r="U88" s="9"/>
      <c r="V88" s="9"/>
      <c r="W88" s="9"/>
      <c r="X88" s="9"/>
      <c r="Y88" s="9"/>
      <c r="Z88" s="13"/>
      <c r="AA88" s="43"/>
      <c r="AB88" s="3"/>
      <c r="AC88" s="35"/>
    </row>
    <row r="89" spans="1:29" x14ac:dyDescent="0.25">
      <c r="A89" s="168"/>
      <c r="B89" s="14" t="s">
        <v>26</v>
      </c>
      <c r="C89" s="14" t="s">
        <v>27</v>
      </c>
      <c r="D89" s="15" t="s">
        <v>1682</v>
      </c>
      <c r="E89" s="14">
        <v>230</v>
      </c>
      <c r="F89" s="16">
        <v>26445</v>
      </c>
      <c r="G89" s="17">
        <v>21150</v>
      </c>
      <c r="H89" s="17">
        <f>G89-F89</f>
        <v>-5295</v>
      </c>
      <c r="I89" s="19" t="s">
        <v>4108</v>
      </c>
      <c r="J89" s="14"/>
      <c r="K89" s="20"/>
      <c r="L89" s="20">
        <v>43646</v>
      </c>
      <c r="M89" s="15" t="s">
        <v>28</v>
      </c>
      <c r="N89" s="14"/>
      <c r="O89" s="21">
        <v>33.5</v>
      </c>
      <c r="P89" s="22"/>
      <c r="Q89" s="139">
        <v>22800</v>
      </c>
      <c r="R89" s="2">
        <f>75.45*E89</f>
        <v>17353.5</v>
      </c>
      <c r="S89" s="33">
        <f>-38*E89</f>
        <v>-8740</v>
      </c>
      <c r="T89" s="157">
        <f>X89*F89*0.0045</f>
        <v>5167.8650202127656</v>
      </c>
      <c r="U89" s="21">
        <f>E89*5</f>
        <v>1150</v>
      </c>
      <c r="V89" s="14"/>
      <c r="W89" s="21">
        <v>0.3</v>
      </c>
      <c r="X89" s="21">
        <f>((O89*F89)+Q89+R89+S89+U89)/G89</f>
        <v>43.426524822695036</v>
      </c>
      <c r="Y89" s="24">
        <f>((O89*F89)+Q89+R89+S89+T89+U89)/G89+W89</f>
        <v>43.970868322468682</v>
      </c>
      <c r="Z89" s="24">
        <f>Y89*G89</f>
        <v>929983.8650202126</v>
      </c>
      <c r="AA89" s="25">
        <v>43661</v>
      </c>
      <c r="AB89" s="3">
        <v>44.41</v>
      </c>
      <c r="AC89" s="3"/>
    </row>
    <row r="90" spans="1:29" x14ac:dyDescent="0.25">
      <c r="A90" s="169"/>
      <c r="B90" s="27" t="s">
        <v>26</v>
      </c>
      <c r="C90" t="s">
        <v>27</v>
      </c>
      <c r="D90" s="28" t="s">
        <v>1871</v>
      </c>
      <c r="E90">
        <v>150</v>
      </c>
      <c r="F90" s="29">
        <v>15355</v>
      </c>
      <c r="G90" s="30">
        <v>12070</v>
      </c>
      <c r="H90" s="252">
        <f>G90-F90</f>
        <v>-3285</v>
      </c>
      <c r="I90" s="28" t="s">
        <v>4107</v>
      </c>
      <c r="K90" s="31"/>
      <c r="L90" s="31">
        <v>43646</v>
      </c>
      <c r="M90" s="28" t="s">
        <v>28</v>
      </c>
      <c r="O90" s="2">
        <v>33.5</v>
      </c>
      <c r="P90" s="32"/>
      <c r="Q90" s="140">
        <v>18100</v>
      </c>
      <c r="R90" s="2">
        <f>75.45*E90</f>
        <v>11317.5</v>
      </c>
      <c r="S90" s="33">
        <f>-38*E90</f>
        <v>-5700</v>
      </c>
      <c r="T90" s="141">
        <f>X90*F90*0.0045</f>
        <v>3084.8284051367023</v>
      </c>
      <c r="U90" s="2">
        <f>E90*5</f>
        <v>750</v>
      </c>
      <c r="W90" s="2">
        <v>0.3</v>
      </c>
      <c r="X90" s="2">
        <f>((O90*F90)+Q90+R90+S90+U90)/G90</f>
        <v>44.644573322286661</v>
      </c>
      <c r="Y90" s="2">
        <f>((O90*F90)+Q90+R90+S90+T90+U90)/G90+W90</f>
        <v>45.200151483441317</v>
      </c>
      <c r="Z90" s="3">
        <f>Y90*G90</f>
        <v>545565.82840513671</v>
      </c>
      <c r="AA90" s="34">
        <v>43661</v>
      </c>
      <c r="AB90" s="3"/>
      <c r="AC90" s="35" t="s">
        <v>4124</v>
      </c>
    </row>
    <row r="91" spans="1:29" ht="15.75" thickBot="1" x14ac:dyDescent="0.3">
      <c r="A91" s="170"/>
      <c r="B91" s="41"/>
      <c r="C91" s="4"/>
      <c r="D91" s="4"/>
      <c r="E91" s="4"/>
      <c r="F91" s="42"/>
      <c r="G91" s="42"/>
      <c r="H91" s="42"/>
      <c r="I91" s="7"/>
      <c r="J91" s="4"/>
      <c r="K91" s="8"/>
      <c r="L91" s="8"/>
      <c r="M91" s="4"/>
      <c r="N91" s="4"/>
      <c r="O91" s="9"/>
      <c r="P91" s="10"/>
      <c r="Q91" s="9"/>
      <c r="R91" s="9"/>
      <c r="S91" s="9"/>
      <c r="T91" s="9"/>
      <c r="U91" s="9"/>
      <c r="V91" s="9"/>
      <c r="W91" s="9"/>
      <c r="X91" s="9"/>
      <c r="Y91" s="9"/>
      <c r="Z91" s="13"/>
      <c r="AA91" s="43"/>
      <c r="AB91" s="3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D0B2-2B02-4DEA-9FC2-58C96F3B2A62}">
  <dimension ref="A2:AF105"/>
  <sheetViews>
    <sheetView topLeftCell="A64" zoomScale="80" zoomScaleNormal="80" workbookViewId="0">
      <selection activeCell="J103" sqref="J103"/>
    </sheetView>
  </sheetViews>
  <sheetFormatPr baseColWidth="10" defaultRowHeight="15" x14ac:dyDescent="0.25"/>
  <cols>
    <col min="1" max="1" width="3.140625" customWidth="1"/>
    <col min="2" max="2" width="18" customWidth="1"/>
    <col min="3" max="3" width="13" bestFit="1" customWidth="1"/>
    <col min="4" max="4" width="18.85546875" bestFit="1" customWidth="1"/>
    <col min="8" max="8" width="10.42578125" customWidth="1"/>
    <col min="9" max="9" width="13" customWidth="1"/>
    <col min="13" max="13" width="4.42578125" bestFit="1" customWidth="1"/>
    <col min="14" max="14" width="9.42578125" customWidth="1"/>
    <col min="22" max="22" width="6" bestFit="1" customWidth="1"/>
    <col min="23" max="23" width="9.5703125" bestFit="1" customWidth="1"/>
    <col min="24" max="24" width="0" hidden="1" customWidth="1"/>
    <col min="26" max="26" width="20.42578125" customWidth="1"/>
  </cols>
  <sheetData>
    <row r="2" spans="1:32" x14ac:dyDescent="0.25">
      <c r="A2" s="1" t="s">
        <v>3978</v>
      </c>
      <c r="S2" s="2"/>
      <c r="W2" s="2"/>
      <c r="Z2" s="3"/>
      <c r="AB2" s="3"/>
    </row>
    <row r="3" spans="1:32" ht="30.75" thickBot="1" x14ac:dyDescent="0.3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 t="s">
        <v>7</v>
      </c>
      <c r="I3" s="7" t="s">
        <v>8</v>
      </c>
      <c r="J3" s="4" t="s">
        <v>9</v>
      </c>
      <c r="K3" s="8" t="s">
        <v>10</v>
      </c>
      <c r="L3" s="8" t="s">
        <v>11</v>
      </c>
      <c r="M3" s="4" t="s">
        <v>12</v>
      </c>
      <c r="N3" s="4" t="s">
        <v>13</v>
      </c>
      <c r="O3" s="9" t="s">
        <v>14</v>
      </c>
      <c r="P3" s="10" t="s">
        <v>15</v>
      </c>
      <c r="Q3" s="9" t="s">
        <v>16</v>
      </c>
      <c r="R3" s="11" t="s">
        <v>17</v>
      </c>
      <c r="S3" s="11" t="s">
        <v>18</v>
      </c>
      <c r="T3" s="12" t="s">
        <v>19</v>
      </c>
      <c r="U3" s="9" t="s">
        <v>20</v>
      </c>
      <c r="V3" s="9" t="s">
        <v>21</v>
      </c>
      <c r="W3" s="12" t="s">
        <v>22</v>
      </c>
      <c r="X3" s="9" t="s">
        <v>23</v>
      </c>
      <c r="Y3" s="9" t="s">
        <v>24</v>
      </c>
      <c r="Z3" s="13" t="s">
        <v>25</v>
      </c>
      <c r="AA3" s="9"/>
      <c r="AB3" s="3"/>
    </row>
    <row r="4" spans="1:32" x14ac:dyDescent="0.25">
      <c r="A4" s="146"/>
      <c r="B4" s="14" t="s">
        <v>26</v>
      </c>
      <c r="C4" s="14" t="s">
        <v>27</v>
      </c>
      <c r="D4" s="15" t="s">
        <v>1998</v>
      </c>
      <c r="E4" s="14">
        <f>200+50</f>
        <v>250</v>
      </c>
      <c r="F4" s="16">
        <f>22560+6230</f>
        <v>28790</v>
      </c>
      <c r="G4" s="17">
        <f>16120+6760</f>
        <v>22880</v>
      </c>
      <c r="H4" s="17">
        <f t="shared" ref="H4:H23" si="0">G4-F4</f>
        <v>-5910</v>
      </c>
      <c r="I4" s="19" t="s">
        <v>4123</v>
      </c>
      <c r="J4" s="14"/>
      <c r="K4" s="20"/>
      <c r="L4" s="20">
        <v>43647</v>
      </c>
      <c r="M4" s="15" t="s">
        <v>29</v>
      </c>
      <c r="N4" s="14"/>
      <c r="O4" s="21">
        <v>33.5</v>
      </c>
      <c r="P4" s="22"/>
      <c r="Q4" s="139">
        <v>22800</v>
      </c>
      <c r="R4" s="2">
        <f>75.45*E4</f>
        <v>18862.5</v>
      </c>
      <c r="S4" s="153">
        <f>-38*E4</f>
        <v>-9500</v>
      </c>
      <c r="T4" s="23">
        <f>X4*F4*0.0045</f>
        <v>5650.3505031687064</v>
      </c>
      <c r="U4" s="21">
        <f>E4*5</f>
        <v>1250</v>
      </c>
      <c r="V4" s="14"/>
      <c r="W4" s="21">
        <v>0.3</v>
      </c>
      <c r="X4" s="21">
        <f>((O4*F4)+Q4+R4+S4+U4)/G4</f>
        <v>43.6135270979021</v>
      </c>
      <c r="Y4" s="24">
        <f>((O4*F4)+Q4+R4+S4+T4+U4)/G4+W4</f>
        <v>44.160482976537089</v>
      </c>
      <c r="Z4" s="24">
        <f>Y4*G4</f>
        <v>1010391.8505031687</v>
      </c>
      <c r="AA4" s="25">
        <v>43661</v>
      </c>
      <c r="AB4" s="3"/>
      <c r="AC4" s="3" t="s">
        <v>4125</v>
      </c>
    </row>
    <row r="5" spans="1:32" x14ac:dyDescent="0.25">
      <c r="A5" s="147"/>
      <c r="B5" s="248" t="s">
        <v>2057</v>
      </c>
      <c r="C5" s="248" t="s">
        <v>4426</v>
      </c>
      <c r="D5" s="226" t="s">
        <v>2044</v>
      </c>
      <c r="E5" s="248" t="s">
        <v>1914</v>
      </c>
      <c r="F5" s="227">
        <v>1000</v>
      </c>
      <c r="G5" s="252">
        <v>1000</v>
      </c>
      <c r="H5" s="30">
        <f t="shared" si="0"/>
        <v>0</v>
      </c>
      <c r="I5" s="253" t="s">
        <v>4218</v>
      </c>
      <c r="J5" s="248"/>
      <c r="K5" s="249"/>
      <c r="L5" s="249">
        <v>43647</v>
      </c>
      <c r="M5" s="226" t="s">
        <v>29</v>
      </c>
      <c r="N5" s="248"/>
      <c r="O5" s="250">
        <v>46</v>
      </c>
      <c r="P5" s="251"/>
      <c r="Q5" s="259"/>
      <c r="R5" s="2"/>
      <c r="S5" s="33"/>
      <c r="T5" s="258"/>
      <c r="U5" s="250"/>
      <c r="V5" s="248"/>
      <c r="W5" s="2"/>
      <c r="X5" s="2">
        <f>IF(O5&gt;0,O5,((P5*2.2046*S5)+(Q5+R5)/G5)+V5)</f>
        <v>46</v>
      </c>
      <c r="Y5" s="2">
        <f>IF(O5&gt;0,O5,((P5*2.2046*S5)+(Q5+R5+T5)/G5)+V5+W5)</f>
        <v>46</v>
      </c>
      <c r="Z5" s="3">
        <f>Y5*F5</f>
        <v>46000</v>
      </c>
      <c r="AA5" s="34">
        <v>43647</v>
      </c>
      <c r="AB5" s="3"/>
      <c r="AC5" s="3"/>
    </row>
    <row r="6" spans="1:32" x14ac:dyDescent="0.25">
      <c r="A6" s="147"/>
      <c r="B6" s="266" t="s">
        <v>2321</v>
      </c>
      <c r="C6" s="266" t="s">
        <v>4427</v>
      </c>
      <c r="D6" s="226" t="s">
        <v>2044</v>
      </c>
      <c r="E6" s="248" t="s">
        <v>2320</v>
      </c>
      <c r="F6" s="227">
        <v>1003.34</v>
      </c>
      <c r="G6" s="252">
        <v>1003.34</v>
      </c>
      <c r="H6" s="30">
        <f t="shared" si="0"/>
        <v>0</v>
      </c>
      <c r="I6" s="253" t="s">
        <v>4218</v>
      </c>
      <c r="J6" s="248"/>
      <c r="K6" s="249"/>
      <c r="L6" s="249">
        <v>43647</v>
      </c>
      <c r="M6" s="226" t="s">
        <v>29</v>
      </c>
      <c r="N6" s="248"/>
      <c r="O6" s="250">
        <v>46</v>
      </c>
      <c r="P6" s="251"/>
      <c r="Q6" s="259"/>
      <c r="R6" s="2"/>
      <c r="S6" s="33"/>
      <c r="T6" s="258"/>
      <c r="U6" s="250"/>
      <c r="V6" s="248"/>
      <c r="W6" s="2"/>
      <c r="X6" s="2">
        <f>IF(O6&gt;0,O6,((P6*2.2046*S6)+(Q6+R6)/G6)+V6)</f>
        <v>46</v>
      </c>
      <c r="Y6" s="2">
        <f>IF(O6&gt;0,O6,((P6*2.2046*S6)+(Q6+R6+T6)/G6)+V6+W6)</f>
        <v>46</v>
      </c>
      <c r="Z6" s="3">
        <f>Y6*F6</f>
        <v>46153.64</v>
      </c>
      <c r="AA6" s="34">
        <v>43647</v>
      </c>
      <c r="AB6" s="3"/>
      <c r="AC6" s="3"/>
    </row>
    <row r="7" spans="1:32" x14ac:dyDescent="0.25">
      <c r="A7" s="147"/>
      <c r="B7" s="27" t="s">
        <v>30</v>
      </c>
      <c r="C7" s="28" t="s">
        <v>1790</v>
      </c>
      <c r="D7" s="28" t="s">
        <v>1790</v>
      </c>
      <c r="E7" t="s">
        <v>32</v>
      </c>
      <c r="F7" s="29">
        <f>41684*0.4536</f>
        <v>18907.862400000002</v>
      </c>
      <c r="G7" s="196">
        <v>18976.89</v>
      </c>
      <c r="H7" s="30">
        <f t="shared" si="0"/>
        <v>69.027599999997619</v>
      </c>
      <c r="I7" s="28" t="s">
        <v>4062</v>
      </c>
      <c r="J7" s="52" t="s">
        <v>196</v>
      </c>
      <c r="K7" s="31">
        <v>43647</v>
      </c>
      <c r="L7" s="31">
        <v>43648</v>
      </c>
      <c r="M7" s="28" t="s">
        <v>48</v>
      </c>
      <c r="N7" s="28" t="s">
        <v>4059</v>
      </c>
      <c r="O7" s="2"/>
      <c r="P7" s="32">
        <f>0.6144+0.095</f>
        <v>0.70939999999999992</v>
      </c>
      <c r="Q7" s="140">
        <v>26000</v>
      </c>
      <c r="R7" s="190">
        <v>9508</v>
      </c>
      <c r="S7" s="194">
        <v>19.216999999999999</v>
      </c>
      <c r="T7" s="33">
        <f t="shared" ref="T7:T13" si="1">X7*F7*0.005</f>
        <v>3029.5515075284166</v>
      </c>
      <c r="V7" s="2">
        <v>0.12</v>
      </c>
      <c r="W7" s="2">
        <v>0.3</v>
      </c>
      <c r="X7" s="2">
        <f>IF(O7&gt;0,O7,((P7*2.2046*S7)+(Q7+R7)/G7)+V7)</f>
        <v>32.045415218680844</v>
      </c>
      <c r="Y7" s="2">
        <f>IF(O7&gt;0,O7,((P7*2.2046*S7)+(Q7+R7+T7)/G7)+V7+W7)</f>
        <v>32.505059475855141</v>
      </c>
      <c r="Z7" s="3">
        <f>Y7*F7</f>
        <v>614601.19187328522</v>
      </c>
      <c r="AA7" s="34">
        <v>43644</v>
      </c>
      <c r="AB7" s="3"/>
      <c r="AC7" s="35" t="s">
        <v>4156</v>
      </c>
    </row>
    <row r="8" spans="1:32" x14ac:dyDescent="0.25">
      <c r="A8" s="147"/>
      <c r="B8" s="27" t="s">
        <v>30</v>
      </c>
      <c r="C8" s="28" t="s">
        <v>35</v>
      </c>
      <c r="D8" s="28" t="s">
        <v>36</v>
      </c>
      <c r="E8" t="s">
        <v>4106</v>
      </c>
      <c r="F8" s="29">
        <f>32685*0.4536</f>
        <v>14825.915999999999</v>
      </c>
      <c r="G8" s="196">
        <v>14723.73</v>
      </c>
      <c r="H8" s="30">
        <f t="shared" si="0"/>
        <v>-102.18599999999969</v>
      </c>
      <c r="I8" t="s">
        <v>4063</v>
      </c>
      <c r="J8" s="52" t="s">
        <v>196</v>
      </c>
      <c r="K8" s="31">
        <v>43647</v>
      </c>
      <c r="L8" s="31">
        <v>43648</v>
      </c>
      <c r="M8" s="28" t="s">
        <v>48</v>
      </c>
      <c r="N8" s="28" t="s">
        <v>4060</v>
      </c>
      <c r="O8" s="2"/>
      <c r="P8" s="32">
        <f>0.6144+0.1</f>
        <v>0.71439999999999992</v>
      </c>
      <c r="Q8" s="140">
        <v>26000</v>
      </c>
      <c r="R8" s="190">
        <v>11808</v>
      </c>
      <c r="S8" s="194">
        <v>19.13</v>
      </c>
      <c r="T8" s="33">
        <f t="shared" si="1"/>
        <v>2432.7053677336385</v>
      </c>
      <c r="V8" s="2">
        <v>0.12</v>
      </c>
      <c r="W8" s="2">
        <v>0.3</v>
      </c>
      <c r="X8" s="2">
        <f>IF(O8&gt;0,O8,((P8*2.2046*S8)+(Q8+R8)/G8)+V8)</f>
        <v>32.816931752933698</v>
      </c>
      <c r="Y8" s="2">
        <f>IF(O8&gt;0,O8,((P8*2.2046*S8)+(Q8+R8+T8)/G8)+V8+W8)</f>
        <v>33.282155196159948</v>
      </c>
      <c r="Z8" s="3">
        <f>Y8*F8</f>
        <v>493438.43723723089</v>
      </c>
      <c r="AA8" s="34">
        <v>43648</v>
      </c>
      <c r="AB8" s="3">
        <v>32.51</v>
      </c>
      <c r="AC8" s="35"/>
    </row>
    <row r="9" spans="1:32" x14ac:dyDescent="0.25">
      <c r="A9" s="147"/>
      <c r="B9" s="27" t="s">
        <v>26</v>
      </c>
      <c r="C9" t="s">
        <v>27</v>
      </c>
      <c r="D9" s="28" t="s">
        <v>1998</v>
      </c>
      <c r="E9">
        <f>200+50</f>
        <v>250</v>
      </c>
      <c r="F9" s="29">
        <f>24350+5380</f>
        <v>29730</v>
      </c>
      <c r="G9" s="196">
        <f>17620+6210</f>
        <v>23830</v>
      </c>
      <c r="H9" s="30">
        <f t="shared" si="0"/>
        <v>-5900</v>
      </c>
      <c r="I9" t="s">
        <v>4155</v>
      </c>
      <c r="K9" s="31"/>
      <c r="L9" s="31">
        <v>43648</v>
      </c>
      <c r="M9" s="28" t="s">
        <v>48</v>
      </c>
      <c r="O9" s="2">
        <v>33</v>
      </c>
      <c r="P9" s="32"/>
      <c r="Q9" s="138">
        <v>22800</v>
      </c>
      <c r="R9" s="2">
        <f>75.45*E9</f>
        <v>18862.5</v>
      </c>
      <c r="S9" s="33">
        <f>-38*E9</f>
        <v>-9500</v>
      </c>
      <c r="T9" s="33">
        <f t="shared" si="1"/>
        <v>6328.4010333613096</v>
      </c>
      <c r="U9" s="2">
        <f>E9*5</f>
        <v>1250</v>
      </c>
      <c r="W9" s="2">
        <v>0.3</v>
      </c>
      <c r="X9" s="2">
        <f>((O9*F9)+Q9+R9+S9+U9)/G9</f>
        <v>42.572492656315568</v>
      </c>
      <c r="Y9" s="2">
        <f>((O9*F9)+Q9+R9+S9+T9+U9)/G9+W9</f>
        <v>43.138057114282887</v>
      </c>
      <c r="Z9" s="3">
        <f>Y9*G9</f>
        <v>1027979.9010333612</v>
      </c>
      <c r="AA9" s="34">
        <v>43662</v>
      </c>
      <c r="AB9" s="3">
        <v>33.270000000000003</v>
      </c>
      <c r="AC9" s="35" t="s">
        <v>4161</v>
      </c>
      <c r="AF9" s="30"/>
    </row>
    <row r="10" spans="1:32" x14ac:dyDescent="0.25">
      <c r="A10" s="147"/>
      <c r="B10" s="239" t="s">
        <v>30</v>
      </c>
      <c r="C10" s="240" t="s">
        <v>31</v>
      </c>
      <c r="D10" s="240" t="s">
        <v>31</v>
      </c>
      <c r="E10" s="46" t="s">
        <v>32</v>
      </c>
      <c r="F10" s="241">
        <v>18500</v>
      </c>
      <c r="G10" s="165">
        <v>18500</v>
      </c>
      <c r="H10" s="165">
        <f t="shared" si="0"/>
        <v>0</v>
      </c>
      <c r="I10" s="240" t="s">
        <v>3673</v>
      </c>
      <c r="J10" s="48" t="s">
        <v>230</v>
      </c>
      <c r="K10" s="242">
        <v>43648</v>
      </c>
      <c r="L10" s="242">
        <v>43649</v>
      </c>
      <c r="M10" s="240" t="s">
        <v>33</v>
      </c>
      <c r="N10" s="240" t="s">
        <v>4058</v>
      </c>
      <c r="O10" s="243"/>
      <c r="P10" s="244">
        <f>0.6144+0.105</f>
        <v>0.71939999999999993</v>
      </c>
      <c r="Q10" s="243">
        <v>26000</v>
      </c>
      <c r="R10" s="243">
        <v>12000</v>
      </c>
      <c r="S10" s="245">
        <v>19.5</v>
      </c>
      <c r="T10" s="246">
        <f t="shared" si="1"/>
        <v>3061.8280916499998</v>
      </c>
      <c r="U10" s="46"/>
      <c r="V10" s="243">
        <v>0.12</v>
      </c>
      <c r="W10" s="243">
        <v>0.3</v>
      </c>
      <c r="X10" s="243">
        <f>IF(O10&gt;0,O10,((P10*2.2046*S10)+(Q10+R10)/G10)+V10)</f>
        <v>33.100844234054051</v>
      </c>
      <c r="Y10" s="243">
        <f>IF(O10&gt;0,O10,((P10*2.2046*S10)+(Q10+R10+T10)/G10)+V10+W10)</f>
        <v>33.566348455224315</v>
      </c>
      <c r="Z10" s="83">
        <f>Y10*F10</f>
        <v>620977.44642164977</v>
      </c>
      <c r="AA10" s="48" t="s">
        <v>230</v>
      </c>
      <c r="AB10" s="3">
        <v>33.15</v>
      </c>
      <c r="AC10" s="35"/>
    </row>
    <row r="11" spans="1:32" x14ac:dyDescent="0.25">
      <c r="A11" s="147"/>
      <c r="B11" s="27" t="s">
        <v>30</v>
      </c>
      <c r="C11" s="28" t="s">
        <v>31</v>
      </c>
      <c r="D11" s="28" t="s">
        <v>31</v>
      </c>
      <c r="E11" t="s">
        <v>32</v>
      </c>
      <c r="F11" s="29">
        <f>41871*0.4536</f>
        <v>18992.685600000001</v>
      </c>
      <c r="G11" s="196">
        <v>18949.3</v>
      </c>
      <c r="H11" s="30">
        <f t="shared" si="0"/>
        <v>-43.385600000001432</v>
      </c>
      <c r="I11" s="28" t="s">
        <v>3674</v>
      </c>
      <c r="J11" s="52" t="s">
        <v>1690</v>
      </c>
      <c r="K11" s="31">
        <v>43648</v>
      </c>
      <c r="L11" s="31">
        <v>43649</v>
      </c>
      <c r="M11" s="28" t="s">
        <v>33</v>
      </c>
      <c r="N11" s="28" t="s">
        <v>4058</v>
      </c>
      <c r="O11" s="2"/>
      <c r="P11" s="32">
        <f>0.6144+0.105</f>
        <v>0.71939999999999993</v>
      </c>
      <c r="Q11" s="140">
        <v>26000</v>
      </c>
      <c r="R11" s="190">
        <v>11808</v>
      </c>
      <c r="S11" s="194">
        <v>19.268999999999998</v>
      </c>
      <c r="T11" s="33">
        <f t="shared" si="1"/>
        <v>3102.9913074925344</v>
      </c>
      <c r="V11" s="2">
        <v>0.12</v>
      </c>
      <c r="W11" s="2">
        <v>0.3</v>
      </c>
      <c r="X11" s="2">
        <f>IF(O11&gt;0,O11,((P11*2.2046*S11)+(Q11+R11)/G11)+V11)</f>
        <v>32.675645486307992</v>
      </c>
      <c r="Y11" s="2">
        <f>IF(O11&gt;0,O11,((P11*2.2046*S11)+(Q11+R11+T11)/G11)+V11+W11)</f>
        <v>33.139397778344765</v>
      </c>
      <c r="Z11" s="3">
        <f>Y11*F11</f>
        <v>629406.16297744063</v>
      </c>
      <c r="AA11" s="34">
        <v>43640</v>
      </c>
      <c r="AB11" s="3">
        <v>32.909999999999997</v>
      </c>
      <c r="AC11" s="35"/>
    </row>
    <row r="12" spans="1:32" x14ac:dyDescent="0.25">
      <c r="A12" s="147"/>
      <c r="B12" s="27" t="s">
        <v>26</v>
      </c>
      <c r="C12" t="s">
        <v>27</v>
      </c>
      <c r="D12" s="28" t="s">
        <v>1682</v>
      </c>
      <c r="E12">
        <v>200</v>
      </c>
      <c r="F12" s="29">
        <v>24575</v>
      </c>
      <c r="G12" s="196">
        <v>18960</v>
      </c>
      <c r="H12" s="30">
        <f t="shared" si="0"/>
        <v>-5615</v>
      </c>
      <c r="I12" t="s">
        <v>4163</v>
      </c>
      <c r="J12">
        <v>200</v>
      </c>
      <c r="K12" s="31"/>
      <c r="L12" s="31">
        <v>43649</v>
      </c>
      <c r="M12" s="28" t="s">
        <v>33</v>
      </c>
      <c r="O12" s="2">
        <v>33</v>
      </c>
      <c r="P12" s="32"/>
      <c r="Q12" s="140">
        <v>22800</v>
      </c>
      <c r="R12" s="2">
        <f>75.45*E12</f>
        <v>15090</v>
      </c>
      <c r="S12" s="33">
        <f>-38*E12</f>
        <v>-7600</v>
      </c>
      <c r="T12" s="33">
        <f t="shared" si="1"/>
        <v>5458.5080102848096</v>
      </c>
      <c r="U12" s="2">
        <f>E12*5</f>
        <v>1000</v>
      </c>
      <c r="W12" s="2">
        <v>0.3</v>
      </c>
      <c r="X12" s="2">
        <f>((O12*F12)+Q12+R12+S12+U12)/G12</f>
        <v>44.423259493670884</v>
      </c>
      <c r="Y12" s="2">
        <f>((O12*F12)+Q12+R12+S12+T12+U12)/G12+W12</f>
        <v>45.011155485774516</v>
      </c>
      <c r="Z12" s="3">
        <f>Y12*G12</f>
        <v>853411.50801028486</v>
      </c>
      <c r="AA12" s="34">
        <v>43662</v>
      </c>
      <c r="AB12" s="3">
        <v>32.83</v>
      </c>
      <c r="AC12" s="35"/>
    </row>
    <row r="13" spans="1:32" x14ac:dyDescent="0.25">
      <c r="A13" s="147"/>
      <c r="B13" s="27" t="s">
        <v>26</v>
      </c>
      <c r="C13" t="s">
        <v>27</v>
      </c>
      <c r="D13" s="28" t="s">
        <v>1871</v>
      </c>
      <c r="E13">
        <v>130</v>
      </c>
      <c r="F13" s="29">
        <v>14810</v>
      </c>
      <c r="G13" s="196">
        <v>12730</v>
      </c>
      <c r="H13" s="30">
        <f t="shared" si="0"/>
        <v>-2080</v>
      </c>
      <c r="I13" t="s">
        <v>4164</v>
      </c>
      <c r="J13" s="55">
        <v>129</v>
      </c>
      <c r="K13" s="31"/>
      <c r="L13" s="31">
        <v>43649</v>
      </c>
      <c r="M13" s="28" t="s">
        <v>33</v>
      </c>
      <c r="O13" s="2">
        <v>33</v>
      </c>
      <c r="P13" s="32"/>
      <c r="Q13" s="140">
        <v>18100</v>
      </c>
      <c r="R13" s="2">
        <f>75.45*E13</f>
        <v>9808.5</v>
      </c>
      <c r="S13" s="33">
        <f>-38*E13</f>
        <v>-4940</v>
      </c>
      <c r="T13" s="33">
        <f t="shared" si="1"/>
        <v>2980.3147230950512</v>
      </c>
      <c r="U13" s="2">
        <f>E13*5</f>
        <v>650</v>
      </c>
      <c r="W13" s="2">
        <v>0.3</v>
      </c>
      <c r="X13" s="2">
        <f>((O13*F13)+Q13+R13+S13+U13)/G13</f>
        <v>40.247329143754911</v>
      </c>
      <c r="Y13" s="2">
        <f>((O13*F13)+Q13+R13+S13+T13+U13)/G13+W13</f>
        <v>40.781446561122941</v>
      </c>
      <c r="Z13" s="3">
        <f>Y13*G13</f>
        <v>519147.81472309504</v>
      </c>
      <c r="AA13" s="34">
        <v>43662</v>
      </c>
      <c r="AB13" s="3">
        <v>32.83</v>
      </c>
      <c r="AC13" s="35" t="s">
        <v>4165</v>
      </c>
    </row>
    <row r="14" spans="1:32" x14ac:dyDescent="0.25">
      <c r="A14" s="147"/>
      <c r="B14" s="27" t="s">
        <v>1729</v>
      </c>
      <c r="C14" t="s">
        <v>1814</v>
      </c>
      <c r="D14" s="28" t="s">
        <v>1734</v>
      </c>
      <c r="E14" t="s">
        <v>1811</v>
      </c>
      <c r="F14" s="29">
        <v>1737.99</v>
      </c>
      <c r="G14" s="196">
        <v>1737.99</v>
      </c>
      <c r="H14" s="30">
        <f t="shared" si="0"/>
        <v>0</v>
      </c>
      <c r="I14" s="191" t="s">
        <v>4221</v>
      </c>
      <c r="J14" s="191"/>
      <c r="K14" s="201"/>
      <c r="L14" s="201">
        <v>43649</v>
      </c>
      <c r="M14" s="199" t="s">
        <v>33</v>
      </c>
      <c r="N14" s="191"/>
      <c r="O14" s="190">
        <v>87.5</v>
      </c>
      <c r="P14" s="202"/>
      <c r="Q14" s="190"/>
      <c r="R14" s="2"/>
      <c r="S14" s="33"/>
      <c r="T14" s="33"/>
      <c r="U14" s="2"/>
      <c r="W14" s="2"/>
      <c r="X14" s="2">
        <f>IF(O14&gt;0,O14,((P14*2.2046*S14)+(Q14+R14)/G14)+V14)</f>
        <v>87.5</v>
      </c>
      <c r="Y14" s="2">
        <f>IF(O14&gt;0,O14,((P14*2.2046*S14)+(Q14+R14+T14)/G14)+V14+W14)</f>
        <v>87.5</v>
      </c>
      <c r="Z14" s="3">
        <f>Y14*F14</f>
        <v>152074.125</v>
      </c>
      <c r="AA14" s="34">
        <v>43656</v>
      </c>
      <c r="AB14" s="3"/>
      <c r="AC14" s="35"/>
    </row>
    <row r="15" spans="1:32" x14ac:dyDescent="0.25">
      <c r="A15" s="147"/>
      <c r="B15" s="27" t="s">
        <v>1805</v>
      </c>
      <c r="C15" t="s">
        <v>2450</v>
      </c>
      <c r="D15" s="28" t="s">
        <v>1806</v>
      </c>
      <c r="E15" t="s">
        <v>2007</v>
      </c>
      <c r="F15" s="29">
        <f>865+870</f>
        <v>1735</v>
      </c>
      <c r="G15" s="196">
        <v>1735</v>
      </c>
      <c r="H15" s="30">
        <f t="shared" si="0"/>
        <v>0</v>
      </c>
      <c r="I15" s="191" t="s">
        <v>4223</v>
      </c>
      <c r="J15" s="191"/>
      <c r="K15" s="201"/>
      <c r="L15" s="201">
        <v>43650</v>
      </c>
      <c r="M15" s="199" t="s">
        <v>41</v>
      </c>
      <c r="N15" s="191"/>
      <c r="O15" s="190">
        <v>19</v>
      </c>
      <c r="P15" s="202"/>
      <c r="Q15" s="190"/>
      <c r="R15" s="2"/>
      <c r="S15" s="33"/>
      <c r="T15" s="33"/>
      <c r="U15" s="2"/>
      <c r="W15" s="2"/>
      <c r="X15" s="2">
        <f>IF(O15&gt;0,O15,((P15*2.2046*S15)+(Q15+R15)/G15)+V15)</f>
        <v>19</v>
      </c>
      <c r="Y15" s="2">
        <f>IF(O15&gt;0,O15,((P15*2.2046*S15)+(Q15+R15+T15)/G15)+V15+W15)</f>
        <v>19</v>
      </c>
      <c r="Z15" s="3">
        <f>Y15*F15</f>
        <v>32965</v>
      </c>
      <c r="AA15" s="34">
        <v>43657</v>
      </c>
      <c r="AB15" s="3"/>
      <c r="AC15" s="35"/>
    </row>
    <row r="16" spans="1:32" x14ac:dyDescent="0.25">
      <c r="A16" s="147"/>
      <c r="B16" s="27" t="s">
        <v>30</v>
      </c>
      <c r="C16" s="28" t="s">
        <v>40</v>
      </c>
      <c r="D16" s="28" t="s">
        <v>40</v>
      </c>
      <c r="E16" t="s">
        <v>37</v>
      </c>
      <c r="F16" s="29">
        <f>42067*0.4536</f>
        <v>19081.591199999999</v>
      </c>
      <c r="G16" s="196">
        <v>19050.71</v>
      </c>
      <c r="H16" s="30">
        <f t="shared" si="0"/>
        <v>-30.881199999999808</v>
      </c>
      <c r="I16" t="s">
        <v>4064</v>
      </c>
      <c r="J16" s="52" t="s">
        <v>196</v>
      </c>
      <c r="K16" s="31">
        <v>43649</v>
      </c>
      <c r="L16" s="31">
        <v>43650</v>
      </c>
      <c r="M16" s="28" t="s">
        <v>41</v>
      </c>
      <c r="N16" s="28" t="s">
        <v>3796</v>
      </c>
      <c r="O16" s="2"/>
      <c r="P16" s="32">
        <f>0.6115+0.105</f>
        <v>0.71650000000000003</v>
      </c>
      <c r="Q16" s="140">
        <v>26000</v>
      </c>
      <c r="R16" s="190">
        <v>10858</v>
      </c>
      <c r="S16" s="194">
        <v>19.234999999999999</v>
      </c>
      <c r="T16" s="33">
        <f>X16*F16*0.005</f>
        <v>3094.8679089651951</v>
      </c>
      <c r="V16" s="2">
        <v>0.12</v>
      </c>
      <c r="W16" s="2">
        <v>0.3</v>
      </c>
      <c r="X16" s="2">
        <f>IF(O16&gt;0,O16,((P16*2.2046*S16)+(Q16+R16)/G16)+V16)</f>
        <v>32.438258178020241</v>
      </c>
      <c r="Y16" s="2">
        <f>IF(O16&gt;0,O16,((P16*2.2046*S16)+(Q16+R16+T16)/G16)+V16+W16)</f>
        <v>32.900712380985119</v>
      </c>
      <c r="Z16" s="3">
        <f>Y16*F16</f>
        <v>627797.94384273665</v>
      </c>
      <c r="AA16" s="34">
        <v>43643</v>
      </c>
      <c r="AB16" s="205">
        <v>32.75</v>
      </c>
      <c r="AC16" s="35"/>
    </row>
    <row r="17" spans="1:32" x14ac:dyDescent="0.25">
      <c r="A17" s="147"/>
      <c r="B17" s="27" t="s">
        <v>30</v>
      </c>
      <c r="C17" s="28" t="s">
        <v>40</v>
      </c>
      <c r="D17" s="28" t="s">
        <v>40</v>
      </c>
      <c r="E17" t="s">
        <v>37</v>
      </c>
      <c r="F17" s="29">
        <f>42302*0.4536</f>
        <v>19188.1872</v>
      </c>
      <c r="G17" s="196">
        <v>19154.12</v>
      </c>
      <c r="H17" s="30">
        <f t="shared" si="0"/>
        <v>-34.067200000001321</v>
      </c>
      <c r="I17" t="s">
        <v>4065</v>
      </c>
      <c r="J17" s="52" t="s">
        <v>196</v>
      </c>
      <c r="K17" s="31">
        <v>43649</v>
      </c>
      <c r="L17" s="31">
        <v>43650</v>
      </c>
      <c r="M17" s="28" t="s">
        <v>41</v>
      </c>
      <c r="N17" s="28" t="s">
        <v>3796</v>
      </c>
      <c r="O17" s="2"/>
      <c r="P17" s="32">
        <f>0.6115+0.105</f>
        <v>0.71650000000000003</v>
      </c>
      <c r="Q17" s="140">
        <v>26000</v>
      </c>
      <c r="R17" s="190">
        <v>9508</v>
      </c>
      <c r="S17" s="194">
        <v>19.234999999999999</v>
      </c>
      <c r="T17" s="33">
        <f>X17*F17*0.005</f>
        <v>3104.3927144752174</v>
      </c>
      <c r="V17" s="2">
        <v>0.12</v>
      </c>
      <c r="W17" s="2">
        <v>0.3</v>
      </c>
      <c r="X17" s="2">
        <f>IF(O17&gt;0,O17,((P17*2.2046*S17)+(Q17+R17)/G17)+V17)</f>
        <v>32.357331957603762</v>
      </c>
      <c r="Y17" s="2">
        <f>IF(O17&gt;0,O17,((P17*2.2046*S17)+(Q17+R17+T17)/G17)+V17+W17)</f>
        <v>32.819406368460285</v>
      </c>
      <c r="Z17" s="3">
        <f>Y17*F17</f>
        <v>629744.91319088812</v>
      </c>
      <c r="AA17" s="34">
        <v>43643</v>
      </c>
      <c r="AB17" s="51">
        <f>SUM(AB8:AB16)/6</f>
        <v>38.375</v>
      </c>
      <c r="AC17" s="35"/>
    </row>
    <row r="18" spans="1:32" x14ac:dyDescent="0.25">
      <c r="A18" s="147"/>
      <c r="B18" s="27" t="s">
        <v>26</v>
      </c>
      <c r="C18" t="s">
        <v>27</v>
      </c>
      <c r="D18" s="28" t="s">
        <v>1682</v>
      </c>
      <c r="E18">
        <v>230</v>
      </c>
      <c r="F18" s="29">
        <v>26945</v>
      </c>
      <c r="G18" s="196">
        <v>23160</v>
      </c>
      <c r="H18" s="30">
        <f t="shared" si="0"/>
        <v>-3785</v>
      </c>
      <c r="I18" t="s">
        <v>4187</v>
      </c>
      <c r="J18" s="55">
        <v>250</v>
      </c>
      <c r="K18" s="31"/>
      <c r="L18" s="31">
        <v>43650</v>
      </c>
      <c r="M18" s="28" t="s">
        <v>41</v>
      </c>
      <c r="O18" s="2">
        <v>33</v>
      </c>
      <c r="P18" s="32"/>
      <c r="Q18" s="138">
        <v>22800</v>
      </c>
      <c r="R18" s="190">
        <f>75.45*E18</f>
        <v>17353.5</v>
      </c>
      <c r="S18" s="33">
        <f>-38*E18</f>
        <v>-8740</v>
      </c>
      <c r="T18" s="33">
        <f>X18*F18*0.0045</f>
        <v>4825.7474091645081</v>
      </c>
      <c r="U18" s="2">
        <f>E18*5</f>
        <v>1150</v>
      </c>
      <c r="W18" s="2">
        <v>0.3</v>
      </c>
      <c r="X18" s="2">
        <f>((O18*F18)+Q18+R18+S18+U18)/G18</f>
        <v>39.799158031088083</v>
      </c>
      <c r="Y18" s="2">
        <f>((O18*F18)+Q18+R18+S18+T18+U18)/G18+W18</f>
        <v>40.307523635974285</v>
      </c>
      <c r="Z18" s="3">
        <f>Y18*G18</f>
        <v>933522.24740916444</v>
      </c>
      <c r="AA18" s="34">
        <v>43663</v>
      </c>
      <c r="AB18" s="3">
        <v>43.8</v>
      </c>
      <c r="AC18" s="35"/>
    </row>
    <row r="19" spans="1:32" x14ac:dyDescent="0.25">
      <c r="A19" s="147"/>
      <c r="B19" s="27" t="s">
        <v>26</v>
      </c>
      <c r="C19" t="s">
        <v>27</v>
      </c>
      <c r="D19" s="28" t="s">
        <v>1871</v>
      </c>
      <c r="E19">
        <v>151</v>
      </c>
      <c r="F19" s="29">
        <v>15635</v>
      </c>
      <c r="G19" s="196">
        <v>10650</v>
      </c>
      <c r="H19" s="30">
        <f t="shared" si="0"/>
        <v>-4985</v>
      </c>
      <c r="I19" t="s">
        <v>4188</v>
      </c>
      <c r="J19" s="55">
        <v>131</v>
      </c>
      <c r="K19" s="31"/>
      <c r="L19" s="31">
        <v>43650</v>
      </c>
      <c r="M19" s="28" t="s">
        <v>41</v>
      </c>
      <c r="O19" s="2">
        <v>33</v>
      </c>
      <c r="P19" s="32"/>
      <c r="Q19" s="140">
        <v>18100</v>
      </c>
      <c r="R19" s="2">
        <f>75.45*E19</f>
        <v>11392.95</v>
      </c>
      <c r="S19" s="33">
        <f>-38*E19</f>
        <v>-5738</v>
      </c>
      <c r="T19" s="33">
        <f>X19*F19*0.0045</f>
        <v>3570.4941520774646</v>
      </c>
      <c r="U19" s="2">
        <f>E19*5</f>
        <v>755</v>
      </c>
      <c r="W19" s="2">
        <v>0.3</v>
      </c>
      <c r="X19" s="2">
        <f>((O19*F19)+Q19+R19+S19+U19)/G19</f>
        <v>50.747882629107977</v>
      </c>
      <c r="Y19" s="2">
        <f>((O19*F19)+Q19+R19+S19+T19+U19)/G19+W19</f>
        <v>51.38314029596971</v>
      </c>
      <c r="Z19" s="3">
        <f>Y19*G19</f>
        <v>547230.44415207743</v>
      </c>
      <c r="AA19" s="34">
        <v>43663</v>
      </c>
      <c r="AB19" s="3"/>
      <c r="AC19" s="35" t="s">
        <v>4191</v>
      </c>
    </row>
    <row r="20" spans="1:32" x14ac:dyDescent="0.25">
      <c r="A20" s="147"/>
      <c r="B20" s="27" t="s">
        <v>26</v>
      </c>
      <c r="C20" t="s">
        <v>27</v>
      </c>
      <c r="D20" s="28" t="s">
        <v>1682</v>
      </c>
      <c r="E20">
        <v>200</v>
      </c>
      <c r="F20" s="29">
        <v>23690</v>
      </c>
      <c r="G20" s="196">
        <v>23370</v>
      </c>
      <c r="H20" s="30">
        <f t="shared" si="0"/>
        <v>-320</v>
      </c>
      <c r="I20" t="s">
        <v>4192</v>
      </c>
      <c r="J20" s="55">
        <v>250</v>
      </c>
      <c r="K20" s="31"/>
      <c r="L20" s="31">
        <v>43651</v>
      </c>
      <c r="M20" s="28" t="s">
        <v>45</v>
      </c>
      <c r="O20" s="2">
        <v>33</v>
      </c>
      <c r="P20" s="32"/>
      <c r="Q20" s="138">
        <v>22800</v>
      </c>
      <c r="R20" s="2">
        <f>75.45*E20</f>
        <v>15090</v>
      </c>
      <c r="S20" s="33">
        <f>-38*E20</f>
        <v>-7600</v>
      </c>
      <c r="T20" s="33">
        <f>X20*F20*0.0045</f>
        <v>3708.8686906290118</v>
      </c>
      <c r="U20" s="2">
        <f>E20*5</f>
        <v>1000</v>
      </c>
      <c r="W20" s="2">
        <v>0.3</v>
      </c>
      <c r="X20" s="2">
        <f>((O20*F20)+Q20+R20+S20+U20)/G20</f>
        <v>34.790757381258025</v>
      </c>
      <c r="Y20" s="2">
        <f>((O20*F20)+Q20+R20+S20+T20+U20)/G20+W20</f>
        <v>35.249459507515148</v>
      </c>
      <c r="Z20" s="3">
        <f>Y20*G20</f>
        <v>823779.86869062902</v>
      </c>
      <c r="AA20" s="34">
        <v>43664</v>
      </c>
      <c r="AB20" s="3"/>
      <c r="AC20" s="35"/>
    </row>
    <row r="21" spans="1:32" x14ac:dyDescent="0.25">
      <c r="A21" s="147"/>
      <c r="B21" s="27" t="s">
        <v>26</v>
      </c>
      <c r="C21" t="s">
        <v>27</v>
      </c>
      <c r="D21" s="28" t="s">
        <v>1871</v>
      </c>
      <c r="E21">
        <v>181</v>
      </c>
      <c r="F21" s="29">
        <v>19980</v>
      </c>
      <c r="G21" s="196">
        <v>11350</v>
      </c>
      <c r="H21" s="30">
        <f t="shared" si="0"/>
        <v>-8630</v>
      </c>
      <c r="I21" s="28" t="s">
        <v>4193</v>
      </c>
      <c r="J21" s="55">
        <v>181</v>
      </c>
      <c r="K21" s="31"/>
      <c r="L21" s="31">
        <v>43651</v>
      </c>
      <c r="M21" s="28" t="s">
        <v>45</v>
      </c>
      <c r="O21" s="2">
        <v>33</v>
      </c>
      <c r="P21" s="32"/>
      <c r="Q21" s="140">
        <v>18100</v>
      </c>
      <c r="R21" s="2">
        <f>75.45*E21</f>
        <v>13656.45</v>
      </c>
      <c r="S21" s="33">
        <f>-38*E21</f>
        <v>-6878</v>
      </c>
      <c r="T21" s="33">
        <f>X21*F21*0.0045</f>
        <v>5427.2642633920705</v>
      </c>
      <c r="U21" s="2">
        <f>E21*5</f>
        <v>905</v>
      </c>
      <c r="W21" s="2">
        <v>0.3</v>
      </c>
      <c r="X21" s="2">
        <f>((O21*F21)+Q21+R21+S21+U21)/G21</f>
        <v>60.363299559471365</v>
      </c>
      <c r="Y21" s="2">
        <f>((O21*F21)+Q21+R21+S21+T21+U21)/G21+W21</f>
        <v>61.141472622325288</v>
      </c>
      <c r="Z21" s="3">
        <f>Y21*G21</f>
        <v>693955.71426339203</v>
      </c>
      <c r="AA21" s="34">
        <v>43664</v>
      </c>
      <c r="AB21" s="3"/>
      <c r="AC21" s="35" t="s">
        <v>4194</v>
      </c>
    </row>
    <row r="22" spans="1:32" x14ac:dyDescent="0.25">
      <c r="A22" s="147"/>
      <c r="B22" s="27" t="s">
        <v>30</v>
      </c>
      <c r="C22" t="s">
        <v>40</v>
      </c>
      <c r="D22" s="28" t="s">
        <v>40</v>
      </c>
      <c r="E22" t="s">
        <v>37</v>
      </c>
      <c r="F22" s="29">
        <f>42831*0.4536</f>
        <v>19428.141599999999</v>
      </c>
      <c r="G22" s="196">
        <v>19293.419999999998</v>
      </c>
      <c r="H22" s="30">
        <f t="shared" si="0"/>
        <v>-134.72160000000076</v>
      </c>
      <c r="I22" t="s">
        <v>4066</v>
      </c>
      <c r="J22" s="52" t="s">
        <v>196</v>
      </c>
      <c r="K22" s="31">
        <v>43651</v>
      </c>
      <c r="L22" s="31">
        <v>43652</v>
      </c>
      <c r="M22" s="28" t="s">
        <v>46</v>
      </c>
      <c r="N22" s="28" t="s">
        <v>4061</v>
      </c>
      <c r="O22" s="2"/>
      <c r="P22" s="32">
        <f>0.6071+0.105</f>
        <v>0.71209999999999996</v>
      </c>
      <c r="Q22" s="140">
        <v>26000</v>
      </c>
      <c r="R22" s="190">
        <v>11808</v>
      </c>
      <c r="S22" s="194">
        <v>19.216999999999999</v>
      </c>
      <c r="T22" s="33">
        <f>X22*F22*0.005</f>
        <v>3132.6243190817809</v>
      </c>
      <c r="V22" s="2">
        <v>0.12</v>
      </c>
      <c r="W22" s="2">
        <v>0.3</v>
      </c>
      <c r="X22" s="2">
        <f>IF(O22&gt;0,O22,((P22*2.2046*S22)+(Q22+R22)/G22)+V22)</f>
        <v>32.248316731249076</v>
      </c>
      <c r="Y22" s="2">
        <f>IF(O22&gt;0,O22,((P22*2.2046*S22)+(Q22+R22+T22)/G22)+V22+W22)</f>
        <v>32.71068422851404</v>
      </c>
      <c r="Z22" s="3">
        <f>Y22*F22</f>
        <v>635507.80502445751</v>
      </c>
      <c r="AA22" s="34">
        <v>43644</v>
      </c>
      <c r="AB22" s="3"/>
      <c r="AC22" s="35"/>
    </row>
    <row r="23" spans="1:32" x14ac:dyDescent="0.25">
      <c r="A23" s="147"/>
      <c r="B23" s="27" t="s">
        <v>1805</v>
      </c>
      <c r="C23" t="s">
        <v>2450</v>
      </c>
      <c r="D23" s="28" t="s">
        <v>1806</v>
      </c>
      <c r="E23" t="s">
        <v>3857</v>
      </c>
      <c r="F23" s="29">
        <f>847+861+862+851+869+840</f>
        <v>5130</v>
      </c>
      <c r="G23" s="196">
        <v>5130</v>
      </c>
      <c r="H23" s="30">
        <f t="shared" si="0"/>
        <v>0</v>
      </c>
      <c r="I23" t="s">
        <v>4224</v>
      </c>
      <c r="J23" s="191"/>
      <c r="K23" s="31"/>
      <c r="L23" s="31">
        <v>43652</v>
      </c>
      <c r="M23" s="28" t="s">
        <v>46</v>
      </c>
      <c r="N23" s="28"/>
      <c r="O23" s="2">
        <v>19</v>
      </c>
      <c r="P23" s="32"/>
      <c r="Q23" s="2"/>
      <c r="R23" s="190"/>
      <c r="S23" s="194"/>
      <c r="T23" s="33">
        <f>X23*F23*0.005</f>
        <v>487.35</v>
      </c>
      <c r="V23" s="2"/>
      <c r="W23" s="2"/>
      <c r="X23" s="2">
        <f>IF(O23&gt;0,O23,((P23*2.2046*S23)+(Q23+R23)/G23)+V23)</f>
        <v>19</v>
      </c>
      <c r="Y23" s="2">
        <f>IF(O23&gt;0,O23,((P23*2.2046*S23)+(Q23+R23+T23)/G23)+V23+W23)</f>
        <v>19</v>
      </c>
      <c r="Z23" s="3">
        <f>Y23*F23</f>
        <v>97470</v>
      </c>
      <c r="AA23" s="34">
        <v>43661</v>
      </c>
      <c r="AB23" s="3"/>
      <c r="AC23" s="35"/>
    </row>
    <row r="24" spans="1:32" ht="15.75" thickBot="1" x14ac:dyDescent="0.3">
      <c r="A24" s="148"/>
      <c r="B24" s="41"/>
      <c r="C24" s="4"/>
      <c r="D24" s="4"/>
      <c r="E24" s="4"/>
      <c r="F24" s="42"/>
      <c r="G24" s="42"/>
      <c r="H24" s="42"/>
      <c r="I24" s="7"/>
      <c r="J24" s="4"/>
      <c r="K24" s="8"/>
      <c r="L24" s="8"/>
      <c r="M24" s="4"/>
      <c r="N24" s="4"/>
      <c r="O24" s="9"/>
      <c r="P24" s="10"/>
      <c r="Q24" s="9"/>
      <c r="R24" s="9"/>
      <c r="S24" s="9"/>
      <c r="T24" s="9"/>
      <c r="U24" s="9"/>
      <c r="V24" s="9"/>
      <c r="W24" s="9"/>
      <c r="X24" s="9"/>
      <c r="Y24" s="9"/>
      <c r="Z24" s="13"/>
      <c r="AA24" s="43"/>
      <c r="AB24" s="3"/>
      <c r="AC24" s="35"/>
    </row>
    <row r="25" spans="1:32" x14ac:dyDescent="0.25">
      <c r="A25" s="254"/>
      <c r="B25" s="14" t="s">
        <v>26</v>
      </c>
      <c r="C25" s="14" t="s">
        <v>27</v>
      </c>
      <c r="D25" s="15" t="s">
        <v>1682</v>
      </c>
      <c r="E25" s="14">
        <v>229</v>
      </c>
      <c r="F25" s="16">
        <v>27355</v>
      </c>
      <c r="G25" s="17">
        <v>23820</v>
      </c>
      <c r="H25" s="17">
        <f t="shared" ref="H25:H46" si="2">G25-F25</f>
        <v>-3535</v>
      </c>
      <c r="I25" s="19" t="s">
        <v>4227</v>
      </c>
      <c r="J25" s="14">
        <v>250</v>
      </c>
      <c r="K25" s="20"/>
      <c r="L25" s="20">
        <v>43653</v>
      </c>
      <c r="M25" s="15" t="s">
        <v>28</v>
      </c>
      <c r="N25" s="14"/>
      <c r="O25" s="21">
        <v>33</v>
      </c>
      <c r="P25" s="22"/>
      <c r="Q25" s="139">
        <v>22800</v>
      </c>
      <c r="R25" s="2">
        <f>75.45*E25</f>
        <v>17278.05</v>
      </c>
      <c r="S25" s="33">
        <f>-38*E25</f>
        <v>-8702</v>
      </c>
      <c r="T25" s="23">
        <f>X25*F25*0.0045</f>
        <v>4833.1326475598244</v>
      </c>
      <c r="U25" s="21">
        <f>E25*5</f>
        <v>1145</v>
      </c>
      <c r="V25" s="14"/>
      <c r="W25" s="21">
        <v>0.3</v>
      </c>
      <c r="X25" s="21">
        <f>((O25*F25)+Q25+R25+S25+U25)/G25</f>
        <v>39.262638539042825</v>
      </c>
      <c r="Y25" s="24">
        <f>((O25*F25)+Q25+R25+S25+T25+U25)/G25+W25</f>
        <v>39.765540833230894</v>
      </c>
      <c r="Z25" s="24">
        <f>Y25*G25</f>
        <v>947215.18264755991</v>
      </c>
      <c r="AA25" s="25">
        <v>43668</v>
      </c>
      <c r="AB25" s="3"/>
      <c r="AC25" s="3" t="s">
        <v>4229</v>
      </c>
    </row>
    <row r="26" spans="1:32" x14ac:dyDescent="0.25">
      <c r="A26" s="255"/>
      <c r="B26" s="27" t="s">
        <v>26</v>
      </c>
      <c r="C26" t="s">
        <v>27</v>
      </c>
      <c r="D26" s="28" t="s">
        <v>1829</v>
      </c>
      <c r="E26">
        <v>150</v>
      </c>
      <c r="F26" s="227">
        <v>16210</v>
      </c>
      <c r="G26" s="252">
        <v>10910</v>
      </c>
      <c r="H26" s="30">
        <f t="shared" si="2"/>
        <v>-5300</v>
      </c>
      <c r="I26" s="253" t="s">
        <v>4228</v>
      </c>
      <c r="J26" s="248">
        <v>129</v>
      </c>
      <c r="K26" s="249"/>
      <c r="L26" s="249">
        <v>43653</v>
      </c>
      <c r="M26" s="226" t="s">
        <v>28</v>
      </c>
      <c r="N26" s="248"/>
      <c r="O26" s="250">
        <v>33</v>
      </c>
      <c r="P26" s="251"/>
      <c r="Q26" s="140">
        <v>18100</v>
      </c>
      <c r="R26" s="2">
        <f>75.45*E26</f>
        <v>11317.5</v>
      </c>
      <c r="S26" s="33">
        <f>-38*E26</f>
        <v>-5700</v>
      </c>
      <c r="T26" s="33">
        <f>X26*F26*0.005</f>
        <v>4155.744030705775</v>
      </c>
      <c r="U26" s="2">
        <f>E26*5</f>
        <v>750</v>
      </c>
      <c r="W26" s="2">
        <v>0.3</v>
      </c>
      <c r="X26" s="2">
        <f>((O26*F26)+Q26+R26+S26+U26)/G26</f>
        <v>51.27383134738772</v>
      </c>
      <c r="Y26" s="2">
        <f>((O26*F26)+Q26+R26+S26+T26+U26)/G26+W26</f>
        <v>51.954742807580729</v>
      </c>
      <c r="Z26" s="3">
        <f>Y26*G26</f>
        <v>566826.24403070577</v>
      </c>
      <c r="AA26" s="34">
        <v>43668</v>
      </c>
      <c r="AB26" s="3">
        <v>32.31</v>
      </c>
    </row>
    <row r="27" spans="1:32" x14ac:dyDescent="0.25">
      <c r="A27" s="255"/>
      <c r="B27" s="27" t="s">
        <v>26</v>
      </c>
      <c r="C27" t="s">
        <v>27</v>
      </c>
      <c r="D27" s="28" t="s">
        <v>2000</v>
      </c>
      <c r="E27">
        <f>230+20</f>
        <v>250</v>
      </c>
      <c r="F27" s="227">
        <f>26915+2055</f>
        <v>28970</v>
      </c>
      <c r="G27" s="264">
        <f>16870+6260</f>
        <v>23130</v>
      </c>
      <c r="H27" s="30">
        <f t="shared" si="2"/>
        <v>-5840</v>
      </c>
      <c r="I27" s="253" t="s">
        <v>4237</v>
      </c>
      <c r="J27" s="248"/>
      <c r="K27" s="249"/>
      <c r="L27" s="249">
        <v>43654</v>
      </c>
      <c r="M27" s="226" t="s">
        <v>29</v>
      </c>
      <c r="N27" s="248"/>
      <c r="O27" s="250">
        <v>33</v>
      </c>
      <c r="P27" s="251"/>
      <c r="Q27" s="140">
        <v>22800</v>
      </c>
      <c r="R27" s="2">
        <f>75.45*E27</f>
        <v>18862.5</v>
      </c>
      <c r="S27" s="33">
        <f>-38*E27</f>
        <v>-9500</v>
      </c>
      <c r="T27" s="33">
        <f>X27*F27*0.005</f>
        <v>6196.1888942931255</v>
      </c>
      <c r="U27" s="2">
        <f>E27*5</f>
        <v>1250</v>
      </c>
      <c r="W27" s="2">
        <v>0.3</v>
      </c>
      <c r="X27" s="2">
        <f>((O27*F27)+Q27+R27+S27+U27)/G27</f>
        <v>42.776588845654992</v>
      </c>
      <c r="Y27" s="2">
        <f>((O27*F27)+Q27+R27+S27+T27+U27)/G27+W27</f>
        <v>43.344474228028233</v>
      </c>
      <c r="Z27" s="3">
        <f>Y27*G27</f>
        <v>1002557.688894293</v>
      </c>
      <c r="AA27" s="34">
        <v>43668</v>
      </c>
      <c r="AB27" s="3">
        <v>32.36</v>
      </c>
      <c r="AC27" s="3" t="s">
        <v>4264</v>
      </c>
    </row>
    <row r="28" spans="1:32" x14ac:dyDescent="0.25">
      <c r="A28" s="255"/>
      <c r="B28" s="27" t="s">
        <v>30</v>
      </c>
      <c r="C28" s="28" t="s">
        <v>1790</v>
      </c>
      <c r="D28" s="28" t="s">
        <v>1790</v>
      </c>
      <c r="E28" t="s">
        <v>32</v>
      </c>
      <c r="F28" s="29">
        <f>42098*0.4536</f>
        <v>19095.6528</v>
      </c>
      <c r="G28" s="196">
        <v>19039.78</v>
      </c>
      <c r="H28" s="30">
        <f t="shared" si="2"/>
        <v>-55.872800000001007</v>
      </c>
      <c r="I28" s="28" t="s">
        <v>4170</v>
      </c>
      <c r="J28" s="52" t="s">
        <v>196</v>
      </c>
      <c r="K28" s="31">
        <v>43654</v>
      </c>
      <c r="L28" s="31">
        <v>43655</v>
      </c>
      <c r="M28" s="28" t="s">
        <v>48</v>
      </c>
      <c r="N28" s="28" t="s">
        <v>4151</v>
      </c>
      <c r="O28" s="2"/>
      <c r="P28" s="32">
        <f>0.6157+0.095</f>
        <v>0.7107</v>
      </c>
      <c r="Q28" s="140">
        <v>26000</v>
      </c>
      <c r="R28" s="190">
        <v>11808</v>
      </c>
      <c r="S28" s="194">
        <v>18.981000000000002</v>
      </c>
      <c r="T28" s="33">
        <f>X28*F28*0.005</f>
        <v>3040.5380694641026</v>
      </c>
      <c r="V28" s="2">
        <v>0.12</v>
      </c>
      <c r="W28" s="2">
        <v>0.3</v>
      </c>
      <c r="X28" s="2">
        <f>IF(O28&gt;0,O28,((P28*2.2046*S28)+(Q28+R28)/G28)+V28)</f>
        <v>31.845343034977077</v>
      </c>
      <c r="Y28" s="2">
        <f>IF(O28&gt;0,O28,((P28*2.2046*S28)+(Q28+R28+T28)/G28)+V28+W28)</f>
        <v>32.305037005677583</v>
      </c>
      <c r="Z28" s="3">
        <f>Y28*F28</f>
        <v>616885.7703515708</v>
      </c>
      <c r="AA28" s="34">
        <v>43654</v>
      </c>
      <c r="AB28" s="3">
        <v>33.049999999999997</v>
      </c>
      <c r="AC28" s="35"/>
    </row>
    <row r="29" spans="1:32" x14ac:dyDescent="0.25">
      <c r="A29" s="255"/>
      <c r="B29" s="27" t="s">
        <v>30</v>
      </c>
      <c r="C29" s="28" t="s">
        <v>1790</v>
      </c>
      <c r="D29" s="28" t="s">
        <v>1790</v>
      </c>
      <c r="E29" t="s">
        <v>32</v>
      </c>
      <c r="F29" s="29">
        <f>40693*0.4536</f>
        <v>18458.344799999999</v>
      </c>
      <c r="G29" s="196">
        <v>18344.759999999998</v>
      </c>
      <c r="H29" s="30">
        <f t="shared" si="2"/>
        <v>-113.58480000000054</v>
      </c>
      <c r="I29" s="28" t="s">
        <v>4171</v>
      </c>
      <c r="J29" s="52" t="s">
        <v>196</v>
      </c>
      <c r="K29" s="31">
        <v>43654</v>
      </c>
      <c r="L29" s="31">
        <v>43655</v>
      </c>
      <c r="M29" s="28" t="s">
        <v>48</v>
      </c>
      <c r="N29" s="28" t="s">
        <v>4151</v>
      </c>
      <c r="O29" s="2"/>
      <c r="P29" s="32">
        <f t="shared" ref="P29" si="3">0.6157+0.095</f>
        <v>0.7107</v>
      </c>
      <c r="Q29" s="140">
        <v>26000</v>
      </c>
      <c r="R29" s="190">
        <v>9508</v>
      </c>
      <c r="S29" s="194">
        <v>19.05</v>
      </c>
      <c r="T29" s="33">
        <f>X29*F29*0.005</f>
        <v>2944.4114109078077</v>
      </c>
      <c r="V29" s="2">
        <v>0.12</v>
      </c>
      <c r="W29" s="2">
        <v>0.3</v>
      </c>
      <c r="X29" s="2">
        <f>IF(O29&gt;0,O29,((P29*2.2046*S29)+(Q29+R29)/G29)+V29)</f>
        <v>31.903309238299723</v>
      </c>
      <c r="Y29" s="2">
        <f>IF(O29&gt;0,O29,((P29*2.2046*S29)+(Q29+R29+T29)/G29)+V29+W29)</f>
        <v>32.363813459173024</v>
      </c>
      <c r="Z29" s="3">
        <f>Y29*F29</f>
        <v>597382.42787229631</v>
      </c>
      <c r="AA29" s="34">
        <v>43651</v>
      </c>
      <c r="AB29" s="3">
        <v>32.869999999999997</v>
      </c>
      <c r="AC29" s="35"/>
    </row>
    <row r="30" spans="1:32" x14ac:dyDescent="0.25">
      <c r="A30" s="255"/>
      <c r="B30" s="27" t="s">
        <v>26</v>
      </c>
      <c r="C30" t="s">
        <v>27</v>
      </c>
      <c r="D30" s="28" t="s">
        <v>2000</v>
      </c>
      <c r="E30">
        <f>229+20</f>
        <v>249</v>
      </c>
      <c r="F30" s="29">
        <f>28650+2195</f>
        <v>30845</v>
      </c>
      <c r="G30" s="196">
        <f>18060+6900</f>
        <v>24960</v>
      </c>
      <c r="H30" s="30">
        <f t="shared" si="2"/>
        <v>-5885</v>
      </c>
      <c r="I30" s="260" t="s">
        <v>4263</v>
      </c>
      <c r="K30" s="31"/>
      <c r="L30" s="31">
        <v>43655</v>
      </c>
      <c r="M30" s="28" t="s">
        <v>48</v>
      </c>
      <c r="O30" s="2">
        <v>33</v>
      </c>
      <c r="P30" s="32"/>
      <c r="Q30" s="138">
        <v>22800</v>
      </c>
      <c r="R30" s="2">
        <f>75.45*E30</f>
        <v>18787.05</v>
      </c>
      <c r="S30" s="33">
        <f>-38*E30</f>
        <v>-9462</v>
      </c>
      <c r="T30" s="33">
        <f>X30*F30*0.005</f>
        <v>6495.5853399939906</v>
      </c>
      <c r="U30" s="2">
        <f>E30*5</f>
        <v>1245</v>
      </c>
      <c r="W30" s="2">
        <v>0.3</v>
      </c>
      <c r="X30" s="2">
        <f>((O30*F30)+Q30+R30+S30+U30)/G30</f>
        <v>42.117590144230768</v>
      </c>
      <c r="Y30" s="2">
        <f>((O30*F30)+Q30+R30+S30+T30+U30)/G30+W30</f>
        <v>42.677829941506168</v>
      </c>
      <c r="Z30" s="3">
        <f>Y30*G30</f>
        <v>1065238.635339994</v>
      </c>
      <c r="AA30" s="34">
        <v>43669</v>
      </c>
      <c r="AB30" s="3">
        <v>32.049999999999997</v>
      </c>
      <c r="AC30" s="35" t="s">
        <v>4265</v>
      </c>
      <c r="AF30" s="30"/>
    </row>
    <row r="31" spans="1:32" x14ac:dyDescent="0.25">
      <c r="A31" s="255"/>
      <c r="B31" s="27" t="s">
        <v>1729</v>
      </c>
      <c r="C31" t="s">
        <v>1730</v>
      </c>
      <c r="D31" s="28" t="s">
        <v>1734</v>
      </c>
      <c r="E31" t="s">
        <v>4305</v>
      </c>
      <c r="F31" s="29">
        <v>6112.23</v>
      </c>
      <c r="G31" s="196">
        <v>6112.23</v>
      </c>
      <c r="H31" s="30">
        <f t="shared" si="2"/>
        <v>0</v>
      </c>
      <c r="I31" s="260" t="s">
        <v>4306</v>
      </c>
      <c r="K31" s="31"/>
      <c r="L31" s="31">
        <v>43655</v>
      </c>
      <c r="M31" s="28" t="s">
        <v>48</v>
      </c>
      <c r="O31" s="2">
        <v>87.5</v>
      </c>
      <c r="P31" s="32"/>
      <c r="Q31" s="190"/>
      <c r="R31" s="2"/>
      <c r="S31" s="33"/>
      <c r="T31" s="33"/>
      <c r="U31" s="2"/>
      <c r="W31" s="2"/>
      <c r="X31" s="2">
        <f>((O31*F31)+Q31+R31+S31+U31)/G31</f>
        <v>87.5</v>
      </c>
      <c r="Y31" s="2">
        <f>((O31*F31)+Q31+R31+S31+T31+U31)/G31+W31</f>
        <v>87.5</v>
      </c>
      <c r="Z31" s="3">
        <f>Y31*G31</f>
        <v>534820.125</v>
      </c>
      <c r="AA31" s="34">
        <v>43662</v>
      </c>
      <c r="AB31" s="3"/>
      <c r="AC31" s="35"/>
      <c r="AF31" s="30"/>
    </row>
    <row r="32" spans="1:32" x14ac:dyDescent="0.25">
      <c r="A32" s="255"/>
      <c r="B32" s="27" t="s">
        <v>2765</v>
      </c>
      <c r="C32" t="s">
        <v>1814</v>
      </c>
      <c r="D32" s="28" t="s">
        <v>1806</v>
      </c>
      <c r="E32" t="s">
        <v>4309</v>
      </c>
      <c r="F32" s="29">
        <v>1003.59</v>
      </c>
      <c r="G32" s="196">
        <v>1003.59</v>
      </c>
      <c r="H32" s="30">
        <f t="shared" si="2"/>
        <v>0</v>
      </c>
      <c r="I32" s="260" t="s">
        <v>4310</v>
      </c>
      <c r="K32" s="31"/>
      <c r="L32" s="31">
        <v>43655</v>
      </c>
      <c r="M32" s="28" t="s">
        <v>48</v>
      </c>
      <c r="O32" s="2">
        <v>51</v>
      </c>
      <c r="P32" s="32"/>
      <c r="Q32" s="190"/>
      <c r="R32" s="2"/>
      <c r="S32" s="33"/>
      <c r="T32" s="33"/>
      <c r="U32" s="2"/>
      <c r="W32" s="2"/>
      <c r="X32" s="2">
        <f>((O32*F32)+Q32+R32+S32+U32)/G32</f>
        <v>51</v>
      </c>
      <c r="Y32" s="2">
        <f>((O32*F32)+Q32+R32+S32+T32+U32)/G32+W32</f>
        <v>51</v>
      </c>
      <c r="Z32" s="3">
        <f>Y32*G32</f>
        <v>51183.090000000004</v>
      </c>
      <c r="AA32" s="34">
        <v>43663</v>
      </c>
      <c r="AB32" s="3"/>
      <c r="AC32" s="35"/>
      <c r="AF32" s="30"/>
    </row>
    <row r="33" spans="1:32" x14ac:dyDescent="0.25">
      <c r="A33" s="255"/>
      <c r="B33" s="27" t="s">
        <v>2765</v>
      </c>
      <c r="C33" t="s">
        <v>1814</v>
      </c>
      <c r="D33" s="28" t="s">
        <v>1806</v>
      </c>
      <c r="E33" t="s">
        <v>4311</v>
      </c>
      <c r="F33" s="29">
        <v>2006.84</v>
      </c>
      <c r="G33" s="196">
        <v>2006.84</v>
      </c>
      <c r="H33" s="30">
        <f t="shared" si="2"/>
        <v>0</v>
      </c>
      <c r="I33" s="260" t="s">
        <v>4312</v>
      </c>
      <c r="K33" s="31"/>
      <c r="L33" s="31">
        <v>43656</v>
      </c>
      <c r="M33" s="28" t="s">
        <v>33</v>
      </c>
      <c r="O33" s="2">
        <v>51</v>
      </c>
      <c r="P33" s="32"/>
      <c r="Q33" s="190"/>
      <c r="R33" s="2"/>
      <c r="S33" s="33"/>
      <c r="T33" s="33"/>
      <c r="U33" s="2"/>
      <c r="W33" s="2"/>
      <c r="X33" s="2">
        <f>((O33*F33)+Q33+R33+S33+U33)/G33</f>
        <v>51</v>
      </c>
      <c r="Y33" s="2">
        <f>((O33*F33)+Q33+R33+S33+T33+U33)/G33+W33</f>
        <v>51</v>
      </c>
      <c r="Z33" s="3">
        <f>Y33*G33</f>
        <v>102348.84</v>
      </c>
      <c r="AA33" s="34">
        <v>43663</v>
      </c>
      <c r="AB33" s="3"/>
      <c r="AC33" s="35"/>
      <c r="AF33" s="30"/>
    </row>
    <row r="34" spans="1:32" x14ac:dyDescent="0.25">
      <c r="A34" s="255"/>
      <c r="B34" s="27" t="s">
        <v>1805</v>
      </c>
      <c r="C34" t="s">
        <v>2450</v>
      </c>
      <c r="D34" s="28" t="s">
        <v>1806</v>
      </c>
      <c r="E34" t="s">
        <v>1815</v>
      </c>
      <c r="F34" s="29">
        <v>2600</v>
      </c>
      <c r="G34" s="196">
        <v>2600</v>
      </c>
      <c r="H34" s="30">
        <f t="shared" si="2"/>
        <v>0</v>
      </c>
      <c r="I34" s="260" t="s">
        <v>4316</v>
      </c>
      <c r="K34" s="31"/>
      <c r="L34" s="31">
        <v>43656</v>
      </c>
      <c r="M34" s="28" t="s">
        <v>33</v>
      </c>
      <c r="O34" s="2">
        <v>19</v>
      </c>
      <c r="P34" s="32"/>
      <c r="Q34" s="190"/>
      <c r="R34" s="2"/>
      <c r="S34" s="33"/>
      <c r="T34" s="33"/>
      <c r="U34" s="2"/>
      <c r="W34" s="2"/>
      <c r="X34" s="2">
        <f>((O34*F34)+Q34+R34+S34+U34)/G34</f>
        <v>19</v>
      </c>
      <c r="Y34" s="2">
        <f>((O34*F34)+Q34+R34+S34+T34+U34)/G34+W34</f>
        <v>19</v>
      </c>
      <c r="Z34" s="3">
        <f>Y34*G34</f>
        <v>49400</v>
      </c>
      <c r="AA34" s="34">
        <v>43663</v>
      </c>
      <c r="AB34" s="3"/>
      <c r="AC34" s="35"/>
      <c r="AF34" s="30"/>
    </row>
    <row r="35" spans="1:32" x14ac:dyDescent="0.25">
      <c r="A35" s="255"/>
      <c r="B35" s="27" t="s">
        <v>30</v>
      </c>
      <c r="C35" s="28" t="s">
        <v>31</v>
      </c>
      <c r="D35" s="28" t="s">
        <v>31</v>
      </c>
      <c r="E35" t="s">
        <v>32</v>
      </c>
      <c r="F35" s="29">
        <f>42416*0.4536</f>
        <v>19239.8976</v>
      </c>
      <c r="G35" s="196">
        <v>19202</v>
      </c>
      <c r="H35" s="30">
        <f t="shared" si="2"/>
        <v>-37.897600000000239</v>
      </c>
      <c r="I35" s="28" t="s">
        <v>4076</v>
      </c>
      <c r="J35" s="52" t="s">
        <v>1690</v>
      </c>
      <c r="K35" s="31">
        <v>43655</v>
      </c>
      <c r="L35" s="31">
        <v>43656</v>
      </c>
      <c r="M35" s="28" t="s">
        <v>33</v>
      </c>
      <c r="N35" s="28" t="s">
        <v>4166</v>
      </c>
      <c r="O35" s="2"/>
      <c r="P35" s="32">
        <f>0.6157+0.105</f>
        <v>0.72070000000000001</v>
      </c>
      <c r="Q35" s="140">
        <v>26000</v>
      </c>
      <c r="R35" s="190">
        <v>9508</v>
      </c>
      <c r="S35" s="194">
        <v>19.268999999999998</v>
      </c>
      <c r="T35" s="33">
        <f>X35*F35*0.005</f>
        <v>3134.6443099449057</v>
      </c>
      <c r="V35" s="2">
        <v>0.12</v>
      </c>
      <c r="W35" s="2">
        <v>0.3</v>
      </c>
      <c r="X35" s="2">
        <f>IF(O35&gt;0,O35,((P35*2.2046*S35)+(Q35+R35)/G35)+V35)</f>
        <v>32.584833611015746</v>
      </c>
      <c r="Y35" s="2">
        <f>IF(O35&gt;0,O35,((P35*2.2046*S35)+(Q35+R35+T35)/G35)+V35+W35)</f>
        <v>33.048079330729564</v>
      </c>
      <c r="Z35" s="3">
        <f>Y35*F35</f>
        <v>635841.66219991341</v>
      </c>
      <c r="AA35" s="34">
        <v>43641</v>
      </c>
      <c r="AB35" s="3">
        <v>31.77</v>
      </c>
      <c r="AC35" s="3" t="s">
        <v>4252</v>
      </c>
    </row>
    <row r="36" spans="1:32" x14ac:dyDescent="0.25">
      <c r="A36" s="255"/>
      <c r="B36" s="27" t="s">
        <v>30</v>
      </c>
      <c r="C36" s="28" t="s">
        <v>31</v>
      </c>
      <c r="D36" s="28" t="s">
        <v>31</v>
      </c>
      <c r="E36" t="s">
        <v>32</v>
      </c>
      <c r="F36" s="29">
        <f>41423*0.4536</f>
        <v>18789.4728</v>
      </c>
      <c r="G36" s="196">
        <v>18785.18</v>
      </c>
      <c r="H36" s="30">
        <f t="shared" si="2"/>
        <v>-4.2927999999992608</v>
      </c>
      <c r="I36" s="28" t="s">
        <v>4077</v>
      </c>
      <c r="J36" s="52" t="s">
        <v>196</v>
      </c>
      <c r="K36" s="31">
        <v>43655</v>
      </c>
      <c r="L36" s="31">
        <v>43656</v>
      </c>
      <c r="M36" s="28" t="s">
        <v>33</v>
      </c>
      <c r="N36" s="28" t="s">
        <v>4166</v>
      </c>
      <c r="O36" s="2"/>
      <c r="P36" s="32">
        <f>0.6157+0.105</f>
        <v>0.72070000000000001</v>
      </c>
      <c r="Q36" s="140">
        <v>26000</v>
      </c>
      <c r="R36" s="190">
        <v>9508</v>
      </c>
      <c r="S36" s="194">
        <v>19.13</v>
      </c>
      <c r="T36" s="33">
        <f>X36*F36*0.005</f>
        <v>3044.3656282183329</v>
      </c>
      <c r="V36" s="2">
        <v>0.12</v>
      </c>
      <c r="W36" s="2">
        <v>0.3</v>
      </c>
      <c r="X36" s="2">
        <f>IF(O36&gt;0,O36,((P36*2.2046*S36)+(Q36+R36)/G36)+V36)</f>
        <v>32.405013814100556</v>
      </c>
      <c r="Y36" s="2">
        <f>IF(O36&gt;0,O36,((P36*2.2046*S36)+(Q36+R36+T36)/G36)+V36+W36)</f>
        <v>32.867075909231843</v>
      </c>
      <c r="Z36" s="3">
        <f>Y36*F36</f>
        <v>617555.02881204698</v>
      </c>
      <c r="AA36" s="34">
        <v>43648</v>
      </c>
      <c r="AB36" s="3">
        <v>31.76</v>
      </c>
      <c r="AC36" s="35"/>
    </row>
    <row r="37" spans="1:32" x14ac:dyDescent="0.25">
      <c r="A37" s="255"/>
      <c r="B37" s="27" t="s">
        <v>26</v>
      </c>
      <c r="C37" t="s">
        <v>27</v>
      </c>
      <c r="D37" s="28" t="s">
        <v>1998</v>
      </c>
      <c r="E37">
        <f>230+20</f>
        <v>250</v>
      </c>
      <c r="F37" s="29">
        <f>29915+2065</f>
        <v>31980</v>
      </c>
      <c r="G37" s="196">
        <f>18910+6800</f>
        <v>25710</v>
      </c>
      <c r="H37" s="30">
        <f t="shared" si="2"/>
        <v>-6270</v>
      </c>
      <c r="I37" s="28" t="s">
        <v>4287</v>
      </c>
      <c r="K37" s="31"/>
      <c r="L37" s="31">
        <v>43656</v>
      </c>
      <c r="M37" s="28" t="s">
        <v>33</v>
      </c>
      <c r="O37" s="2">
        <v>33</v>
      </c>
      <c r="P37" s="32"/>
      <c r="Q37" s="140">
        <v>22800</v>
      </c>
      <c r="R37" s="190">
        <f>75.45*E37</f>
        <v>18862.5</v>
      </c>
      <c r="S37" s="197">
        <f>-38*E37</f>
        <v>-9500</v>
      </c>
      <c r="T37" s="33">
        <f>X37*F37*0.005</f>
        <v>6771.3545215869308</v>
      </c>
      <c r="U37" s="2">
        <f>E37*5</f>
        <v>1250</v>
      </c>
      <c r="W37" s="2">
        <v>0.3</v>
      </c>
      <c r="X37" s="2">
        <f>((O37*F37)+Q37+R37+S37+U37)/G37</f>
        <v>42.347432905484247</v>
      </c>
      <c r="Y37" s="2">
        <f>((O37*F37)+Q37+R37+S37+T37+U37)/G37+W37</f>
        <v>42.910807254826409</v>
      </c>
      <c r="Z37" s="3">
        <f>Y37*G37</f>
        <v>1103236.854521587</v>
      </c>
      <c r="AA37" s="34">
        <v>43669</v>
      </c>
      <c r="AB37" s="3">
        <v>33.549999999999997</v>
      </c>
      <c r="AC37" s="35" t="s">
        <v>4289</v>
      </c>
    </row>
    <row r="38" spans="1:32" x14ac:dyDescent="0.25">
      <c r="A38" s="255"/>
      <c r="B38" s="27" t="s">
        <v>30</v>
      </c>
      <c r="C38" s="28" t="s">
        <v>40</v>
      </c>
      <c r="D38" s="28" t="s">
        <v>40</v>
      </c>
      <c r="E38" t="s">
        <v>37</v>
      </c>
      <c r="F38" s="29">
        <f>41515*0.4536</f>
        <v>18831.204000000002</v>
      </c>
      <c r="G38" s="196">
        <v>18766.82</v>
      </c>
      <c r="H38" s="30">
        <f t="shared" si="2"/>
        <v>-64.384000000001834</v>
      </c>
      <c r="I38" t="s">
        <v>4173</v>
      </c>
      <c r="J38" s="52" t="s">
        <v>196</v>
      </c>
      <c r="K38" s="31">
        <v>43657</v>
      </c>
      <c r="L38" s="31">
        <v>43658</v>
      </c>
      <c r="M38" s="28" t="s">
        <v>45</v>
      </c>
      <c r="N38" s="28" t="s">
        <v>4167</v>
      </c>
      <c r="O38" s="2"/>
      <c r="P38" s="32">
        <f>0.5953+0.105</f>
        <v>0.70030000000000003</v>
      </c>
      <c r="Q38" s="140">
        <v>26000</v>
      </c>
      <c r="R38" s="190">
        <v>11808</v>
      </c>
      <c r="S38" s="194">
        <v>19.100000000000001</v>
      </c>
      <c r="T38" s="33">
        <f>X38*F38*0.005</f>
        <v>2977.4726370578173</v>
      </c>
      <c r="V38" s="2">
        <v>0.12</v>
      </c>
      <c r="W38" s="2">
        <v>0.3</v>
      </c>
      <c r="X38" s="2">
        <f>IF(O38&gt;0,O38,((P38*2.2046*S38)+(Q38+R38)/G38)+V38)</f>
        <v>31.622753776740105</v>
      </c>
      <c r="Y38" s="2">
        <f>IF(O38&gt;0,O38,((P38*2.2046*S38)+(Q38+R38+T38)/G38)+V38+W38)</f>
        <v>32.081409992180852</v>
      </c>
      <c r="Z38" s="3">
        <f>Y38*F38</f>
        <v>604131.57617039606</v>
      </c>
      <c r="AA38" s="34">
        <v>43649</v>
      </c>
      <c r="AB38" s="51">
        <f>SUM(AB26:AB37)/8</f>
        <v>32.464999999999996</v>
      </c>
      <c r="AC38" s="35" t="s">
        <v>4295</v>
      </c>
    </row>
    <row r="39" spans="1:32" x14ac:dyDescent="0.25">
      <c r="A39" s="255"/>
      <c r="B39" s="27" t="s">
        <v>30</v>
      </c>
      <c r="C39" s="28" t="s">
        <v>35</v>
      </c>
      <c r="D39" s="28" t="s">
        <v>36</v>
      </c>
      <c r="E39" t="s">
        <v>37</v>
      </c>
      <c r="F39" s="29">
        <f>41517*0.4536</f>
        <v>18832.111199999999</v>
      </c>
      <c r="G39" s="196">
        <v>18733.27</v>
      </c>
      <c r="H39" s="30">
        <f t="shared" si="2"/>
        <v>-98.841199999998935</v>
      </c>
      <c r="I39" t="s">
        <v>4172</v>
      </c>
      <c r="J39" s="52" t="s">
        <v>196</v>
      </c>
      <c r="K39" s="31">
        <v>43656</v>
      </c>
      <c r="L39" s="31">
        <v>43657</v>
      </c>
      <c r="M39" s="28" t="s">
        <v>41</v>
      </c>
      <c r="N39" s="28" t="s">
        <v>4152</v>
      </c>
      <c r="O39" s="2"/>
      <c r="P39" s="32">
        <f>0.6953</f>
        <v>0.69530000000000003</v>
      </c>
      <c r="Q39" s="140">
        <v>26000</v>
      </c>
      <c r="R39" s="190">
        <v>9508</v>
      </c>
      <c r="S39" s="194">
        <v>19.12</v>
      </c>
      <c r="T39" s="33">
        <f>X39*F39*0.005</f>
        <v>2949.4573350501864</v>
      </c>
      <c r="V39" s="2">
        <v>0.12</v>
      </c>
      <c r="W39" s="2">
        <v>0.3</v>
      </c>
      <c r="X39" s="2">
        <f>IF(O39&gt;0,O39,((P39*2.2046*S39)+(Q39+R39)/G39)+V39)</f>
        <v>31.323703473566859</v>
      </c>
      <c r="Y39" s="2">
        <f>IF(O39&gt;0,O39,((P39*2.2046*S39)+(Q39+R39+T39)/G39)+V39+W39)</f>
        <v>31.781148347582455</v>
      </c>
      <c r="Z39" s="3">
        <f>Y39*F39</f>
        <v>598506.11974536907</v>
      </c>
      <c r="AA39" s="34">
        <v>43657</v>
      </c>
      <c r="AB39" s="3"/>
      <c r="AC39" s="35"/>
    </row>
    <row r="40" spans="1:32" x14ac:dyDescent="0.25">
      <c r="A40" s="255"/>
      <c r="B40" s="27" t="s">
        <v>26</v>
      </c>
      <c r="C40" t="s">
        <v>27</v>
      </c>
      <c r="D40" s="28" t="s">
        <v>1682</v>
      </c>
      <c r="E40">
        <v>229</v>
      </c>
      <c r="F40" s="29">
        <v>28395</v>
      </c>
      <c r="G40" s="196">
        <v>22750</v>
      </c>
      <c r="H40" s="30">
        <f t="shared" si="2"/>
        <v>-5645</v>
      </c>
      <c r="I40" s="28" t="s">
        <v>4296</v>
      </c>
      <c r="J40" s="55">
        <v>250</v>
      </c>
      <c r="K40" s="31"/>
      <c r="L40" s="31">
        <v>43657</v>
      </c>
      <c r="M40" s="28" t="s">
        <v>41</v>
      </c>
      <c r="O40" s="2">
        <v>33</v>
      </c>
      <c r="P40" s="32"/>
      <c r="Q40" s="138">
        <v>22800</v>
      </c>
      <c r="R40" s="2">
        <f>75.45*E40</f>
        <v>17278.05</v>
      </c>
      <c r="S40" s="197">
        <f>-38*E40</f>
        <v>-8702</v>
      </c>
      <c r="T40" s="33">
        <f>X40*F40*0.0045</f>
        <v>5445.6021177527473</v>
      </c>
      <c r="U40" s="2">
        <f>E40*5</f>
        <v>1145</v>
      </c>
      <c r="W40" s="2">
        <v>0.3</v>
      </c>
      <c r="X40" s="2">
        <f>((O40*F40)+Q40+R40+S40+U40)/G40</f>
        <v>42.617848351648355</v>
      </c>
      <c r="Y40" s="2">
        <f>((O40*F40)+Q40+R40+S40+T40+U40)/G40+W40</f>
        <v>43.157215477703417</v>
      </c>
      <c r="Z40" s="3">
        <f>Y40*G40</f>
        <v>981826.6521177527</v>
      </c>
      <c r="AA40" s="34">
        <v>43670</v>
      </c>
      <c r="AB40" s="3"/>
      <c r="AC40" s="35"/>
      <c r="AD40" t="s">
        <v>4288</v>
      </c>
    </row>
    <row r="41" spans="1:32" x14ac:dyDescent="0.25">
      <c r="A41" s="255"/>
      <c r="B41" s="27" t="s">
        <v>26</v>
      </c>
      <c r="C41" t="s">
        <v>27</v>
      </c>
      <c r="D41" s="28" t="s">
        <v>1871</v>
      </c>
      <c r="E41">
        <v>151</v>
      </c>
      <c r="F41" s="29">
        <v>16265</v>
      </c>
      <c r="G41" s="196">
        <v>12660</v>
      </c>
      <c r="H41" s="30">
        <f t="shared" si="2"/>
        <v>-3605</v>
      </c>
      <c r="I41" s="28" t="s">
        <v>4297</v>
      </c>
      <c r="J41" s="55">
        <v>130</v>
      </c>
      <c r="K41" s="31"/>
      <c r="L41" s="31">
        <v>43657</v>
      </c>
      <c r="M41" s="28" t="s">
        <v>41</v>
      </c>
      <c r="O41" s="2">
        <v>33</v>
      </c>
      <c r="P41" s="32"/>
      <c r="Q41" s="140">
        <v>18100</v>
      </c>
      <c r="R41" s="2">
        <f>75.45*E41</f>
        <v>11392.95</v>
      </c>
      <c r="S41" s="197">
        <f>-38*E41</f>
        <v>-5738</v>
      </c>
      <c r="T41" s="33">
        <f>X41*F41*0.0045</f>
        <v>3244.8383039395726</v>
      </c>
      <c r="U41" s="2">
        <f>E41*5</f>
        <v>755</v>
      </c>
      <c r="W41" s="2">
        <v>0.3</v>
      </c>
      <c r="X41" s="2">
        <f>((O41*F41)+Q41+R41+S41+U41)/G41</f>
        <v>44.332934439178509</v>
      </c>
      <c r="Y41" s="2">
        <f>((O41*F41)+Q41+R41+S41+T41+U41)/G41+W41</f>
        <v>44.889240782301698</v>
      </c>
      <c r="Z41" s="3">
        <f>Y41*G41</f>
        <v>568297.78830393951</v>
      </c>
      <c r="AA41" s="34">
        <v>43670</v>
      </c>
      <c r="AB41" s="3"/>
      <c r="AC41" s="35" t="s">
        <v>4303</v>
      </c>
    </row>
    <row r="42" spans="1:32" x14ac:dyDescent="0.25">
      <c r="A42" s="255"/>
      <c r="B42" s="27" t="s">
        <v>30</v>
      </c>
      <c r="C42" s="28" t="s">
        <v>1790</v>
      </c>
      <c r="D42" s="28" t="s">
        <v>1790</v>
      </c>
      <c r="E42" t="s">
        <v>32</v>
      </c>
      <c r="F42" s="29">
        <f>40740*0.4536</f>
        <v>18479.664000000001</v>
      </c>
      <c r="G42" s="196">
        <v>18429.64</v>
      </c>
      <c r="H42" s="30">
        <f t="shared" si="2"/>
        <v>-50.024000000001251</v>
      </c>
      <c r="I42" s="28" t="s">
        <v>4174</v>
      </c>
      <c r="J42" s="52" t="s">
        <v>196</v>
      </c>
      <c r="K42" s="31">
        <v>43657</v>
      </c>
      <c r="L42" s="31">
        <v>43658</v>
      </c>
      <c r="M42" s="28" t="s">
        <v>45</v>
      </c>
      <c r="N42" s="28" t="s">
        <v>4168</v>
      </c>
      <c r="O42" s="2"/>
      <c r="P42" s="32">
        <f>0.5953+0.095</f>
        <v>0.69030000000000002</v>
      </c>
      <c r="Q42" s="140">
        <v>26000</v>
      </c>
      <c r="R42" s="190">
        <v>11808</v>
      </c>
      <c r="S42" s="194">
        <v>19.140999999999998</v>
      </c>
      <c r="T42" s="33">
        <f>X42*F42*0.005</f>
        <v>2892.1532497787789</v>
      </c>
      <c r="V42" s="2">
        <v>0.12</v>
      </c>
      <c r="W42" s="2">
        <v>0.3</v>
      </c>
      <c r="X42" s="2">
        <f>IF(O42&gt;0,O42,((P42*2.2046*S42)+(Q42+R42)/G42)+V42)</f>
        <v>31.300928953889841</v>
      </c>
      <c r="Y42" s="2">
        <f>IF(O42&gt;0,O42,((P42*2.2046*S42)+(Q42+R42+T42)/G42)+V42+W42)</f>
        <v>31.757858402852424</v>
      </c>
      <c r="Z42" s="3">
        <f>Y42*F42</f>
        <v>586874.55264428945</v>
      </c>
      <c r="AA42" s="34">
        <v>43657</v>
      </c>
      <c r="AB42" s="3"/>
      <c r="AC42" s="35"/>
    </row>
    <row r="43" spans="1:32" x14ac:dyDescent="0.25">
      <c r="A43" s="255"/>
      <c r="B43" s="27" t="s">
        <v>26</v>
      </c>
      <c r="C43" t="s">
        <v>27</v>
      </c>
      <c r="D43" s="28" t="s">
        <v>1682</v>
      </c>
      <c r="E43">
        <v>230</v>
      </c>
      <c r="F43" s="29">
        <v>27975</v>
      </c>
      <c r="G43" s="30">
        <v>24250</v>
      </c>
      <c r="H43" s="30">
        <f t="shared" si="2"/>
        <v>-3725</v>
      </c>
      <c r="I43" s="28" t="s">
        <v>4304</v>
      </c>
      <c r="J43" s="55">
        <v>250</v>
      </c>
      <c r="K43" s="31"/>
      <c r="L43" s="31">
        <v>43658</v>
      </c>
      <c r="M43" s="28" t="s">
        <v>45</v>
      </c>
      <c r="O43" s="2">
        <v>33</v>
      </c>
      <c r="P43" s="32"/>
      <c r="Q43" s="138">
        <v>22800</v>
      </c>
      <c r="R43" s="2">
        <f>75.45*E43</f>
        <v>17353.5</v>
      </c>
      <c r="S43" s="197">
        <f>-38*E43</f>
        <v>-8740</v>
      </c>
      <c r="T43" s="33">
        <f>X43*F43*0.0045</f>
        <v>4961.4651719072153</v>
      </c>
      <c r="U43" s="2">
        <f>E43*5</f>
        <v>1150</v>
      </c>
      <c r="W43" s="2">
        <v>0.3</v>
      </c>
      <c r="X43" s="2">
        <f>((O43*F43)+Q43+R43+S43+U43)/G43</f>
        <v>39.411896907216494</v>
      </c>
      <c r="Y43" s="2">
        <f>((O43*F43)+Q43+R43+S43+T43+U43)/G43+W43</f>
        <v>39.91649340915081</v>
      </c>
      <c r="Z43" s="3">
        <f>Y43*G43</f>
        <v>967974.9651719071</v>
      </c>
      <c r="AA43" s="34">
        <v>43671</v>
      </c>
      <c r="AB43" s="3"/>
      <c r="AC43" s="35"/>
    </row>
    <row r="44" spans="1:32" x14ac:dyDescent="0.25">
      <c r="A44" s="255"/>
      <c r="B44" s="27" t="s">
        <v>26</v>
      </c>
      <c r="C44" t="s">
        <v>27</v>
      </c>
      <c r="D44" s="28" t="s">
        <v>1829</v>
      </c>
      <c r="E44">
        <v>150</v>
      </c>
      <c r="F44" s="29">
        <v>16435</v>
      </c>
      <c r="G44" s="30">
        <v>11050</v>
      </c>
      <c r="H44" s="30">
        <f t="shared" si="2"/>
        <v>-5385</v>
      </c>
      <c r="I44" s="28" t="s">
        <v>1887</v>
      </c>
      <c r="J44" s="55">
        <v>129</v>
      </c>
      <c r="K44" s="31"/>
      <c r="L44" s="31">
        <v>43658</v>
      </c>
      <c r="M44" s="28" t="s">
        <v>45</v>
      </c>
      <c r="O44" s="2">
        <v>33</v>
      </c>
      <c r="P44" s="32"/>
      <c r="Q44" s="140">
        <v>18100</v>
      </c>
      <c r="R44" s="2">
        <f>75.45*E44</f>
        <v>11317.5</v>
      </c>
      <c r="S44" s="33">
        <f>-38*E44</f>
        <v>-5700</v>
      </c>
      <c r="T44" s="33">
        <f>X44*F44*0.0045</f>
        <v>3793.7352980769228</v>
      </c>
      <c r="U44" s="2">
        <f>E44*5</f>
        <v>750</v>
      </c>
      <c r="W44" s="2">
        <v>0.3</v>
      </c>
      <c r="X44" s="2">
        <f>((O44*F44)+Q44+R44+S44+U44)/G44</f>
        <v>51.29615384615385</v>
      </c>
      <c r="Y44" s="2">
        <f>((O44*F44)+Q44+R44+S44+T44+U44)/G44+W44</f>
        <v>51.939478307518264</v>
      </c>
      <c r="Z44" s="3">
        <f>Y44*G44</f>
        <v>573931.23529807688</v>
      </c>
      <c r="AA44" s="34">
        <v>43671</v>
      </c>
      <c r="AB44" s="3"/>
      <c r="AC44" s="35" t="s">
        <v>4328</v>
      </c>
    </row>
    <row r="45" spans="1:32" x14ac:dyDescent="0.25">
      <c r="A45" s="255"/>
      <c r="B45" s="27" t="s">
        <v>1805</v>
      </c>
      <c r="C45" t="s">
        <v>2450</v>
      </c>
      <c r="D45" s="28" t="s">
        <v>1806</v>
      </c>
      <c r="E45" t="s">
        <v>2455</v>
      </c>
      <c r="F45" s="29">
        <f>882+878+858+844</f>
        <v>3462</v>
      </c>
      <c r="G45" s="30">
        <v>3462</v>
      </c>
      <c r="H45" s="30">
        <f t="shared" si="2"/>
        <v>0</v>
      </c>
      <c r="I45" s="28" t="s">
        <v>4329</v>
      </c>
      <c r="J45" s="191"/>
      <c r="K45" s="201"/>
      <c r="L45" s="201">
        <v>43658</v>
      </c>
      <c r="M45" s="199" t="s">
        <v>45</v>
      </c>
      <c r="N45" s="191"/>
      <c r="O45" s="190">
        <v>19</v>
      </c>
      <c r="P45" s="202"/>
      <c r="Q45" s="190"/>
      <c r="R45" s="2"/>
      <c r="S45" s="33"/>
      <c r="T45" s="33"/>
      <c r="U45" s="2"/>
      <c r="W45" s="2"/>
      <c r="X45" s="2">
        <f>IF(O45&gt;0,O45,((P45*2.2046*S45)+(Q45+R45)/G45)+V45)</f>
        <v>19</v>
      </c>
      <c r="Y45" s="2">
        <f>IF(O45&gt;0,O45,((P45*2.2046*S45)+(Q45+R45+T45)/G45)+V45+W45)</f>
        <v>19</v>
      </c>
      <c r="Z45" s="3">
        <f>Y45*F45</f>
        <v>65778</v>
      </c>
      <c r="AA45" s="34">
        <v>43665</v>
      </c>
      <c r="AB45" s="3"/>
      <c r="AC45" s="35"/>
    </row>
    <row r="46" spans="1:32" x14ac:dyDescent="0.25">
      <c r="A46" s="255"/>
      <c r="B46" s="27" t="s">
        <v>30</v>
      </c>
      <c r="C46" t="s">
        <v>40</v>
      </c>
      <c r="D46" s="28" t="s">
        <v>40</v>
      </c>
      <c r="E46" t="s">
        <v>37</v>
      </c>
      <c r="F46" s="29">
        <f>41424*0.4536</f>
        <v>18789.9264</v>
      </c>
      <c r="G46" s="196">
        <v>18725.439999999999</v>
      </c>
      <c r="H46" s="30">
        <f t="shared" si="2"/>
        <v>-64.486400000001595</v>
      </c>
      <c r="I46" s="28" t="s">
        <v>4175</v>
      </c>
      <c r="J46" s="52" t="s">
        <v>196</v>
      </c>
      <c r="K46" s="31">
        <v>43658</v>
      </c>
      <c r="L46" s="31">
        <v>43659</v>
      </c>
      <c r="M46" s="28" t="s">
        <v>46</v>
      </c>
      <c r="N46" s="28" t="s">
        <v>4169</v>
      </c>
      <c r="O46" s="2"/>
      <c r="P46" s="32">
        <f>0.6334+0.105</f>
        <v>0.73839999999999995</v>
      </c>
      <c r="Q46" s="140">
        <v>26000</v>
      </c>
      <c r="R46" s="190">
        <v>9508</v>
      </c>
      <c r="S46" s="194">
        <v>19.102</v>
      </c>
      <c r="T46" s="33">
        <f>X46*F46*0.005</f>
        <v>3110.8548975975036</v>
      </c>
      <c r="V46" s="2">
        <v>0.12</v>
      </c>
      <c r="W46" s="2">
        <v>0.3</v>
      </c>
      <c r="X46" s="2">
        <f>IF(O46&gt;0,O46,((P46*2.2046*S46)+(Q46+R46)/G46)+V46)</f>
        <v>33.111943403860309</v>
      </c>
      <c r="Y46" s="2">
        <f>IF(O46&gt;0,O46,((P46*2.2046*S46)+(Q46+R46+T46)/G46)+V46+W46)</f>
        <v>33.578073273043486</v>
      </c>
      <c r="Z46" s="3">
        <f>Y46*F46</f>
        <v>630929.52545429417</v>
      </c>
      <c r="AA46" s="34">
        <v>43654</v>
      </c>
      <c r="AB46" s="3"/>
      <c r="AC46" s="35"/>
    </row>
    <row r="47" spans="1:32" ht="15.75" thickBot="1" x14ac:dyDescent="0.3">
      <c r="A47" s="256"/>
      <c r="B47" s="41"/>
      <c r="C47" s="4"/>
      <c r="D47" s="4"/>
      <c r="E47" s="4"/>
      <c r="F47" s="42"/>
      <c r="G47" s="230"/>
      <c r="H47" s="42"/>
      <c r="I47" s="7"/>
      <c r="J47" s="4"/>
      <c r="K47" s="8"/>
      <c r="L47" s="8"/>
      <c r="M47" s="4"/>
      <c r="N47" s="4"/>
      <c r="O47" s="9"/>
      <c r="P47" s="10"/>
      <c r="Q47" s="9"/>
      <c r="R47" s="9"/>
      <c r="S47" s="9"/>
      <c r="T47" s="9"/>
      <c r="U47" s="9"/>
      <c r="V47" s="9"/>
      <c r="W47" s="9"/>
      <c r="X47" s="9"/>
      <c r="Y47" s="9"/>
      <c r="Z47" s="13"/>
      <c r="AA47" s="43"/>
      <c r="AB47" s="3"/>
      <c r="AC47" s="35"/>
    </row>
    <row r="48" spans="1:32" x14ac:dyDescent="0.25">
      <c r="A48" s="129"/>
      <c r="B48" s="14" t="s">
        <v>26</v>
      </c>
      <c r="C48" s="14" t="s">
        <v>27</v>
      </c>
      <c r="D48" s="15" t="s">
        <v>1682</v>
      </c>
      <c r="E48" s="14">
        <v>230</v>
      </c>
      <c r="F48" s="16">
        <v>27665</v>
      </c>
      <c r="G48" s="267">
        <v>23710</v>
      </c>
      <c r="H48" s="17">
        <f t="shared" ref="H48:H70" si="4">G48-F48</f>
        <v>-3955</v>
      </c>
      <c r="I48" s="19" t="s">
        <v>4353</v>
      </c>
      <c r="J48" s="14">
        <v>251</v>
      </c>
      <c r="K48" s="20"/>
      <c r="L48" s="20">
        <v>43660</v>
      </c>
      <c r="M48" s="15" t="s">
        <v>28</v>
      </c>
      <c r="N48" s="14"/>
      <c r="O48" s="21">
        <v>32.5</v>
      </c>
      <c r="P48" s="22"/>
      <c r="Q48" s="139">
        <v>22800</v>
      </c>
      <c r="R48" s="2">
        <f>75.45*E48</f>
        <v>17353.5</v>
      </c>
      <c r="S48" s="33">
        <f>-38*E48</f>
        <v>-8740</v>
      </c>
      <c r="T48" s="23">
        <f>X48*F48*0.0045</f>
        <v>4891.8884196541539</v>
      </c>
      <c r="U48" s="21">
        <f>E48*5</f>
        <v>1150</v>
      </c>
      <c r="V48" s="14"/>
      <c r="W48" s="21">
        <v>0.3</v>
      </c>
      <c r="X48" s="21">
        <f>((O48*F48)+Q48+R48+S48+U48)/G48</f>
        <v>39.294643610291018</v>
      </c>
      <c r="Y48" s="24">
        <f>((O48*F48)+Q48+R48+S48+T48+U48)/G48+W48</f>
        <v>39.800965348783386</v>
      </c>
      <c r="Z48" s="24">
        <f>Y48*G48</f>
        <v>943680.8884196541</v>
      </c>
      <c r="AA48" s="25">
        <v>43675</v>
      </c>
      <c r="AB48" s="3">
        <v>43.23</v>
      </c>
      <c r="AC48" s="3" t="s">
        <v>4355</v>
      </c>
    </row>
    <row r="49" spans="1:32" x14ac:dyDescent="0.25">
      <c r="A49" s="130"/>
      <c r="B49" s="27" t="s">
        <v>26</v>
      </c>
      <c r="C49" t="s">
        <v>27</v>
      </c>
      <c r="D49" s="28" t="s">
        <v>1684</v>
      </c>
      <c r="E49">
        <v>150</v>
      </c>
      <c r="F49" s="227">
        <v>16285</v>
      </c>
      <c r="G49" s="264">
        <v>11100</v>
      </c>
      <c r="H49" s="30">
        <f t="shared" si="4"/>
        <v>-5185</v>
      </c>
      <c r="I49" s="253" t="s">
        <v>4354</v>
      </c>
      <c r="J49" s="248">
        <v>129</v>
      </c>
      <c r="K49" s="249"/>
      <c r="L49" s="249">
        <v>43660</v>
      </c>
      <c r="M49" s="226" t="s">
        <v>28</v>
      </c>
      <c r="N49" s="248"/>
      <c r="O49" s="250">
        <v>32.5</v>
      </c>
      <c r="P49" s="251"/>
      <c r="Q49" s="140">
        <v>18100</v>
      </c>
      <c r="R49" s="2">
        <f>75.45*E49</f>
        <v>11317.5</v>
      </c>
      <c r="S49" s="33">
        <f>-38*E49</f>
        <v>-5700</v>
      </c>
      <c r="T49" s="33">
        <f t="shared" ref="T49:T58" si="5">X49*F49*0.005</f>
        <v>4061.9338063063065</v>
      </c>
      <c r="U49" s="2">
        <f>E49*5</f>
        <v>750</v>
      </c>
      <c r="W49" s="2">
        <v>0.3</v>
      </c>
      <c r="X49" s="2">
        <f>((O49*F49)+Q49+R49+S49+U49)/G49</f>
        <v>49.885585585585588</v>
      </c>
      <c r="Y49" s="2">
        <f>((O49*F49)+Q49+R49+S49+T49+U49)/G49+W49</f>
        <v>50.551525568135702</v>
      </c>
      <c r="Z49" s="3">
        <f>Y49*G49</f>
        <v>561121.93380630633</v>
      </c>
      <c r="AA49" s="34">
        <v>43675</v>
      </c>
      <c r="AB49" s="3"/>
      <c r="AC49" s="3"/>
    </row>
    <row r="50" spans="1:32" x14ac:dyDescent="0.25">
      <c r="A50" s="130"/>
      <c r="B50" s="27" t="s">
        <v>26</v>
      </c>
      <c r="C50" t="s">
        <v>27</v>
      </c>
      <c r="D50" s="28" t="s">
        <v>1682</v>
      </c>
      <c r="E50">
        <v>229</v>
      </c>
      <c r="F50" s="227">
        <v>29275</v>
      </c>
      <c r="G50" s="264">
        <v>25310</v>
      </c>
      <c r="H50" s="30">
        <f t="shared" si="4"/>
        <v>-3965</v>
      </c>
      <c r="I50" s="253" t="s">
        <v>4363</v>
      </c>
      <c r="J50" s="248">
        <v>251</v>
      </c>
      <c r="K50" s="249"/>
      <c r="L50" s="249">
        <v>43661</v>
      </c>
      <c r="M50" s="226" t="s">
        <v>29</v>
      </c>
      <c r="N50" s="248"/>
      <c r="O50" s="250">
        <v>32.5</v>
      </c>
      <c r="P50" s="251"/>
      <c r="Q50" s="140">
        <v>22800</v>
      </c>
      <c r="R50" s="2">
        <f>75.45*E50</f>
        <v>17278.05</v>
      </c>
      <c r="S50" s="33">
        <f>-38*E50</f>
        <v>-8702</v>
      </c>
      <c r="T50" s="33">
        <f t="shared" si="5"/>
        <v>5690.5149251777957</v>
      </c>
      <c r="U50" s="2">
        <f>E50*5</f>
        <v>1145</v>
      </c>
      <c r="W50" s="2">
        <v>0.3</v>
      </c>
      <c r="X50" s="2">
        <f>((O50*F50)+Q50+R50+S50+U50)/G50</f>
        <v>38.876276175424735</v>
      </c>
      <c r="Y50" s="2">
        <f>((O50*F50)+Q50+R50+S50+T50+U50)/G50+W50</f>
        <v>39.401108847300584</v>
      </c>
      <c r="Z50" s="3">
        <f>Y50*G50</f>
        <v>997242.06492517784</v>
      </c>
      <c r="AA50" s="34">
        <v>43676</v>
      </c>
      <c r="AB50" s="3">
        <v>42.42</v>
      </c>
      <c r="AC50" s="3" t="s">
        <v>4382</v>
      </c>
    </row>
    <row r="51" spans="1:32" x14ac:dyDescent="0.25">
      <c r="A51" s="130"/>
      <c r="B51" s="27" t="s">
        <v>26</v>
      </c>
      <c r="C51" t="s">
        <v>27</v>
      </c>
      <c r="D51" s="28" t="s">
        <v>1829</v>
      </c>
      <c r="E51">
        <v>152</v>
      </c>
      <c r="F51" s="227">
        <v>15785</v>
      </c>
      <c r="G51" s="264">
        <v>11040</v>
      </c>
      <c r="H51" s="30">
        <f t="shared" si="4"/>
        <v>-4745</v>
      </c>
      <c r="I51" s="253" t="s">
        <v>1872</v>
      </c>
      <c r="J51" s="266">
        <v>130</v>
      </c>
      <c r="K51" s="249"/>
      <c r="L51" s="249">
        <v>43661</v>
      </c>
      <c r="M51" s="226" t="s">
        <v>29</v>
      </c>
      <c r="N51" s="248"/>
      <c r="O51" s="250">
        <v>32.5</v>
      </c>
      <c r="P51" s="251"/>
      <c r="Q51" s="140">
        <v>18100</v>
      </c>
      <c r="R51" s="2">
        <f>75.45*E51</f>
        <v>11468.4</v>
      </c>
      <c r="S51" s="33">
        <f>-38*E51</f>
        <v>-5776</v>
      </c>
      <c r="T51" s="33">
        <f t="shared" si="5"/>
        <v>3843.053417798913</v>
      </c>
      <c r="U51" s="2">
        <f>E51*5</f>
        <v>760</v>
      </c>
      <c r="W51" s="2">
        <v>0.3</v>
      </c>
      <c r="X51" s="2">
        <f>((O51*F51)+Q51+R51+S51+U51)/G51</f>
        <v>48.692472826086956</v>
      </c>
      <c r="Y51" s="2">
        <f>((O51*F51)+Q51+R51+S51+T51+U51)/G51+W51</f>
        <v>49.340575490742658</v>
      </c>
      <c r="Z51" s="3">
        <f>Y51*G51</f>
        <v>544719.95341779897</v>
      </c>
      <c r="AA51" s="34">
        <v>43676</v>
      </c>
      <c r="AB51" s="3"/>
      <c r="AC51" s="3"/>
    </row>
    <row r="52" spans="1:32" x14ac:dyDescent="0.25">
      <c r="A52" s="130"/>
      <c r="B52" s="27" t="s">
        <v>30</v>
      </c>
      <c r="C52" s="28" t="s">
        <v>1790</v>
      </c>
      <c r="D52" s="28" t="s">
        <v>1790</v>
      </c>
      <c r="E52" t="s">
        <v>32</v>
      </c>
      <c r="F52" s="29">
        <f>42116*0.4536</f>
        <v>19103.817599999998</v>
      </c>
      <c r="G52" s="196">
        <v>19026.57</v>
      </c>
      <c r="H52" s="30">
        <f t="shared" si="4"/>
        <v>-77.247599999998783</v>
      </c>
      <c r="I52" s="28" t="s">
        <v>4241</v>
      </c>
      <c r="J52" s="52" t="s">
        <v>196</v>
      </c>
      <c r="K52" s="31">
        <v>43661</v>
      </c>
      <c r="L52" s="31">
        <v>43662</v>
      </c>
      <c r="M52" s="28" t="s">
        <v>48</v>
      </c>
      <c r="N52" s="28" t="s">
        <v>4243</v>
      </c>
      <c r="O52" s="2"/>
      <c r="P52" s="32">
        <f>0.6629+0.095</f>
        <v>0.75790000000000002</v>
      </c>
      <c r="Q52" s="140">
        <v>26000</v>
      </c>
      <c r="R52" s="190">
        <v>11808</v>
      </c>
      <c r="S52" s="194">
        <v>18.989999999999998</v>
      </c>
      <c r="T52" s="33">
        <f t="shared" si="5"/>
        <v>3232.0667443132565</v>
      </c>
      <c r="V52" s="2">
        <v>0.12</v>
      </c>
      <c r="W52" s="2">
        <v>0.3</v>
      </c>
      <c r="X52" s="2">
        <f>IF(O52&gt;0,O52,((P52*2.2046*S52)+(Q52+R52)/G52)+V52)</f>
        <v>33.836867708716575</v>
      </c>
      <c r="Y52" s="2">
        <f>IF(O52&gt;0,O52,((P52*2.2046*S52)+(Q52+R52+T52)/G52)+V52+W52)</f>
        <v>34.30673893323646</v>
      </c>
      <c r="Z52" s="3">
        <f>Y52*F52</f>
        <v>655389.68303136784</v>
      </c>
      <c r="AA52" s="34">
        <v>43662</v>
      </c>
      <c r="AB52" s="3">
        <v>34.299999999999997</v>
      </c>
      <c r="AC52" s="35"/>
    </row>
    <row r="53" spans="1:32" x14ac:dyDescent="0.25">
      <c r="A53" s="130"/>
      <c r="B53" s="27" t="s">
        <v>30</v>
      </c>
      <c r="C53" s="28" t="s">
        <v>35</v>
      </c>
      <c r="D53" s="28" t="s">
        <v>36</v>
      </c>
      <c r="E53" t="s">
        <v>37</v>
      </c>
      <c r="F53" s="29">
        <f>41768*0.4536</f>
        <v>18945.964800000002</v>
      </c>
      <c r="G53" s="196">
        <v>18845.669999999998</v>
      </c>
      <c r="H53" s="30">
        <f t="shared" si="4"/>
        <v>-100.29480000000331</v>
      </c>
      <c r="I53" t="s">
        <v>4242</v>
      </c>
      <c r="J53" s="52" t="s">
        <v>196</v>
      </c>
      <c r="K53" s="31">
        <v>43661</v>
      </c>
      <c r="L53" s="31">
        <v>43662</v>
      </c>
      <c r="M53" s="28" t="s">
        <v>48</v>
      </c>
      <c r="N53" s="28" t="s">
        <v>4244</v>
      </c>
      <c r="O53" s="2"/>
      <c r="P53" s="32">
        <f>0.6629+0.1</f>
        <v>0.76290000000000002</v>
      </c>
      <c r="Q53" s="140">
        <v>26000</v>
      </c>
      <c r="R53" s="190">
        <v>9508</v>
      </c>
      <c r="S53" s="194">
        <v>19.015000000000001</v>
      </c>
      <c r="T53" s="33">
        <f t="shared" si="5"/>
        <v>3219.4188476429044</v>
      </c>
      <c r="V53" s="2">
        <v>0.12</v>
      </c>
      <c r="W53" s="2">
        <v>0.3</v>
      </c>
      <c r="X53" s="2">
        <f>IF(O53&gt;0,O53,((P53*2.2046*S53)+(Q53+R53)/G53)+V53)</f>
        <v>33.985272131856846</v>
      </c>
      <c r="Y53" s="2">
        <f>IF(O53&gt;0,O53,((P53*2.2046*S53)+(Q53+R53+T53)/G53)+V53+W53)</f>
        <v>34.456102823874843</v>
      </c>
      <c r="Z53" s="3">
        <f>Y53*F53</f>
        <v>652804.11124631343</v>
      </c>
      <c r="AA53" s="34">
        <v>43662</v>
      </c>
      <c r="AB53" s="3">
        <v>34.450000000000003</v>
      </c>
      <c r="AC53" s="35"/>
    </row>
    <row r="54" spans="1:32" x14ac:dyDescent="0.25">
      <c r="A54" s="130"/>
      <c r="B54" s="27" t="s">
        <v>26</v>
      </c>
      <c r="C54" t="s">
        <v>43</v>
      </c>
      <c r="D54" s="28" t="s">
        <v>44</v>
      </c>
      <c r="E54">
        <v>250</v>
      </c>
      <c r="F54" s="29">
        <v>21750</v>
      </c>
      <c r="G54" s="196">
        <v>21780</v>
      </c>
      <c r="H54" s="30">
        <f t="shared" si="4"/>
        <v>30</v>
      </c>
      <c r="I54" s="191" t="s">
        <v>4393</v>
      </c>
      <c r="K54" s="31"/>
      <c r="L54" s="31">
        <v>43662</v>
      </c>
      <c r="M54" s="28" t="s">
        <v>48</v>
      </c>
      <c r="O54" s="2">
        <v>43.1</v>
      </c>
      <c r="P54" s="32"/>
      <c r="Q54" s="138">
        <v>22800</v>
      </c>
      <c r="R54" s="190"/>
      <c r="S54" s="197"/>
      <c r="T54" s="33">
        <f t="shared" si="5"/>
        <v>4800.7532713498631</v>
      </c>
      <c r="U54" s="2">
        <f>E54*5</f>
        <v>1250</v>
      </c>
      <c r="W54" s="2">
        <v>0.3</v>
      </c>
      <c r="X54" s="2">
        <f>((O54*F54)+Q54+R54+S54+U54)/G54</f>
        <v>44.144857667584944</v>
      </c>
      <c r="Y54" s="2">
        <f>((O54*F54)+Q54+R54+S54+T54+U54)/G54+W54</f>
        <v>44.665277927977492</v>
      </c>
      <c r="Z54" s="3">
        <f>Y54*G54</f>
        <v>972809.75327134982</v>
      </c>
      <c r="AA54" s="34">
        <v>43669</v>
      </c>
      <c r="AB54" s="3">
        <v>34.590000000000003</v>
      </c>
      <c r="AC54" s="35"/>
      <c r="AF54" s="30"/>
    </row>
    <row r="55" spans="1:32" x14ac:dyDescent="0.25">
      <c r="A55" s="130"/>
      <c r="B55" s="27" t="s">
        <v>30</v>
      </c>
      <c r="C55" s="28" t="s">
        <v>31</v>
      </c>
      <c r="D55" s="28" t="s">
        <v>31</v>
      </c>
      <c r="E55" t="s">
        <v>32</v>
      </c>
      <c r="F55" s="29">
        <f>41373*0.4536</f>
        <v>18766.792799999999</v>
      </c>
      <c r="G55" s="196">
        <v>18723.91</v>
      </c>
      <c r="H55" s="30">
        <f t="shared" si="4"/>
        <v>-42.882799999999406</v>
      </c>
      <c r="I55" s="28" t="s">
        <v>4078</v>
      </c>
      <c r="J55" s="52" t="s">
        <v>196</v>
      </c>
      <c r="K55" s="31">
        <v>43662</v>
      </c>
      <c r="L55" s="31">
        <v>40011</v>
      </c>
      <c r="M55" s="28" t="s">
        <v>33</v>
      </c>
      <c r="N55" s="28" t="s">
        <v>4245</v>
      </c>
      <c r="O55" s="2"/>
      <c r="P55" s="32">
        <f>0.6629+0.105</f>
        <v>0.76790000000000003</v>
      </c>
      <c r="Q55" s="140">
        <v>26000</v>
      </c>
      <c r="R55" s="190">
        <v>9508</v>
      </c>
      <c r="S55" s="194">
        <v>18.96</v>
      </c>
      <c r="T55" s="33">
        <f t="shared" si="5"/>
        <v>3201.0534188720194</v>
      </c>
      <c r="V55" s="2">
        <v>0.12</v>
      </c>
      <c r="W55" s="2">
        <v>0.3</v>
      </c>
      <c r="X55" s="2">
        <f>IF(O55&gt;0,O55,((P55*2.2046*S55)+(Q55+R55)/G55)+V55)</f>
        <v>34.114016742083066</v>
      </c>
      <c r="Y55" s="2">
        <f>IF(O55&gt;0,O55,((P55*2.2046*S55)+(Q55+R55+T55)/G55)+V55+W55)</f>
        <v>34.584977477253872</v>
      </c>
      <c r="Z55" s="3">
        <f>Y55*F55</f>
        <v>649049.10630829015</v>
      </c>
      <c r="AA55" s="34">
        <v>43655</v>
      </c>
      <c r="AB55" s="3">
        <v>34.729999999999997</v>
      </c>
      <c r="AC55" s="35"/>
    </row>
    <row r="56" spans="1:32" x14ac:dyDescent="0.25">
      <c r="A56" s="130"/>
      <c r="B56" s="27" t="s">
        <v>30</v>
      </c>
      <c r="C56" s="28" t="s">
        <v>31</v>
      </c>
      <c r="D56" s="28" t="s">
        <v>31</v>
      </c>
      <c r="E56" t="s">
        <v>32</v>
      </c>
      <c r="F56" s="29">
        <f>40826*0.4536</f>
        <v>18518.673600000002</v>
      </c>
      <c r="G56" s="196">
        <v>18504.009999999998</v>
      </c>
      <c r="H56" s="30">
        <f t="shared" si="4"/>
        <v>-14.663600000003498</v>
      </c>
      <c r="I56" s="28" t="s">
        <v>4079</v>
      </c>
      <c r="J56" s="52" t="s">
        <v>1690</v>
      </c>
      <c r="K56" s="31">
        <v>43662</v>
      </c>
      <c r="L56" s="31">
        <v>43663</v>
      </c>
      <c r="M56" s="28" t="s">
        <v>33</v>
      </c>
      <c r="N56" s="28" t="s">
        <v>4245</v>
      </c>
      <c r="O56" s="2"/>
      <c r="P56" s="32">
        <f>0.6629+0.105</f>
        <v>0.76790000000000003</v>
      </c>
      <c r="Q56" s="140">
        <v>26000</v>
      </c>
      <c r="R56" s="190">
        <v>11808</v>
      </c>
      <c r="S56" s="194">
        <v>18.96</v>
      </c>
      <c r="T56" s="33">
        <f t="shared" si="5"/>
        <v>3172.3275621880698</v>
      </c>
      <c r="V56" s="2">
        <v>0.12</v>
      </c>
      <c r="W56" s="2">
        <v>0.3</v>
      </c>
      <c r="X56" s="2">
        <f>IF(O56&gt;0,O56,((P56*2.2046*S56)+(Q56+R56)/G56)+V56)</f>
        <v>34.260850757562565</v>
      </c>
      <c r="Y56" s="2">
        <f>IF(O56&gt;0,O56,((P56*2.2046*S56)+(Q56+R56+T56)/G56)+V56+W56)</f>
        <v>34.732290762306832</v>
      </c>
      <c r="Z56" s="3">
        <f>Y56*F56</f>
        <v>643195.95600745548</v>
      </c>
      <c r="AA56" s="34">
        <v>43655</v>
      </c>
      <c r="AB56" s="3">
        <v>35.049999999999997</v>
      </c>
      <c r="AC56" s="35"/>
    </row>
    <row r="57" spans="1:32" x14ac:dyDescent="0.25">
      <c r="A57" s="130"/>
      <c r="B57" s="27" t="s">
        <v>26</v>
      </c>
      <c r="C57" t="s">
        <v>27</v>
      </c>
      <c r="D57" s="28" t="s">
        <v>1682</v>
      </c>
      <c r="E57">
        <v>230</v>
      </c>
      <c r="F57" s="29">
        <v>26855</v>
      </c>
      <c r="G57" s="30">
        <v>21620</v>
      </c>
      <c r="H57" s="30">
        <f t="shared" si="4"/>
        <v>-5235</v>
      </c>
      <c r="I57" s="28" t="s">
        <v>4379</v>
      </c>
      <c r="K57" s="31"/>
      <c r="L57" s="31">
        <v>43663</v>
      </c>
      <c r="M57" s="28" t="s">
        <v>33</v>
      </c>
      <c r="O57" s="2">
        <v>32</v>
      </c>
      <c r="P57" s="32"/>
      <c r="Q57" s="140">
        <v>22800</v>
      </c>
      <c r="R57" s="2">
        <f>75.45*E57</f>
        <v>17353.5</v>
      </c>
      <c r="S57" s="33">
        <f>-38*E57</f>
        <v>-8740</v>
      </c>
      <c r="T57" s="33">
        <f t="shared" si="5"/>
        <v>5539.4555024283081</v>
      </c>
      <c r="U57" s="2">
        <f>E57*5</f>
        <v>1150</v>
      </c>
      <c r="W57" s="2">
        <v>0.3</v>
      </c>
      <c r="X57" s="2">
        <f>((O57*F57)+Q57+R57+S57+U57)/G57</f>
        <v>41.254555966697502</v>
      </c>
      <c r="Y57" s="2">
        <f>((O57*F57)+Q57+R57+S57+T57+U57)/G57+W57</f>
        <v>41.810775000112315</v>
      </c>
      <c r="Z57" s="3">
        <f>Y57*G57</f>
        <v>903948.95550242823</v>
      </c>
      <c r="AA57" s="34">
        <v>43676</v>
      </c>
      <c r="AB57" s="3">
        <v>35.11</v>
      </c>
      <c r="AC57" s="35"/>
    </row>
    <row r="58" spans="1:32" x14ac:dyDescent="0.25">
      <c r="A58" s="130"/>
      <c r="B58" s="27" t="s">
        <v>26</v>
      </c>
      <c r="C58" t="s">
        <v>27</v>
      </c>
      <c r="D58" s="28" t="s">
        <v>1684</v>
      </c>
      <c r="E58">
        <v>150</v>
      </c>
      <c r="F58" s="29">
        <v>15870</v>
      </c>
      <c r="G58" s="30">
        <v>12430</v>
      </c>
      <c r="H58" s="30">
        <f t="shared" si="4"/>
        <v>-3440</v>
      </c>
      <c r="I58" s="28" t="s">
        <v>4378</v>
      </c>
      <c r="K58" s="31"/>
      <c r="L58" s="31">
        <v>43663</v>
      </c>
      <c r="M58" s="28" t="s">
        <v>33</v>
      </c>
      <c r="O58" s="2">
        <v>32</v>
      </c>
      <c r="P58" s="32"/>
      <c r="Q58" s="140">
        <v>18100</v>
      </c>
      <c r="R58" s="2">
        <f>75.45*E58</f>
        <v>11317.5</v>
      </c>
      <c r="S58" s="33">
        <f>-38*E58</f>
        <v>-5700</v>
      </c>
      <c r="T58" s="33">
        <f t="shared" si="5"/>
        <v>3398.1174678197904</v>
      </c>
      <c r="U58" s="2">
        <f>E58*5</f>
        <v>750</v>
      </c>
      <c r="W58" s="2">
        <v>0.3</v>
      </c>
      <c r="X58" s="2">
        <f>((O58*F58)+Q58+R58+S58+U58)/G58</f>
        <v>42.824416733708766</v>
      </c>
      <c r="Y58" s="2">
        <f>((O58*F58)+Q58+R58+S58+T58+U58)/G58+W58</f>
        <v>43.397797060967001</v>
      </c>
      <c r="Z58" s="3">
        <f>Y58*G58</f>
        <v>539434.61746781983</v>
      </c>
      <c r="AA58" s="34">
        <v>43676</v>
      </c>
      <c r="AB58" s="3">
        <v>35.83</v>
      </c>
      <c r="AC58" s="35" t="s">
        <v>4383</v>
      </c>
    </row>
    <row r="59" spans="1:32" x14ac:dyDescent="0.25">
      <c r="A59" s="130"/>
      <c r="B59" s="27" t="s">
        <v>1805</v>
      </c>
      <c r="C59" s="28" t="s">
        <v>2450</v>
      </c>
      <c r="D59" s="28" t="s">
        <v>1806</v>
      </c>
      <c r="E59" t="s">
        <v>2007</v>
      </c>
      <c r="F59" s="29">
        <f>860+880</f>
        <v>1740</v>
      </c>
      <c r="G59" s="30">
        <v>1740</v>
      </c>
      <c r="H59" s="30">
        <f t="shared" si="4"/>
        <v>0</v>
      </c>
      <c r="I59" s="28" t="s">
        <v>4460</v>
      </c>
      <c r="K59" s="31"/>
      <c r="L59" s="31">
        <v>43663</v>
      </c>
      <c r="M59" s="28" t="s">
        <v>33</v>
      </c>
      <c r="O59" s="2">
        <v>19</v>
      </c>
      <c r="P59" s="32"/>
      <c r="Q59" s="190"/>
      <c r="R59" s="2"/>
      <c r="S59" s="33"/>
      <c r="T59" s="33"/>
      <c r="U59" s="2"/>
      <c r="W59" s="2"/>
      <c r="X59" s="2">
        <f>IF(O59&gt;0,O59,((P59*2.2046*S59)+(Q59+R59)/G59)+V59)</f>
        <v>19</v>
      </c>
      <c r="Y59" s="2">
        <f>IF(O59&gt;0,O59,((P59*2.2046*S59)+(Q59+R59+T59)/G59)+V59+W59)</f>
        <v>19</v>
      </c>
      <c r="Z59" s="3">
        <f>Y59*F59</f>
        <v>33060</v>
      </c>
      <c r="AA59" s="34">
        <v>43670</v>
      </c>
      <c r="AB59" s="3"/>
      <c r="AC59" s="35"/>
    </row>
    <row r="60" spans="1:32" x14ac:dyDescent="0.25">
      <c r="A60" s="130"/>
      <c r="B60" s="27" t="s">
        <v>30</v>
      </c>
      <c r="C60" s="28" t="s">
        <v>40</v>
      </c>
      <c r="D60" s="28" t="s">
        <v>40</v>
      </c>
      <c r="E60" t="s">
        <v>37</v>
      </c>
      <c r="F60" s="29">
        <f>41855*0.4536</f>
        <v>18985.428</v>
      </c>
      <c r="G60" s="196">
        <v>18866.84</v>
      </c>
      <c r="H60" s="30">
        <f t="shared" si="4"/>
        <v>-118.58799999999974</v>
      </c>
      <c r="I60" t="s">
        <v>4253</v>
      </c>
      <c r="J60" s="52" t="s">
        <v>196</v>
      </c>
      <c r="K60" s="31">
        <v>43663</v>
      </c>
      <c r="L60" s="31">
        <v>43664</v>
      </c>
      <c r="M60" s="28" t="s">
        <v>41</v>
      </c>
      <c r="N60" s="28" t="s">
        <v>4256</v>
      </c>
      <c r="O60" s="2"/>
      <c r="P60" s="32">
        <f>0.6672+0.105</f>
        <v>0.7722</v>
      </c>
      <c r="Q60" s="140">
        <v>26000</v>
      </c>
      <c r="R60" s="190">
        <v>9508</v>
      </c>
      <c r="S60" s="194">
        <v>19.140999999999998</v>
      </c>
      <c r="T60" s="33">
        <f>X60*F60*0.005</f>
        <v>3283.2943293834687</v>
      </c>
      <c r="V60" s="2">
        <v>0.12</v>
      </c>
      <c r="W60" s="2">
        <v>0.3</v>
      </c>
      <c r="X60" s="2">
        <f>IF(O60&gt;0,O60,((P60*2.2046*S60)+(Q60+R60)/G60)+V60)</f>
        <v>34.587519748129658</v>
      </c>
      <c r="Y60" s="2">
        <f>IF(O60&gt;0,O60,((P60*2.2046*S60)+(Q60+R60+T60)/G60)+V60+W60)</f>
        <v>35.061544350521125</v>
      </c>
      <c r="Z60" s="3">
        <f>Y60*F60</f>
        <v>665658.42583562562</v>
      </c>
      <c r="AA60" s="34">
        <v>43657</v>
      </c>
      <c r="AB60" s="51">
        <f>SUM(AB52:AB58)/8</f>
        <v>30.5075</v>
      </c>
      <c r="AC60" s="35">
        <v>37</v>
      </c>
    </row>
    <row r="61" spans="1:32" x14ac:dyDescent="0.25">
      <c r="A61" s="130"/>
      <c r="B61" s="27" t="s">
        <v>26</v>
      </c>
      <c r="C61" t="s">
        <v>27</v>
      </c>
      <c r="D61" s="28" t="s">
        <v>1682</v>
      </c>
      <c r="E61">
        <v>229</v>
      </c>
      <c r="F61" s="29">
        <v>25980</v>
      </c>
      <c r="G61" s="30">
        <v>22390</v>
      </c>
      <c r="H61" s="30">
        <f t="shared" si="4"/>
        <v>-3590</v>
      </c>
      <c r="I61" s="28" t="s">
        <v>4394</v>
      </c>
      <c r="J61" s="55">
        <v>250</v>
      </c>
      <c r="K61" s="31"/>
      <c r="L61" s="31">
        <v>43664</v>
      </c>
      <c r="M61" s="28" t="s">
        <v>41</v>
      </c>
      <c r="O61" s="2">
        <v>32</v>
      </c>
      <c r="P61" s="32"/>
      <c r="Q61" s="138">
        <v>22800</v>
      </c>
      <c r="R61" s="2">
        <f>75.45*E61</f>
        <v>17278.05</v>
      </c>
      <c r="S61" s="33">
        <f>-38*E61</f>
        <v>-8702</v>
      </c>
      <c r="T61" s="33">
        <f>X61*F61*0.0045</f>
        <v>4510.7786313309516</v>
      </c>
      <c r="U61" s="2">
        <f>E61*5</f>
        <v>1145</v>
      </c>
      <c r="W61" s="2">
        <v>0.3</v>
      </c>
      <c r="X61" s="2">
        <f>((O61*F61)+Q61+R61+S61+U61)/G61</f>
        <v>38.583343010272444</v>
      </c>
      <c r="Y61" s="2">
        <f>((O61*F61)+Q61+R61+S61+T61+U61)/G61+W61</f>
        <v>39.084806995593162</v>
      </c>
      <c r="Z61" s="3">
        <f>Y61*G61</f>
        <v>875108.82863133086</v>
      </c>
      <c r="AA61" s="34">
        <v>43677</v>
      </c>
      <c r="AB61" s="3">
        <v>42.42</v>
      </c>
      <c r="AC61" s="35"/>
    </row>
    <row r="62" spans="1:32" x14ac:dyDescent="0.25">
      <c r="A62" s="130"/>
      <c r="B62" s="27" t="s">
        <v>26</v>
      </c>
      <c r="C62" t="s">
        <v>27</v>
      </c>
      <c r="D62" s="28" t="s">
        <v>3783</v>
      </c>
      <c r="E62">
        <f>229+40</f>
        <v>269</v>
      </c>
      <c r="F62" s="29">
        <f>27025+4120</f>
        <v>31145</v>
      </c>
      <c r="G62" s="30">
        <v>22850</v>
      </c>
      <c r="H62" s="30">
        <f t="shared" si="4"/>
        <v>-8295</v>
      </c>
      <c r="I62" s="28" t="s">
        <v>4395</v>
      </c>
      <c r="J62" s="55">
        <v>247</v>
      </c>
      <c r="K62" s="31"/>
      <c r="L62" s="31">
        <v>43664</v>
      </c>
      <c r="M62" s="28" t="s">
        <v>41</v>
      </c>
      <c r="O62" s="2">
        <v>32</v>
      </c>
      <c r="P62" s="32"/>
      <c r="Q62" s="140">
        <v>22800</v>
      </c>
      <c r="R62" s="2">
        <f>75.45*E62</f>
        <v>20296.05</v>
      </c>
      <c r="S62" s="33">
        <f>-38*E62</f>
        <v>-10222</v>
      </c>
      <c r="T62" s="33">
        <f>X62*F62*0.0045</f>
        <v>6322.8653393927789</v>
      </c>
      <c r="U62" s="2">
        <f>E62*5</f>
        <v>1345</v>
      </c>
      <c r="W62" s="2">
        <v>0.3</v>
      </c>
      <c r="X62" s="2">
        <f>((O62*F62)+Q62+R62+S62+U62)/G62</f>
        <v>45.114181619256023</v>
      </c>
      <c r="Y62" s="2">
        <f>((O62*F62)+Q62+R62+S62+T62+U62)/G62+W62</f>
        <v>45.690893450301651</v>
      </c>
      <c r="Z62" s="3">
        <f>Y62*G62</f>
        <v>1044036.9153393927</v>
      </c>
      <c r="AA62" s="34">
        <v>43677</v>
      </c>
      <c r="AB62" s="3"/>
      <c r="AC62" s="35" t="s">
        <v>4413</v>
      </c>
    </row>
    <row r="63" spans="1:32" x14ac:dyDescent="0.25">
      <c r="A63" s="130"/>
      <c r="B63" s="27" t="s">
        <v>2583</v>
      </c>
      <c r="C63" t="s">
        <v>4390</v>
      </c>
      <c r="D63" t="s">
        <v>2044</v>
      </c>
      <c r="E63" t="s">
        <v>1914</v>
      </c>
      <c r="F63" s="29">
        <v>1000</v>
      </c>
      <c r="G63" s="30">
        <v>1000</v>
      </c>
      <c r="H63" s="30">
        <f t="shared" si="4"/>
        <v>0</v>
      </c>
      <c r="I63" t="s">
        <v>4387</v>
      </c>
      <c r="K63" s="31"/>
      <c r="L63" s="31">
        <v>43664</v>
      </c>
      <c r="M63" s="28" t="s">
        <v>41</v>
      </c>
      <c r="O63" s="2">
        <v>45</v>
      </c>
      <c r="P63" s="32"/>
      <c r="Q63" s="2"/>
      <c r="R63" s="2"/>
      <c r="S63" s="33"/>
      <c r="T63" s="33"/>
      <c r="U63" s="2"/>
      <c r="W63" s="2"/>
      <c r="X63" s="2">
        <f t="shared" ref="X63:X68" si="6">IF(O63&gt;0,O63,((P63*2.2046*S63)+(Q63+R63)/G63)+V63)</f>
        <v>45</v>
      </c>
      <c r="Y63" s="2">
        <f t="shared" ref="Y63:Y68" si="7">IF(O63&gt;0,O63,((P63*2.2046*S63)+(Q63+R63+T63)/G63)+V63+W63)</f>
        <v>45</v>
      </c>
      <c r="Z63" s="3">
        <f t="shared" ref="Z63:Z68" si="8">Y63*F63</f>
        <v>45000</v>
      </c>
      <c r="AA63" s="34">
        <v>43664</v>
      </c>
      <c r="AB63" s="3"/>
      <c r="AC63" s="35"/>
    </row>
    <row r="64" spans="1:32" x14ac:dyDescent="0.25">
      <c r="A64" s="130"/>
      <c r="B64" s="27" t="s">
        <v>4392</v>
      </c>
      <c r="C64" t="s">
        <v>4391</v>
      </c>
      <c r="D64" t="s">
        <v>2044</v>
      </c>
      <c r="E64" t="s">
        <v>3539</v>
      </c>
      <c r="F64" s="29">
        <v>100</v>
      </c>
      <c r="G64" s="30">
        <v>100</v>
      </c>
      <c r="H64" s="30">
        <f t="shared" si="4"/>
        <v>0</v>
      </c>
      <c r="I64" t="s">
        <v>4387</v>
      </c>
      <c r="K64" s="31"/>
      <c r="L64" s="31">
        <v>43664</v>
      </c>
      <c r="M64" s="28" t="s">
        <v>41</v>
      </c>
      <c r="O64" s="2">
        <v>170</v>
      </c>
      <c r="P64" s="32"/>
      <c r="Q64" s="2"/>
      <c r="R64" s="2"/>
      <c r="S64" s="33"/>
      <c r="T64" s="33"/>
      <c r="U64" s="2"/>
      <c r="W64" s="2"/>
      <c r="X64" s="2">
        <f t="shared" si="6"/>
        <v>170</v>
      </c>
      <c r="Y64" s="2">
        <f t="shared" si="7"/>
        <v>170</v>
      </c>
      <c r="Z64" s="3">
        <f t="shared" si="8"/>
        <v>17000</v>
      </c>
      <c r="AA64" s="34">
        <v>43664</v>
      </c>
      <c r="AB64" s="3"/>
      <c r="AC64" s="35"/>
    </row>
    <row r="65" spans="1:32" x14ac:dyDescent="0.25">
      <c r="A65" s="130"/>
      <c r="B65" s="27" t="s">
        <v>1729</v>
      </c>
      <c r="C65" s="28" t="s">
        <v>3185</v>
      </c>
      <c r="D65" s="28" t="s">
        <v>1731</v>
      </c>
      <c r="E65" t="s">
        <v>4463</v>
      </c>
      <c r="F65" s="29">
        <v>18334.509999999998</v>
      </c>
      <c r="G65" s="196">
        <v>18333.78</v>
      </c>
      <c r="H65" s="30">
        <f t="shared" si="4"/>
        <v>-0.72999999999956344</v>
      </c>
      <c r="I65" s="28" t="s">
        <v>4376</v>
      </c>
      <c r="J65" s="191"/>
      <c r="K65" s="31"/>
      <c r="L65" s="31">
        <v>43664</v>
      </c>
      <c r="M65" s="28" t="s">
        <v>41</v>
      </c>
      <c r="N65" s="28"/>
      <c r="O65" s="2">
        <v>85.8</v>
      </c>
      <c r="P65" s="32"/>
      <c r="Q65" s="2"/>
      <c r="R65" s="190"/>
      <c r="S65" s="194"/>
      <c r="T65" s="33"/>
      <c r="V65" s="2"/>
      <c r="W65" s="2"/>
      <c r="X65" s="2">
        <f t="shared" si="6"/>
        <v>85.8</v>
      </c>
      <c r="Y65" s="2">
        <f t="shared" si="7"/>
        <v>85.8</v>
      </c>
      <c r="Z65" s="3">
        <f t="shared" si="8"/>
        <v>1573100.9579999999</v>
      </c>
      <c r="AA65" s="34">
        <v>43684</v>
      </c>
      <c r="AB65" s="3">
        <v>34.47</v>
      </c>
      <c r="AC65" s="35"/>
    </row>
    <row r="66" spans="1:32" x14ac:dyDescent="0.25">
      <c r="A66" s="130"/>
      <c r="B66" s="27" t="s">
        <v>30</v>
      </c>
      <c r="C66" s="28" t="s">
        <v>1790</v>
      </c>
      <c r="D66" s="28" t="s">
        <v>1790</v>
      </c>
      <c r="E66" t="s">
        <v>32</v>
      </c>
      <c r="F66" s="29">
        <f>41654*0.4536</f>
        <v>18894.254400000002</v>
      </c>
      <c r="G66" s="196">
        <v>19130.34</v>
      </c>
      <c r="H66" s="30">
        <f t="shared" si="4"/>
        <v>236.08559999999852</v>
      </c>
      <c r="I66" s="28" t="s">
        <v>4254</v>
      </c>
      <c r="J66" s="52" t="s">
        <v>196</v>
      </c>
      <c r="K66" s="31">
        <v>43664</v>
      </c>
      <c r="L66" s="31">
        <v>43665</v>
      </c>
      <c r="M66" s="28" t="s">
        <v>45</v>
      </c>
      <c r="N66" s="28" t="s">
        <v>4257</v>
      </c>
      <c r="O66" s="2"/>
      <c r="P66" s="32">
        <f>0.6672+0.095</f>
        <v>0.76219999999999999</v>
      </c>
      <c r="Q66" s="140">
        <v>26000</v>
      </c>
      <c r="R66" s="190">
        <v>9508</v>
      </c>
      <c r="S66" s="194">
        <v>19.042000000000002</v>
      </c>
      <c r="T66" s="33">
        <f>X66*F66*0.005</f>
        <v>3209.4970874353835</v>
      </c>
      <c r="V66" s="2">
        <v>0.12</v>
      </c>
      <c r="W66" s="2">
        <v>0.3</v>
      </c>
      <c r="X66" s="2">
        <f t="shared" si="6"/>
        <v>33.973260013217384</v>
      </c>
      <c r="Y66" s="2">
        <f t="shared" si="7"/>
        <v>34.441030010375577</v>
      </c>
      <c r="Z66" s="3">
        <f t="shared" si="8"/>
        <v>650737.58281407086</v>
      </c>
      <c r="AA66" s="34">
        <v>43664</v>
      </c>
      <c r="AB66" s="3"/>
      <c r="AC66" s="35"/>
    </row>
    <row r="67" spans="1:32" x14ac:dyDescent="0.25">
      <c r="A67" s="130"/>
      <c r="B67" s="27" t="s">
        <v>30</v>
      </c>
      <c r="C67" s="28" t="s">
        <v>35</v>
      </c>
      <c r="D67" s="28" t="s">
        <v>36</v>
      </c>
      <c r="E67" t="s">
        <v>2702</v>
      </c>
      <c r="F67" s="29">
        <f>35645*0.4536</f>
        <v>16168.572</v>
      </c>
      <c r="G67" s="196">
        <v>16053.83</v>
      </c>
      <c r="H67" s="30">
        <f t="shared" si="4"/>
        <v>-114.74200000000019</v>
      </c>
      <c r="I67" t="s">
        <v>4302</v>
      </c>
      <c r="J67" s="52" t="s">
        <v>196</v>
      </c>
      <c r="K67" s="31">
        <v>43665</v>
      </c>
      <c r="L67" s="31">
        <v>43666</v>
      </c>
      <c r="M67" s="28" t="s">
        <v>46</v>
      </c>
      <c r="N67" s="28" t="s">
        <v>4301</v>
      </c>
      <c r="O67" s="2"/>
      <c r="P67" s="32">
        <f>0.6735+0.1</f>
        <v>0.77349999999999997</v>
      </c>
      <c r="Q67" s="140">
        <f>(26000*G67)/(G67+G68)</f>
        <v>22629.330222113553</v>
      </c>
      <c r="R67" s="190">
        <f>(11808*G67)/(G67+G68)</f>
        <v>10277.197356258339</v>
      </c>
      <c r="S67" s="194">
        <v>19.044</v>
      </c>
      <c r="T67" s="33">
        <f>X67*F67*0.005</f>
        <v>2800.7763943799446</v>
      </c>
      <c r="V67" s="2">
        <v>0.12</v>
      </c>
      <c r="W67" s="2">
        <v>0.3</v>
      </c>
      <c r="X67" s="2">
        <f t="shared" si="6"/>
        <v>34.64469706267127</v>
      </c>
      <c r="Y67" s="2">
        <f t="shared" si="7"/>
        <v>35.119158633173754</v>
      </c>
      <c r="Z67" s="3">
        <f t="shared" si="8"/>
        <v>567826.64493989141</v>
      </c>
      <c r="AA67" s="34">
        <v>43665</v>
      </c>
      <c r="AB67" s="3"/>
      <c r="AC67" s="35"/>
    </row>
    <row r="68" spans="1:32" x14ac:dyDescent="0.25">
      <c r="A68" s="130"/>
      <c r="B68" s="27" t="s">
        <v>1805</v>
      </c>
      <c r="C68" s="28" t="s">
        <v>35</v>
      </c>
      <c r="D68" s="28" t="s">
        <v>36</v>
      </c>
      <c r="E68" t="s">
        <v>1815</v>
      </c>
      <c r="F68" s="29">
        <f>5250*0.4536</f>
        <v>2381.4</v>
      </c>
      <c r="G68" s="196">
        <v>2391.2399999999998</v>
      </c>
      <c r="H68" s="30">
        <f t="shared" si="4"/>
        <v>9.8399999999996908</v>
      </c>
      <c r="I68" s="28" t="s">
        <v>4302</v>
      </c>
      <c r="J68" s="191"/>
      <c r="K68" s="31">
        <v>43665</v>
      </c>
      <c r="L68" s="31">
        <v>43666</v>
      </c>
      <c r="M68" s="28" t="s">
        <v>46</v>
      </c>
      <c r="N68" s="28"/>
      <c r="O68" s="2"/>
      <c r="P68" s="32">
        <v>0.38</v>
      </c>
      <c r="Q68" s="140">
        <f>(26000*G68)/(G68+G67)</f>
        <v>3370.6697778864486</v>
      </c>
      <c r="R68" s="190">
        <f>(11808*G68)/(G68+G67)</f>
        <v>1530.8026437416609</v>
      </c>
      <c r="S68" s="194">
        <v>19.044</v>
      </c>
      <c r="T68" s="33">
        <f>X68*F68*0.005</f>
        <v>214.37165999045604</v>
      </c>
      <c r="V68" s="2"/>
      <c r="W68" s="2"/>
      <c r="X68" s="2">
        <f t="shared" si="6"/>
        <v>18.003834718271271</v>
      </c>
      <c r="Y68" s="2">
        <f t="shared" si="7"/>
        <v>18.093483461178906</v>
      </c>
      <c r="Z68" s="3">
        <f t="shared" si="8"/>
        <v>43087.821514451447</v>
      </c>
      <c r="AA68" s="34">
        <v>43665</v>
      </c>
      <c r="AB68" s="3"/>
      <c r="AC68" s="35"/>
    </row>
    <row r="69" spans="1:32" x14ac:dyDescent="0.25">
      <c r="A69" s="130"/>
      <c r="B69" s="27" t="s">
        <v>26</v>
      </c>
      <c r="C69" t="s">
        <v>27</v>
      </c>
      <c r="D69" s="28" t="s">
        <v>4398</v>
      </c>
      <c r="E69">
        <f>200+50</f>
        <v>250</v>
      </c>
      <c r="F69" s="29">
        <f>22750+4930</f>
        <v>27680</v>
      </c>
      <c r="G69" s="196">
        <v>22200</v>
      </c>
      <c r="H69" s="30">
        <f t="shared" si="4"/>
        <v>-5480</v>
      </c>
      <c r="I69" t="s">
        <v>4399</v>
      </c>
      <c r="K69" s="269" t="s">
        <v>4469</v>
      </c>
      <c r="L69" s="31">
        <v>43665</v>
      </c>
      <c r="M69" s="28" t="s">
        <v>45</v>
      </c>
      <c r="O69" s="2">
        <v>32</v>
      </c>
      <c r="P69" s="32"/>
      <c r="Q69" s="138">
        <v>22800</v>
      </c>
      <c r="R69" s="2">
        <v>15194.97</v>
      </c>
      <c r="S69" s="33"/>
      <c r="T69" s="33">
        <f>X69*F69*0.0045</f>
        <v>5190.027885729729</v>
      </c>
      <c r="U69" s="2">
        <f>E69*5</f>
        <v>1250</v>
      </c>
      <c r="W69" s="2">
        <v>0.3</v>
      </c>
      <c r="X69" s="2">
        <f>((O69*F69)+Q69+R69+S69+U69)/G69</f>
        <v>41.666890540540543</v>
      </c>
      <c r="Y69" s="2">
        <f>((O69*F69)+Q69+R69+S69+T69+U69)/G69+W69</f>
        <v>42.200675580438272</v>
      </c>
      <c r="Z69" s="3">
        <f>Y69*G69</f>
        <v>936854.99788572965</v>
      </c>
      <c r="AA69" s="34">
        <v>43678</v>
      </c>
      <c r="AB69" s="3"/>
      <c r="AC69" s="35"/>
    </row>
    <row r="70" spans="1:32" x14ac:dyDescent="0.25">
      <c r="A70" s="130"/>
      <c r="B70" s="27" t="s">
        <v>30</v>
      </c>
      <c r="C70" t="s">
        <v>40</v>
      </c>
      <c r="D70" s="28" t="s">
        <v>40</v>
      </c>
      <c r="E70" t="s">
        <v>37</v>
      </c>
      <c r="F70" s="29">
        <f>41926*0.4536</f>
        <v>19017.633600000001</v>
      </c>
      <c r="G70" s="196">
        <v>18910.77</v>
      </c>
      <c r="H70" s="30">
        <f t="shared" si="4"/>
        <v>-106.86360000000059</v>
      </c>
      <c r="I70" s="28" t="s">
        <v>4255</v>
      </c>
      <c r="J70" s="52" t="s">
        <v>196</v>
      </c>
      <c r="K70" s="31">
        <v>43665</v>
      </c>
      <c r="L70" s="31">
        <v>43668</v>
      </c>
      <c r="M70" s="28" t="s">
        <v>29</v>
      </c>
      <c r="N70" s="28" t="s">
        <v>4258</v>
      </c>
      <c r="O70" s="2"/>
      <c r="P70" s="32">
        <f>0.6884+0.105</f>
        <v>0.79339999999999999</v>
      </c>
      <c r="Q70" s="140">
        <v>26000</v>
      </c>
      <c r="R70" s="190">
        <v>10808</v>
      </c>
      <c r="S70" s="194">
        <v>19.035</v>
      </c>
      <c r="T70" s="33">
        <f>X70*F70*0.005</f>
        <v>3362.4209607355606</v>
      </c>
      <c r="V70" s="2">
        <v>0.12</v>
      </c>
      <c r="W70" s="2">
        <v>0.3</v>
      </c>
      <c r="X70" s="2">
        <f>IF(O70&gt;0,O70,((P70*2.2046*S70)+(Q70+R70)/G70)+V70)</f>
        <v>35.361086783537154</v>
      </c>
      <c r="Y70" s="2">
        <f>IF(O70&gt;0,O70,((P70*2.2046*S70)+(Q70+R70+T70)/G70)+V70+W70)</f>
        <v>35.838891334104666</v>
      </c>
      <c r="Z70" s="3">
        <f>Y70*F70</f>
        <v>681570.90402221773</v>
      </c>
      <c r="AA70" s="34">
        <v>43661</v>
      </c>
      <c r="AB70" s="3">
        <v>38</v>
      </c>
      <c r="AC70" s="35"/>
    </row>
    <row r="71" spans="1:32" ht="15.75" thickBot="1" x14ac:dyDescent="0.3">
      <c r="A71" s="131"/>
      <c r="B71" s="41"/>
      <c r="C71" s="4"/>
      <c r="D71" s="4"/>
      <c r="E71" s="4"/>
      <c r="F71" s="42"/>
      <c r="G71" s="42"/>
      <c r="H71" s="42"/>
      <c r="I71" s="7"/>
      <c r="J71" s="4"/>
      <c r="K71" s="8"/>
      <c r="L71" s="8"/>
      <c r="M71" s="4"/>
      <c r="N71" s="4"/>
      <c r="O71" s="9"/>
      <c r="P71" s="10"/>
      <c r="Q71" s="9"/>
      <c r="R71" s="9"/>
      <c r="S71" s="9"/>
      <c r="T71" s="9"/>
      <c r="U71" s="9"/>
      <c r="V71" s="9"/>
      <c r="W71" s="9"/>
      <c r="X71" s="9"/>
      <c r="Y71" s="9"/>
      <c r="Z71" s="13"/>
      <c r="AA71" s="43"/>
      <c r="AB71" s="3"/>
      <c r="AC71" s="35"/>
    </row>
    <row r="72" spans="1:32" x14ac:dyDescent="0.25">
      <c r="A72" s="160"/>
      <c r="B72" s="14" t="s">
        <v>26</v>
      </c>
      <c r="C72" s="14" t="s">
        <v>27</v>
      </c>
      <c r="D72" s="15" t="s">
        <v>1636</v>
      </c>
      <c r="E72" s="14">
        <v>200</v>
      </c>
      <c r="F72" s="16">
        <v>24320</v>
      </c>
      <c r="G72" s="17">
        <v>24460</v>
      </c>
      <c r="H72" s="17">
        <f t="shared" ref="H72:H90" si="9">G72-F72</f>
        <v>140</v>
      </c>
      <c r="I72" s="19" t="s">
        <v>4411</v>
      </c>
      <c r="J72" s="121">
        <v>250</v>
      </c>
      <c r="K72" s="269" t="s">
        <v>4469</v>
      </c>
      <c r="L72" s="20">
        <v>43667</v>
      </c>
      <c r="M72" s="15" t="s">
        <v>28</v>
      </c>
      <c r="N72" s="14"/>
      <c r="O72" s="21">
        <v>32</v>
      </c>
      <c r="P72" s="22"/>
      <c r="Q72" s="139">
        <v>22800</v>
      </c>
      <c r="R72" s="2">
        <v>15194.97</v>
      </c>
      <c r="S72" s="33"/>
      <c r="T72" s="23">
        <f>X72*F72*0.0045</f>
        <v>3656.5083858053963</v>
      </c>
      <c r="U72" s="21">
        <f>E72*5</f>
        <v>1000</v>
      </c>
      <c r="V72" s="14"/>
      <c r="W72" s="21">
        <v>0.3</v>
      </c>
      <c r="X72" s="21">
        <f>((O72*F72)+Q72+R72+S72+U72)/G72</f>
        <v>33.41107808667212</v>
      </c>
      <c r="Y72" s="24">
        <f>((O72*F72)+Q72+R72+S72+T72+U72)/G72+W72</f>
        <v>33.860567391079528</v>
      </c>
      <c r="Z72" s="24">
        <f>Y72*G72</f>
        <v>828229.47838580527</v>
      </c>
      <c r="AA72" s="25">
        <v>43682</v>
      </c>
      <c r="AB72" s="3">
        <v>42</v>
      </c>
      <c r="AC72" s="3"/>
    </row>
    <row r="73" spans="1:32" x14ac:dyDescent="0.25">
      <c r="A73" s="161"/>
      <c r="B73" s="27" t="s">
        <v>26</v>
      </c>
      <c r="C73" t="s">
        <v>27</v>
      </c>
      <c r="D73" s="28" t="s">
        <v>1718</v>
      </c>
      <c r="E73">
        <v>180</v>
      </c>
      <c r="F73" s="227">
        <v>21710</v>
      </c>
      <c r="G73" s="252">
        <v>12570</v>
      </c>
      <c r="H73" s="30">
        <f t="shared" si="9"/>
        <v>-9140</v>
      </c>
      <c r="I73" s="253" t="s">
        <v>4412</v>
      </c>
      <c r="J73" s="270">
        <v>130</v>
      </c>
      <c r="K73" s="269" t="s">
        <v>4469</v>
      </c>
      <c r="L73" s="249">
        <v>43667</v>
      </c>
      <c r="M73" s="226" t="s">
        <v>28</v>
      </c>
      <c r="N73" s="248"/>
      <c r="O73" s="250">
        <v>32</v>
      </c>
      <c r="P73" s="251"/>
      <c r="Q73" s="140">
        <v>18100</v>
      </c>
      <c r="R73" s="2">
        <v>7994.87</v>
      </c>
      <c r="S73" s="33"/>
      <c r="T73" s="33">
        <f t="shared" ref="T73:T83" si="10">X73*F73*0.005</f>
        <v>6232.4700985282425</v>
      </c>
      <c r="U73" s="2">
        <f>E73*5</f>
        <v>900</v>
      </c>
      <c r="W73" s="2">
        <v>0.3</v>
      </c>
      <c r="X73" s="2">
        <f>((O73*F73)+Q73+R73+S73+U73)/G73</f>
        <v>57.41566189339698</v>
      </c>
      <c r="Y73" s="2">
        <f>((O73*F73)+Q73+R73+S73+T73+U73)/G73+W73</f>
        <v>58.21148290362197</v>
      </c>
      <c r="Z73" s="3">
        <f>Y73*G73</f>
        <v>731718.34009852819</v>
      </c>
      <c r="AA73" s="34">
        <v>43682</v>
      </c>
      <c r="AB73" s="3"/>
      <c r="AC73" s="3" t="s">
        <v>4414</v>
      </c>
    </row>
    <row r="74" spans="1:32" x14ac:dyDescent="0.25">
      <c r="A74" s="161"/>
      <c r="B74" s="27" t="s">
        <v>26</v>
      </c>
      <c r="C74" t="s">
        <v>27</v>
      </c>
      <c r="D74" s="28" t="s">
        <v>1636</v>
      </c>
      <c r="E74">
        <v>200</v>
      </c>
      <c r="F74" s="227">
        <v>25490</v>
      </c>
      <c r="G74" s="252">
        <v>24110</v>
      </c>
      <c r="H74" s="30">
        <f t="shared" si="9"/>
        <v>-1380</v>
      </c>
      <c r="I74" s="253" t="s">
        <v>4415</v>
      </c>
      <c r="J74" s="270">
        <v>250</v>
      </c>
      <c r="K74" s="249"/>
      <c r="L74" s="249">
        <v>43668</v>
      </c>
      <c r="M74" s="226" t="s">
        <v>29</v>
      </c>
      <c r="N74" s="248"/>
      <c r="O74" s="250">
        <v>32</v>
      </c>
      <c r="P74" s="251"/>
      <c r="Q74" s="140">
        <v>22800</v>
      </c>
      <c r="R74" s="2">
        <f>75.45*E74</f>
        <v>15090</v>
      </c>
      <c r="S74" s="33">
        <f>-38*E74</f>
        <v>-7600</v>
      </c>
      <c r="T74" s="33">
        <f t="shared" si="10"/>
        <v>4477.2429075072587</v>
      </c>
      <c r="U74" s="2">
        <f>E74*5</f>
        <v>1000</v>
      </c>
      <c r="W74" s="2">
        <v>0.3</v>
      </c>
      <c r="X74" s="2">
        <f>((O74*F74)+Q74+R74+S74+U74)/G74</f>
        <v>35.129406885109915</v>
      </c>
      <c r="Y74" s="2">
        <f>((O74*F74)+Q74+R74+S74+T74+U74)/G74+W74</f>
        <v>35.615107544898677</v>
      </c>
      <c r="Z74" s="3">
        <f>Y74*G74</f>
        <v>858680.24290750711</v>
      </c>
      <c r="AA74" s="34">
        <v>43682</v>
      </c>
      <c r="AB74" s="3">
        <v>42.44</v>
      </c>
      <c r="AC74" s="3"/>
    </row>
    <row r="75" spans="1:32" x14ac:dyDescent="0.25">
      <c r="A75" s="161"/>
      <c r="B75" s="27" t="s">
        <v>26</v>
      </c>
      <c r="C75" t="s">
        <v>27</v>
      </c>
      <c r="D75" s="28" t="s">
        <v>4417</v>
      </c>
      <c r="E75">
        <v>180</v>
      </c>
      <c r="F75" s="227">
        <v>21225</v>
      </c>
      <c r="G75" s="252">
        <v>12960</v>
      </c>
      <c r="H75" s="30">
        <f t="shared" si="9"/>
        <v>-8265</v>
      </c>
      <c r="I75" s="253" t="s">
        <v>4416</v>
      </c>
      <c r="J75" s="270">
        <v>130</v>
      </c>
      <c r="K75" s="249"/>
      <c r="L75" s="249">
        <v>43668</v>
      </c>
      <c r="M75" s="226" t="s">
        <v>29</v>
      </c>
      <c r="N75" s="248"/>
      <c r="O75" s="250">
        <v>32</v>
      </c>
      <c r="P75" s="251"/>
      <c r="Q75" s="140">
        <v>18100</v>
      </c>
      <c r="R75" s="2">
        <f>75.45*E75</f>
        <v>13581</v>
      </c>
      <c r="S75" s="33">
        <f>-38*E75</f>
        <v>-6840</v>
      </c>
      <c r="T75" s="33">
        <f t="shared" si="10"/>
        <v>5772.5203414351854</v>
      </c>
      <c r="U75" s="2">
        <f>E75*5</f>
        <v>900</v>
      </c>
      <c r="W75" s="2">
        <v>0.3</v>
      </c>
      <c r="X75" s="2">
        <f>((O75*F75)+Q75+R75+S75+U75)/G75</f>
        <v>54.393595679012343</v>
      </c>
      <c r="Y75" s="2">
        <f>((O75*F75)+Q75+R75+S75+T75+U75)/G75+W75</f>
        <v>55.139006199184813</v>
      </c>
      <c r="Z75" s="3">
        <f>Y75*G75</f>
        <v>714601.52034143521</v>
      </c>
      <c r="AA75" s="34">
        <v>43682</v>
      </c>
      <c r="AB75" s="3"/>
      <c r="AC75" s="3" t="s">
        <v>4425</v>
      </c>
    </row>
    <row r="76" spans="1:32" x14ac:dyDescent="0.25">
      <c r="A76" s="161"/>
      <c r="B76" s="27" t="s">
        <v>30</v>
      </c>
      <c r="C76" s="28" t="s">
        <v>1790</v>
      </c>
      <c r="D76" s="28" t="s">
        <v>1790</v>
      </c>
      <c r="E76" t="s">
        <v>32</v>
      </c>
      <c r="F76" s="29">
        <f>41415*0.4536</f>
        <v>18785.844000000001</v>
      </c>
      <c r="G76" s="196">
        <v>18745.47</v>
      </c>
      <c r="H76" s="30">
        <f t="shared" si="9"/>
        <v>-40.373999999999796</v>
      </c>
      <c r="I76" s="28" t="s">
        <v>4406</v>
      </c>
      <c r="J76" s="52" t="s">
        <v>196</v>
      </c>
      <c r="K76" s="31">
        <v>43668</v>
      </c>
      <c r="L76" s="31">
        <v>43669</v>
      </c>
      <c r="M76" s="28" t="s">
        <v>48</v>
      </c>
      <c r="N76" s="28" t="s">
        <v>4267</v>
      </c>
      <c r="O76" s="2"/>
      <c r="P76" s="32">
        <f>0.7076+0.095</f>
        <v>0.80259999999999998</v>
      </c>
      <c r="Q76" s="268">
        <v>26000</v>
      </c>
      <c r="R76" s="190">
        <v>10806</v>
      </c>
      <c r="S76" s="194">
        <v>19.099</v>
      </c>
      <c r="T76" s="33">
        <f t="shared" si="10"/>
        <v>3369.9418392887515</v>
      </c>
      <c r="V76" s="2">
        <v>0.12</v>
      </c>
      <c r="W76" s="2">
        <v>0.3</v>
      </c>
      <c r="X76" s="2">
        <f>IF(O76&gt;0,O76,((P76*2.2046*S76)+(Q76+R76)/G76)+V76)</f>
        <v>35.877460062893647</v>
      </c>
      <c r="Y76" s="2">
        <f>IF(O76&gt;0,O76,((P76*2.2046*S76)+(Q76+R76+T76)/G76)+V76+W76)</f>
        <v>36.35723372763978</v>
      </c>
      <c r="Z76" s="3">
        <f>Y76*F76</f>
        <v>683001.32107897941</v>
      </c>
      <c r="AA76" s="34">
        <v>43668</v>
      </c>
      <c r="AB76" s="3">
        <v>36.340000000000003</v>
      </c>
      <c r="AC76" s="35"/>
    </row>
    <row r="77" spans="1:32" x14ac:dyDescent="0.25">
      <c r="A77" s="161"/>
      <c r="B77" s="27" t="s">
        <v>30</v>
      </c>
      <c r="C77" s="28" t="s">
        <v>35</v>
      </c>
      <c r="D77" s="28" t="s">
        <v>36</v>
      </c>
      <c r="E77" t="s">
        <v>37</v>
      </c>
      <c r="F77" s="29">
        <f>41707*0.4536</f>
        <v>18918.2952</v>
      </c>
      <c r="G77" s="196">
        <v>18813.87</v>
      </c>
      <c r="H77" s="30">
        <f t="shared" si="9"/>
        <v>-104.4252000000015</v>
      </c>
      <c r="I77" t="s">
        <v>4274</v>
      </c>
      <c r="J77" s="52" t="s">
        <v>196</v>
      </c>
      <c r="K77" s="31">
        <v>43668</v>
      </c>
      <c r="L77" s="31">
        <v>43669</v>
      </c>
      <c r="M77" s="28" t="s">
        <v>48</v>
      </c>
      <c r="N77" s="28" t="s">
        <v>4268</v>
      </c>
      <c r="O77" s="2"/>
      <c r="P77" s="32">
        <f>0.7196+0.1</f>
        <v>0.8196</v>
      </c>
      <c r="Q77" s="268">
        <v>26000</v>
      </c>
      <c r="R77" s="190">
        <v>11808</v>
      </c>
      <c r="S77" s="194">
        <v>19.143000000000001</v>
      </c>
      <c r="T77" s="33">
        <f t="shared" si="10"/>
        <v>3473.2930148403184</v>
      </c>
      <c r="V77" s="2">
        <v>0.12</v>
      </c>
      <c r="W77" s="2">
        <v>0.3</v>
      </c>
      <c r="X77" s="2">
        <f>IF(O77&gt;0,O77,((P77*2.2046*S77)+(Q77+R77)/G77)+V77)</f>
        <v>36.718879562047626</v>
      </c>
      <c r="Y77" s="2">
        <f>IF(O77&gt;0,O77,((P77*2.2046*S77)+(Q77+R77+T77)/G77)+V77+W77)</f>
        <v>37.203492988994888</v>
      </c>
      <c r="Z77" s="3">
        <f>Y77*F77</f>
        <v>703826.66283693572</v>
      </c>
      <c r="AA77" s="34">
        <v>43669</v>
      </c>
      <c r="AB77" s="3">
        <v>37.19</v>
      </c>
      <c r="AC77" s="35"/>
    </row>
    <row r="78" spans="1:32" x14ac:dyDescent="0.25">
      <c r="A78" s="161"/>
      <c r="B78" s="27" t="s">
        <v>30</v>
      </c>
      <c r="C78" s="28" t="s">
        <v>31</v>
      </c>
      <c r="D78" s="28" t="s">
        <v>31</v>
      </c>
      <c r="E78" t="s">
        <v>32</v>
      </c>
      <c r="F78" s="29">
        <f>41116*0.4536</f>
        <v>18650.2176</v>
      </c>
      <c r="G78" s="196">
        <v>18629.38</v>
      </c>
      <c r="H78" s="30">
        <f t="shared" si="9"/>
        <v>-20.837599999998929</v>
      </c>
      <c r="I78" s="28" t="s">
        <v>4080</v>
      </c>
      <c r="J78" s="52" t="s">
        <v>1690</v>
      </c>
      <c r="K78" s="31">
        <v>43668</v>
      </c>
      <c r="L78" s="31">
        <v>43669</v>
      </c>
      <c r="M78" s="28" t="s">
        <v>48</v>
      </c>
      <c r="N78" s="28" t="s">
        <v>4269</v>
      </c>
      <c r="O78" s="2"/>
      <c r="P78" s="32">
        <f>0.7076+0.105</f>
        <v>0.81259999999999999</v>
      </c>
      <c r="Q78" s="268">
        <v>26000</v>
      </c>
      <c r="R78" s="190">
        <v>11658</v>
      </c>
      <c r="S78" s="194">
        <v>19.059000000000001</v>
      </c>
      <c r="T78" s="33">
        <f t="shared" si="10"/>
        <v>3383.5996818557628</v>
      </c>
      <c r="V78" s="2">
        <v>0.12</v>
      </c>
      <c r="W78" s="2">
        <v>0.3</v>
      </c>
      <c r="X78" s="2">
        <f>IF(O78&gt;0,O78,((P78*2.2046*S78)+(Q78+R78)/G78)+V78)</f>
        <v>36.284827924535989</v>
      </c>
      <c r="Y78" s="2">
        <f>IF(O78&gt;0,O78,((P78*2.2046*S78)+(Q78+R78+T78)/G78)+V78+W78)</f>
        <v>36.766454993276639</v>
      </c>
      <c r="Z78" s="3">
        <f>Y78*F78</f>
        <v>685702.38600521581</v>
      </c>
      <c r="AA78" s="34">
        <v>43661</v>
      </c>
      <c r="AB78" s="3">
        <v>36.78</v>
      </c>
      <c r="AC78" s="35"/>
    </row>
    <row r="79" spans="1:32" x14ac:dyDescent="0.25">
      <c r="A79" s="161"/>
      <c r="B79" s="27" t="s">
        <v>30</v>
      </c>
      <c r="C79" s="28" t="s">
        <v>31</v>
      </c>
      <c r="D79" s="28" t="s">
        <v>31</v>
      </c>
      <c r="E79" t="s">
        <v>32</v>
      </c>
      <c r="F79" s="29">
        <f>40921*0.4536</f>
        <v>18561.765599999999</v>
      </c>
      <c r="G79" s="196">
        <v>18516.650000000001</v>
      </c>
      <c r="H79" s="30">
        <f t="shared" si="9"/>
        <v>-45.115599999997357</v>
      </c>
      <c r="I79" s="28" t="s">
        <v>4081</v>
      </c>
      <c r="J79" s="52" t="s">
        <v>196</v>
      </c>
      <c r="K79" s="31">
        <v>43668</v>
      </c>
      <c r="L79" s="31">
        <v>43669</v>
      </c>
      <c r="M79" s="28" t="s">
        <v>48</v>
      </c>
      <c r="N79" s="28" t="s">
        <v>4269</v>
      </c>
      <c r="O79" s="2"/>
      <c r="P79" s="32">
        <f>0.7076+0.105</f>
        <v>0.81259999999999999</v>
      </c>
      <c r="Q79" s="268">
        <v>26000</v>
      </c>
      <c r="R79" s="190">
        <v>9508</v>
      </c>
      <c r="S79" s="194">
        <v>19.059000000000001</v>
      </c>
      <c r="T79" s="33">
        <f t="shared" si="10"/>
        <v>3357.9183170880251</v>
      </c>
      <c r="V79" s="2">
        <v>0.12</v>
      </c>
      <c r="W79" s="2">
        <v>0.3</v>
      </c>
      <c r="X79" s="2">
        <f>IF(O79&gt;0,O79,((P79*2.2046*S79)+(Q79+R79)/G79)+V79)</f>
        <v>36.181022748051781</v>
      </c>
      <c r="Y79" s="2">
        <f>IF(O79&gt;0,O79,((P79*2.2046*S79)+(Q79+R79+T79)/G79)+V79+W79)</f>
        <v>36.66236863497452</v>
      </c>
      <c r="Z79" s="3">
        <f>Y79*F79</f>
        <v>680518.29294318892</v>
      </c>
      <c r="AA79" s="34">
        <v>43661</v>
      </c>
      <c r="AB79" s="3">
        <v>36.659999999999997</v>
      </c>
      <c r="AC79" s="35"/>
    </row>
    <row r="80" spans="1:32" x14ac:dyDescent="0.25">
      <c r="A80" s="161"/>
      <c r="B80" s="27" t="s">
        <v>26</v>
      </c>
      <c r="C80" t="s">
        <v>43</v>
      </c>
      <c r="D80" s="28" t="s">
        <v>44</v>
      </c>
      <c r="E80">
        <v>239</v>
      </c>
      <c r="F80" s="29">
        <v>21510</v>
      </c>
      <c r="G80" s="30">
        <v>21510</v>
      </c>
      <c r="H80" s="30">
        <f t="shared" si="9"/>
        <v>0</v>
      </c>
      <c r="I80" s="28" t="s">
        <v>4448</v>
      </c>
      <c r="K80" s="31"/>
      <c r="L80" s="31">
        <v>43669</v>
      </c>
      <c r="M80" s="28" t="s">
        <v>48</v>
      </c>
      <c r="O80" s="2">
        <v>41.2</v>
      </c>
      <c r="P80" s="32"/>
      <c r="Q80" s="138">
        <v>22800</v>
      </c>
      <c r="R80" s="2"/>
      <c r="S80" s="33"/>
      <c r="T80" s="33">
        <f t="shared" si="10"/>
        <v>4551.0350000000008</v>
      </c>
      <c r="U80" s="2">
        <f>E80*5</f>
        <v>1195</v>
      </c>
      <c r="W80" s="2">
        <v>0.3</v>
      </c>
      <c r="X80" s="2">
        <f>((O80*F80)+Q80+R80+S80+U80)/G80</f>
        <v>42.315527661552771</v>
      </c>
      <c r="Y80" s="2">
        <f>((O80*F80)+Q80+R80+S80+T80+U80)/G80+W80</f>
        <v>42.827105299860534</v>
      </c>
      <c r="Z80" s="3">
        <f>Y80*G80</f>
        <v>921211.03500000003</v>
      </c>
      <c r="AA80" s="34">
        <v>43676</v>
      </c>
      <c r="AB80" s="3">
        <v>37.85</v>
      </c>
      <c r="AC80" s="35"/>
      <c r="AF80" s="30"/>
    </row>
    <row r="81" spans="1:30" x14ac:dyDescent="0.25">
      <c r="A81" s="161"/>
      <c r="B81" s="27" t="s">
        <v>30</v>
      </c>
      <c r="C81" s="28" t="s">
        <v>1790</v>
      </c>
      <c r="D81" s="28" t="s">
        <v>1790</v>
      </c>
      <c r="E81" t="s">
        <v>32</v>
      </c>
      <c r="F81" s="29">
        <f>41809*0.4536</f>
        <v>18964.562399999999</v>
      </c>
      <c r="G81" s="196">
        <v>18878.13</v>
      </c>
      <c r="H81" s="30">
        <f t="shared" si="9"/>
        <v>-86.43239999999787</v>
      </c>
      <c r="I81" s="28" t="s">
        <v>4407</v>
      </c>
      <c r="J81" s="52" t="s">
        <v>196</v>
      </c>
      <c r="K81" s="31">
        <v>43669</v>
      </c>
      <c r="L81" s="31">
        <v>43670</v>
      </c>
      <c r="M81" s="28" t="s">
        <v>33</v>
      </c>
      <c r="N81" s="28" t="s">
        <v>4270</v>
      </c>
      <c r="O81" s="2"/>
      <c r="P81" s="32">
        <f>0.7433+0.095</f>
        <v>0.83829999999999993</v>
      </c>
      <c r="Q81" s="140">
        <v>26000</v>
      </c>
      <c r="R81" s="190">
        <v>11808</v>
      </c>
      <c r="S81" s="194">
        <v>19.067</v>
      </c>
      <c r="T81" s="33">
        <f t="shared" si="10"/>
        <v>3542.6534539953418</v>
      </c>
      <c r="V81" s="2">
        <v>0.12</v>
      </c>
      <c r="W81" s="2">
        <v>0.3</v>
      </c>
      <c r="X81" s="2">
        <f>IF(O81&gt;0,O81,((P81*2.2046*S81)+(Q81+R81)/G81)+V81)</f>
        <v>37.36077194162246</v>
      </c>
      <c r="Y81" s="2">
        <f>IF(O81&gt;0,O81,((P81*2.2046*S81)+(Q81+R81+T81)/G81)+V81+W81)</f>
        <v>37.848431071737316</v>
      </c>
      <c r="Z81" s="3">
        <f>Y81*F81</f>
        <v>717778.9328020612</v>
      </c>
      <c r="AA81" s="34">
        <v>43669</v>
      </c>
      <c r="AB81" s="3">
        <v>37.130000000000003</v>
      </c>
      <c r="AC81" s="35"/>
    </row>
    <row r="82" spans="1:30" x14ac:dyDescent="0.25">
      <c r="A82" s="161"/>
      <c r="B82" s="27" t="s">
        <v>26</v>
      </c>
      <c r="C82" t="s">
        <v>27</v>
      </c>
      <c r="D82" s="28" t="s">
        <v>4478</v>
      </c>
      <c r="E82">
        <f>198+50</f>
        <v>248</v>
      </c>
      <c r="F82" s="29">
        <f>22815+5425</f>
        <v>28240</v>
      </c>
      <c r="G82" s="30">
        <f>16200+6080</f>
        <v>22280</v>
      </c>
      <c r="H82" s="30">
        <f t="shared" si="9"/>
        <v>-5960</v>
      </c>
      <c r="I82" s="28" t="s">
        <v>4451</v>
      </c>
      <c r="J82" s="55">
        <f>198+50-2</f>
        <v>246</v>
      </c>
      <c r="K82" s="31"/>
      <c r="L82" s="31">
        <v>43670</v>
      </c>
      <c r="M82" s="28" t="s">
        <v>33</v>
      </c>
      <c r="O82" s="2">
        <v>31.5</v>
      </c>
      <c r="P82" s="32"/>
      <c r="Q82" s="140">
        <v>22800</v>
      </c>
      <c r="R82" s="2">
        <f>75.45*E82</f>
        <v>18711.600000000002</v>
      </c>
      <c r="S82" s="33">
        <f>-38*E82</f>
        <v>-9424</v>
      </c>
      <c r="T82" s="33">
        <f t="shared" si="10"/>
        <v>5848.8208761220822</v>
      </c>
      <c r="U82" s="2">
        <f>E82*5</f>
        <v>1240</v>
      </c>
      <c r="W82" s="2">
        <v>0.3</v>
      </c>
      <c r="X82" s="2">
        <f>((O82*F82)+Q82+R82+S82+U82)/G82</f>
        <v>41.422244165170554</v>
      </c>
      <c r="Y82" s="2">
        <f>((O82*F82)+Q82+R82+S82+T82+U82)/G82+W82</f>
        <v>41.984758567150898</v>
      </c>
      <c r="Z82" s="3">
        <f>Y82*G82</f>
        <v>935420.42087612196</v>
      </c>
      <c r="AA82" s="34">
        <v>43683</v>
      </c>
      <c r="AB82" s="3">
        <v>38.270000000000003</v>
      </c>
      <c r="AC82" s="35" t="s">
        <v>4459</v>
      </c>
    </row>
    <row r="83" spans="1:30" x14ac:dyDescent="0.25">
      <c r="A83" s="161"/>
      <c r="B83" s="27" t="s">
        <v>30</v>
      </c>
      <c r="C83" s="28" t="s">
        <v>40</v>
      </c>
      <c r="D83" s="28" t="s">
        <v>40</v>
      </c>
      <c r="E83" t="s">
        <v>37</v>
      </c>
      <c r="F83" s="29">
        <f>41654*0.4536</f>
        <v>18894.254400000002</v>
      </c>
      <c r="G83" s="196">
        <v>18848.560000000001</v>
      </c>
      <c r="H83" s="30">
        <f t="shared" si="9"/>
        <v>-45.694400000000314</v>
      </c>
      <c r="I83" s="28" t="s">
        <v>4275</v>
      </c>
      <c r="J83" s="52" t="s">
        <v>196</v>
      </c>
      <c r="K83" s="31">
        <v>43670</v>
      </c>
      <c r="L83" s="31">
        <v>43671</v>
      </c>
      <c r="M83" s="28" t="s">
        <v>41</v>
      </c>
      <c r="N83" s="28" t="s">
        <v>4271</v>
      </c>
      <c r="O83" s="2"/>
      <c r="P83" s="32">
        <f>0.7433+0.105</f>
        <v>0.84829999999999994</v>
      </c>
      <c r="Q83" s="140">
        <v>26000</v>
      </c>
      <c r="R83" s="190">
        <v>9508</v>
      </c>
      <c r="S83" s="194">
        <v>19.050999999999998</v>
      </c>
      <c r="T83" s="33">
        <f t="shared" si="10"/>
        <v>3555.1728677436636</v>
      </c>
      <c r="V83" s="2">
        <v>0.12</v>
      </c>
      <c r="W83" s="2">
        <v>0.3</v>
      </c>
      <c r="X83" s="2">
        <f>IF(O83&gt;0,O83,((P83*2.2046*S83)+(Q83+R83)/G83)+V83)</f>
        <v>37.632317131748401</v>
      </c>
      <c r="Y83" s="2">
        <f>IF(O83&gt;0,O83,((P83*2.2046*S83)+(Q83+R83+T83)/G83)+V83+W83)</f>
        <v>38.120934875901987</v>
      </c>
      <c r="Z83" s="3">
        <f>Y83*F83</f>
        <v>720266.64151112468</v>
      </c>
      <c r="AA83" s="34">
        <v>43664</v>
      </c>
      <c r="AB83" s="3">
        <v>40.75</v>
      </c>
      <c r="AC83" s="35"/>
    </row>
    <row r="84" spans="1:30" x14ac:dyDescent="0.25">
      <c r="A84" s="161"/>
      <c r="B84" s="27" t="s">
        <v>26</v>
      </c>
      <c r="C84" t="s">
        <v>27</v>
      </c>
      <c r="D84" s="28" t="s">
        <v>1636</v>
      </c>
      <c r="E84">
        <v>199</v>
      </c>
      <c r="F84" s="29">
        <v>22945</v>
      </c>
      <c r="G84" s="30">
        <v>23190</v>
      </c>
      <c r="H84" s="30">
        <f t="shared" si="9"/>
        <v>245</v>
      </c>
      <c r="I84" s="28" t="s">
        <v>4474</v>
      </c>
      <c r="J84" s="55">
        <v>250</v>
      </c>
      <c r="K84" s="31"/>
      <c r="L84" s="31">
        <v>43671</v>
      </c>
      <c r="M84" s="28" t="s">
        <v>41</v>
      </c>
      <c r="O84" s="2">
        <v>31.5</v>
      </c>
      <c r="P84" s="32"/>
      <c r="Q84" s="138">
        <v>22800</v>
      </c>
      <c r="R84" s="2">
        <f>75.45*E84</f>
        <v>15014.550000000001</v>
      </c>
      <c r="S84" s="33">
        <f>-38*E84</f>
        <v>-7562</v>
      </c>
      <c r="T84" s="33">
        <f>X84*F84*0.0045</f>
        <v>3357.2203083279428</v>
      </c>
      <c r="U84" s="2">
        <f>E84*5</f>
        <v>995</v>
      </c>
      <c r="W84" s="2">
        <v>0.3</v>
      </c>
      <c r="X84" s="2">
        <f>((O84*F84)+Q84+R84+S84+U84)/G84</f>
        <v>32.514663648124191</v>
      </c>
      <c r="Y84" s="2">
        <f>((O84*F84)+Q84+R84+S84+T84+U84)/G84+W84</f>
        <v>32.959433820971448</v>
      </c>
      <c r="Z84" s="3">
        <f>Y84*G84</f>
        <v>764329.27030832786</v>
      </c>
      <c r="AA84" s="34">
        <v>43684</v>
      </c>
      <c r="AB84" s="3"/>
      <c r="AC84" s="35"/>
    </row>
    <row r="85" spans="1:30" x14ac:dyDescent="0.25">
      <c r="A85" s="161"/>
      <c r="B85" s="27" t="s">
        <v>26</v>
      </c>
      <c r="C85" t="s">
        <v>27</v>
      </c>
      <c r="D85" s="28" t="s">
        <v>4417</v>
      </c>
      <c r="E85">
        <v>180</v>
      </c>
      <c r="F85" s="29">
        <v>21430</v>
      </c>
      <c r="G85" s="30">
        <v>11830</v>
      </c>
      <c r="H85" s="30">
        <f t="shared" si="9"/>
        <v>-9600</v>
      </c>
      <c r="I85" s="28" t="s">
        <v>4475</v>
      </c>
      <c r="J85" s="55">
        <v>129</v>
      </c>
      <c r="K85" s="31"/>
      <c r="L85" s="31">
        <v>43671</v>
      </c>
      <c r="M85" s="28" t="s">
        <v>41</v>
      </c>
      <c r="O85" s="2">
        <v>31.5</v>
      </c>
      <c r="P85" s="32"/>
      <c r="Q85" s="140">
        <v>18100</v>
      </c>
      <c r="R85" s="2">
        <f>75.45*E85</f>
        <v>13581</v>
      </c>
      <c r="S85" s="33">
        <f>-38*E85</f>
        <v>-6840</v>
      </c>
      <c r="T85" s="33">
        <f>X85*F85*0.0045</f>
        <v>5712.6202797971264</v>
      </c>
      <c r="U85" s="2">
        <f>E85*5</f>
        <v>900</v>
      </c>
      <c r="W85" s="2">
        <v>0.3</v>
      </c>
      <c r="X85" s="2">
        <f>((O85*F85)+Q85+R85+S85+U85)/G85</f>
        <v>59.238038884192733</v>
      </c>
      <c r="Y85" s="2">
        <f>((O85*F85)+Q85+R85+S85+T85+U85)/G85+W85</f>
        <v>60.020931553659942</v>
      </c>
      <c r="Z85" s="3">
        <f>Y85*G85</f>
        <v>710047.62027979712</v>
      </c>
      <c r="AA85" s="34">
        <v>43684</v>
      </c>
      <c r="AB85" s="51">
        <f>SUM(AB76:AB84)/8</f>
        <v>37.621249999999996</v>
      </c>
      <c r="AC85" s="35" t="s">
        <v>4424</v>
      </c>
      <c r="AD85" t="s">
        <v>4484</v>
      </c>
    </row>
    <row r="86" spans="1:30" x14ac:dyDescent="0.25">
      <c r="A86" s="161"/>
      <c r="B86" s="27" t="s">
        <v>30</v>
      </c>
      <c r="C86" s="28" t="s">
        <v>40</v>
      </c>
      <c r="D86" s="28" t="s">
        <v>40</v>
      </c>
      <c r="E86" t="s">
        <v>37</v>
      </c>
      <c r="F86" s="29">
        <f>41799*0.4536</f>
        <v>18960.026399999999</v>
      </c>
      <c r="G86" s="196">
        <v>18904.34</v>
      </c>
      <c r="H86" s="30">
        <f t="shared" si="9"/>
        <v>-55.686399999998685</v>
      </c>
      <c r="I86" s="28" t="s">
        <v>4457</v>
      </c>
      <c r="J86" s="52" t="s">
        <v>196</v>
      </c>
      <c r="K86" s="31">
        <v>43671</v>
      </c>
      <c r="L86" s="31">
        <v>43672</v>
      </c>
      <c r="M86" s="28" t="s">
        <v>45</v>
      </c>
      <c r="N86" s="28" t="s">
        <v>4272</v>
      </c>
      <c r="O86" s="2"/>
      <c r="P86" s="32">
        <f>0.7433+0.105</f>
        <v>0.84829999999999994</v>
      </c>
      <c r="Q86" s="140">
        <v>26000</v>
      </c>
      <c r="R86" s="190">
        <v>11808</v>
      </c>
      <c r="S86" s="194">
        <v>19.068000000000001</v>
      </c>
      <c r="T86" s="33">
        <f>X86*F86*0.005</f>
        <v>3581.5695090711151</v>
      </c>
      <c r="V86" s="2">
        <v>0.12</v>
      </c>
      <c r="W86" s="2">
        <v>0.3</v>
      </c>
      <c r="X86" s="2">
        <f>IF(O86&gt;0,O86,((P86*2.2046*S86)+(Q86+R86)/G86)+V86)</f>
        <v>37.780216477663927</v>
      </c>
      <c r="Y86" s="2">
        <f>IF(O86&gt;0,O86,((P86*2.2046*S86)+(Q86+R86+T86)/G86)+V86+W86)</f>
        <v>38.269674004828119</v>
      </c>
      <c r="Z86" s="3">
        <f>Y86*F86</f>
        <v>725594.02945093485</v>
      </c>
      <c r="AA86" s="34">
        <v>43665</v>
      </c>
      <c r="AB86" s="3"/>
      <c r="AC86" s="35"/>
    </row>
    <row r="87" spans="1:30" x14ac:dyDescent="0.25">
      <c r="A87" s="161"/>
      <c r="B87" s="27" t="s">
        <v>26</v>
      </c>
      <c r="C87" t="s">
        <v>27</v>
      </c>
      <c r="D87" s="28" t="s">
        <v>1636</v>
      </c>
      <c r="E87">
        <v>200</v>
      </c>
      <c r="F87" s="29">
        <v>26040</v>
      </c>
      <c r="G87" s="30">
        <v>23080</v>
      </c>
      <c r="H87" s="30">
        <f t="shared" si="9"/>
        <v>-2960</v>
      </c>
      <c r="I87" s="28" t="s">
        <v>4509</v>
      </c>
      <c r="J87" s="55">
        <v>250</v>
      </c>
      <c r="K87" s="31"/>
      <c r="L87" s="31">
        <v>43672</v>
      </c>
      <c r="M87" s="28" t="s">
        <v>45</v>
      </c>
      <c r="O87" s="2">
        <v>31.5</v>
      </c>
      <c r="P87" s="32"/>
      <c r="Q87" s="138">
        <v>22800</v>
      </c>
      <c r="R87" s="2">
        <f>75.45*E87</f>
        <v>15090</v>
      </c>
      <c r="S87" s="33">
        <f>-38*E87</f>
        <v>-7600</v>
      </c>
      <c r="T87" s="33">
        <f>X87*F87*0.0045</f>
        <v>4323.4241334488734</v>
      </c>
      <c r="U87" s="2">
        <f>E87*5</f>
        <v>1000</v>
      </c>
      <c r="W87" s="2">
        <v>0.3</v>
      </c>
      <c r="X87" s="2">
        <f>((O87*F87)+Q87+R87+S87+U87)/G87</f>
        <v>36.895580589254763</v>
      </c>
      <c r="Y87" s="2">
        <f>((O87*F87)+Q87+R87+S87+T87+U87)/G87+W87</f>
        <v>37.382903991917189</v>
      </c>
      <c r="Z87" s="3">
        <f>Y87*G87</f>
        <v>862797.42413344875</v>
      </c>
      <c r="AA87" s="34">
        <v>43685</v>
      </c>
      <c r="AB87" s="3"/>
      <c r="AC87" s="35"/>
    </row>
    <row r="88" spans="1:30" x14ac:dyDescent="0.25">
      <c r="A88" s="161"/>
      <c r="B88" s="27" t="s">
        <v>26</v>
      </c>
      <c r="C88" t="s">
        <v>27</v>
      </c>
      <c r="D88" s="28" t="s">
        <v>4417</v>
      </c>
      <c r="E88">
        <v>180</v>
      </c>
      <c r="F88" s="29">
        <v>19415</v>
      </c>
      <c r="G88" s="30">
        <v>13010</v>
      </c>
      <c r="H88" s="30">
        <f t="shared" si="9"/>
        <v>-6405</v>
      </c>
      <c r="I88" s="28" t="s">
        <v>4471</v>
      </c>
      <c r="J88" s="55">
        <v>129</v>
      </c>
      <c r="K88" s="31"/>
      <c r="L88" s="31">
        <v>43672</v>
      </c>
      <c r="M88" s="28" t="s">
        <v>45</v>
      </c>
      <c r="O88" s="2">
        <v>31.5</v>
      </c>
      <c r="P88" s="32"/>
      <c r="Q88" s="140">
        <v>18100</v>
      </c>
      <c r="R88" s="2">
        <f>75.45*E88</f>
        <v>13581</v>
      </c>
      <c r="S88" s="33">
        <f>-38*E88</f>
        <v>-6840</v>
      </c>
      <c r="T88" s="33">
        <f>X88*F88*0.0045</f>
        <v>4279.8222299192921</v>
      </c>
      <c r="U88" s="2">
        <f>E88*5</f>
        <v>900</v>
      </c>
      <c r="W88" s="2">
        <v>0.3</v>
      </c>
      <c r="X88" s="2">
        <f>((O88*F88)+Q88+R88+S88+U88)/G88</f>
        <v>48.986433512682552</v>
      </c>
      <c r="Y88" s="2">
        <f>((O88*F88)+Q88+R88+S88+T88+U88)/G88+W88</f>
        <v>49.615397558026075</v>
      </c>
      <c r="Z88" s="3">
        <f>Y88*G88</f>
        <v>645496.32222991926</v>
      </c>
      <c r="AA88" s="34">
        <v>43685</v>
      </c>
      <c r="AB88" s="3"/>
      <c r="AC88" s="35" t="s">
        <v>4485</v>
      </c>
    </row>
    <row r="89" spans="1:30" x14ac:dyDescent="0.25">
      <c r="A89" s="161"/>
      <c r="B89" s="27" t="s">
        <v>30</v>
      </c>
      <c r="C89" t="s">
        <v>40</v>
      </c>
      <c r="D89" s="28" t="s">
        <v>40</v>
      </c>
      <c r="E89" t="s">
        <v>2702</v>
      </c>
      <c r="F89" s="29">
        <f>35784*0.4536</f>
        <v>16231.6224</v>
      </c>
      <c r="G89" s="196">
        <v>16150.41</v>
      </c>
      <c r="H89" s="30">
        <f t="shared" si="9"/>
        <v>-81.212400000000343</v>
      </c>
      <c r="I89" s="28" t="s">
        <v>4276</v>
      </c>
      <c r="J89" s="52" t="s">
        <v>196</v>
      </c>
      <c r="K89" s="31">
        <v>43672</v>
      </c>
      <c r="L89" s="31">
        <v>43673</v>
      </c>
      <c r="M89" s="28" t="s">
        <v>46</v>
      </c>
      <c r="N89" s="28" t="s">
        <v>4273</v>
      </c>
      <c r="O89" s="2"/>
      <c r="P89" s="32">
        <f>0.7966+0.105</f>
        <v>0.90159999999999996</v>
      </c>
      <c r="Q89" s="140">
        <v>26000</v>
      </c>
      <c r="R89" s="190">
        <v>9508</v>
      </c>
      <c r="S89" s="194">
        <v>19.085000000000001</v>
      </c>
      <c r="T89" s="33">
        <f>X89*F89*0.005</f>
        <v>3266.8748113057163</v>
      </c>
      <c r="V89" s="2">
        <v>0.12</v>
      </c>
      <c r="W89" s="2">
        <v>0.3</v>
      </c>
      <c r="X89" s="2">
        <f>IF(O89&gt;0,O89,((P89*2.2046*S89)+(Q89+R89)/G89)+V89)</f>
        <v>40.253213521104534</v>
      </c>
      <c r="Y89" s="2">
        <f>IF(O89&gt;0,O89,((P89*2.2046*S89)+(Q89+R89+T89)/G89)+V89+W89)</f>
        <v>40.755491655920039</v>
      </c>
      <c r="Z89" s="3">
        <f>Y89*F89</f>
        <v>661527.75128524483</v>
      </c>
      <c r="AA89" s="34">
        <v>43668</v>
      </c>
      <c r="AB89" s="3"/>
      <c r="AC89" s="35"/>
    </row>
    <row r="90" spans="1:30" x14ac:dyDescent="0.25">
      <c r="A90" s="161"/>
      <c r="B90" s="27" t="s">
        <v>2556</v>
      </c>
      <c r="C90" t="s">
        <v>1800</v>
      </c>
      <c r="D90" s="28" t="s">
        <v>2367</v>
      </c>
      <c r="E90" t="s">
        <v>4503</v>
      </c>
      <c r="F90" s="29">
        <v>4999.91</v>
      </c>
      <c r="G90" s="196">
        <v>5001</v>
      </c>
      <c r="H90" s="30">
        <f t="shared" si="9"/>
        <v>1.0900000000001455</v>
      </c>
      <c r="I90" s="28" t="s">
        <v>4504</v>
      </c>
      <c r="J90" s="191"/>
      <c r="K90" s="31"/>
      <c r="L90" s="31">
        <v>43673</v>
      </c>
      <c r="M90" s="28" t="s">
        <v>46</v>
      </c>
      <c r="N90" s="28"/>
      <c r="O90" s="2">
        <v>93</v>
      </c>
      <c r="P90" s="32"/>
      <c r="Q90" s="2"/>
      <c r="R90" s="190"/>
      <c r="S90" s="194"/>
      <c r="T90" s="33"/>
      <c r="V90" s="2"/>
      <c r="W90" s="2"/>
      <c r="X90" s="2">
        <f>IF(O90&gt;0,O90,((P90*2.2046*S90)+(Q90+R90)/G90)+V90)</f>
        <v>93</v>
      </c>
      <c r="Y90" s="2">
        <f>IF(O90&gt;0,O90,((P90*2.2046*S90)+(Q90+R90+T90)/G90)+V90+W90)</f>
        <v>93</v>
      </c>
      <c r="Z90" s="3">
        <f>Y90*F90</f>
        <v>464991.63</v>
      </c>
      <c r="AA90" s="34">
        <v>43691</v>
      </c>
      <c r="AB90" s="3"/>
      <c r="AC90" s="35"/>
    </row>
    <row r="91" spans="1:30" ht="15.75" thickBot="1" x14ac:dyDescent="0.3">
      <c r="A91" s="162"/>
      <c r="B91" s="41"/>
      <c r="C91" s="4"/>
      <c r="D91" s="4"/>
      <c r="E91" s="4"/>
      <c r="F91" s="42"/>
      <c r="G91" s="42"/>
      <c r="H91" s="42"/>
      <c r="I91" s="7"/>
      <c r="J91" s="4"/>
      <c r="K91" s="8"/>
      <c r="L91" s="8"/>
      <c r="M91" s="4"/>
      <c r="N91" s="4"/>
      <c r="O91" s="9"/>
      <c r="P91" s="10"/>
      <c r="Q91" s="9"/>
      <c r="R91" s="9"/>
      <c r="S91" s="9"/>
      <c r="T91" s="9"/>
      <c r="U91" s="9"/>
      <c r="V91" s="9"/>
      <c r="W91" s="9"/>
      <c r="X91" s="9"/>
      <c r="Y91" s="9"/>
      <c r="Z91" s="13"/>
      <c r="AA91" s="43"/>
      <c r="AB91" s="3"/>
      <c r="AC91" s="35"/>
    </row>
    <row r="92" spans="1:30" x14ac:dyDescent="0.25">
      <c r="A92" s="261"/>
      <c r="B92" s="14" t="s">
        <v>26</v>
      </c>
      <c r="C92" s="14" t="s">
        <v>27</v>
      </c>
      <c r="D92" s="15" t="s">
        <v>1636</v>
      </c>
      <c r="E92" s="14">
        <v>200</v>
      </c>
      <c r="F92" s="271">
        <v>24990</v>
      </c>
      <c r="G92" s="17">
        <v>20090</v>
      </c>
      <c r="H92" s="17">
        <f t="shared" ref="H92:H104" si="11">G92-F92</f>
        <v>-4900</v>
      </c>
      <c r="I92" s="19" t="s">
        <v>4498</v>
      </c>
      <c r="J92" s="14"/>
      <c r="K92" s="20"/>
      <c r="L92" s="20">
        <v>43674</v>
      </c>
      <c r="M92" s="15" t="s">
        <v>28</v>
      </c>
      <c r="N92" s="14"/>
      <c r="O92" s="21">
        <v>31.5</v>
      </c>
      <c r="P92" s="22"/>
      <c r="Q92" s="139">
        <v>22800</v>
      </c>
      <c r="R92" s="2">
        <f>75.45*E92</f>
        <v>15090</v>
      </c>
      <c r="S92" s="33">
        <f>-38*E92</f>
        <v>-7600</v>
      </c>
      <c r="T92" s="23">
        <f>X92*F92*0.0045</f>
        <v>4581.463719512195</v>
      </c>
      <c r="U92" s="21">
        <f>E92*5</f>
        <v>1000</v>
      </c>
      <c r="V92" s="14"/>
      <c r="W92" s="21">
        <v>0.3</v>
      </c>
      <c r="X92" s="21">
        <f>((O92*F92)+Q92+R92+S92+U92)/G92</f>
        <v>40.740418118466899</v>
      </c>
      <c r="Y92" s="24">
        <f>((O92*F92)+Q92+R92+S92+T92+U92)/G92+W92</f>
        <v>41.268465093056854</v>
      </c>
      <c r="Z92" s="24">
        <f>Y92*G92</f>
        <v>829083.46371951222</v>
      </c>
      <c r="AA92" s="25">
        <v>43689</v>
      </c>
      <c r="AB92" s="3">
        <v>43.78</v>
      </c>
      <c r="AC92" s="3"/>
    </row>
    <row r="93" spans="1:30" x14ac:dyDescent="0.25">
      <c r="A93" s="262"/>
      <c r="B93" s="27" t="s">
        <v>26</v>
      </c>
      <c r="C93" t="s">
        <v>27</v>
      </c>
      <c r="D93" s="28" t="s">
        <v>1636</v>
      </c>
      <c r="E93">
        <v>130</v>
      </c>
      <c r="F93" s="227">
        <v>16695</v>
      </c>
      <c r="G93" s="252">
        <v>13450</v>
      </c>
      <c r="H93" s="30">
        <f t="shared" si="11"/>
        <v>-3245</v>
      </c>
      <c r="I93" s="253" t="s">
        <v>4499</v>
      </c>
      <c r="J93" s="248"/>
      <c r="K93" s="249"/>
      <c r="L93" s="249">
        <v>43674</v>
      </c>
      <c r="M93" s="226" t="s">
        <v>28</v>
      </c>
      <c r="N93" s="248"/>
      <c r="O93" s="250">
        <v>31</v>
      </c>
      <c r="P93" s="251"/>
      <c r="Q93" s="140">
        <v>18100</v>
      </c>
      <c r="R93" s="2">
        <f>75.45*E93</f>
        <v>9808.5</v>
      </c>
      <c r="S93" s="33">
        <f>-38*E93</f>
        <v>-4940</v>
      </c>
      <c r="T93" s="33">
        <f>X93*F93*0.005</f>
        <v>3358.6336923791823</v>
      </c>
      <c r="U93" s="2">
        <f>E93*5</f>
        <v>650</v>
      </c>
      <c r="W93" s="2">
        <v>0.3</v>
      </c>
      <c r="X93" s="2">
        <f>((O93*F93)+Q93+R93+S93+U93)/G93</f>
        <v>40.235204460966543</v>
      </c>
      <c r="Y93" s="2">
        <f>((O93*F93)+Q93+R93+S93+T93+U93)/G93+W93</f>
        <v>40.784917003150866</v>
      </c>
      <c r="Z93" s="3">
        <f>Y93*G93</f>
        <v>548557.13369237911</v>
      </c>
      <c r="AA93" s="34">
        <v>43689</v>
      </c>
      <c r="AB93" s="3">
        <v>44.3</v>
      </c>
      <c r="AC93" s="3" t="s">
        <v>4502</v>
      </c>
    </row>
    <row r="94" spans="1:30" x14ac:dyDescent="0.25">
      <c r="A94" s="262"/>
      <c r="B94" s="27" t="s">
        <v>26</v>
      </c>
      <c r="C94" t="s">
        <v>27</v>
      </c>
      <c r="D94" s="28" t="s">
        <v>1636</v>
      </c>
      <c r="E94">
        <v>201</v>
      </c>
      <c r="F94" s="227">
        <v>23770</v>
      </c>
      <c r="G94" s="252">
        <v>18190</v>
      </c>
      <c r="H94" s="30">
        <f t="shared" si="11"/>
        <v>-5580</v>
      </c>
      <c r="I94" s="253" t="s">
        <v>4510</v>
      </c>
      <c r="J94" s="270">
        <v>200</v>
      </c>
      <c r="K94" s="249"/>
      <c r="L94" s="249">
        <v>43675</v>
      </c>
      <c r="M94" s="226" t="s">
        <v>29</v>
      </c>
      <c r="N94" s="248"/>
      <c r="O94" s="250">
        <v>31.5</v>
      </c>
      <c r="P94" s="251"/>
      <c r="Q94" s="140">
        <v>22800</v>
      </c>
      <c r="R94" s="2">
        <f>75.45*E94</f>
        <v>15165.45</v>
      </c>
      <c r="S94" s="33">
        <f>-38*E94</f>
        <v>-7638</v>
      </c>
      <c r="T94" s="33">
        <f>X94*F94*0.005</f>
        <v>5096.9430144310054</v>
      </c>
      <c r="U94" s="2">
        <f>E94*5</f>
        <v>1005</v>
      </c>
      <c r="W94" s="2">
        <v>0.3</v>
      </c>
      <c r="X94" s="2">
        <f>((O94*F94)+Q94+R94+S94+U94)/G94</f>
        <v>42.885511269928529</v>
      </c>
      <c r="Y94" s="2">
        <f>((O94*F94)+Q94+R94+S94+T94+U94)/G94+W94</f>
        <v>43.465717043124293</v>
      </c>
      <c r="Z94" s="3">
        <f>Y94*G94</f>
        <v>790641.39301443088</v>
      </c>
      <c r="AA94" s="34">
        <v>43689</v>
      </c>
      <c r="AB94" s="3">
        <v>43.83</v>
      </c>
      <c r="AC94" s="3"/>
    </row>
    <row r="95" spans="1:30" x14ac:dyDescent="0.25">
      <c r="A95" s="262"/>
      <c r="B95" s="27" t="s">
        <v>26</v>
      </c>
      <c r="C95" t="s">
        <v>27</v>
      </c>
      <c r="D95" s="28" t="s">
        <v>1871</v>
      </c>
      <c r="E95">
        <v>130</v>
      </c>
      <c r="F95" s="227">
        <v>14665</v>
      </c>
      <c r="G95" s="252">
        <v>12510</v>
      </c>
      <c r="H95" s="30">
        <f t="shared" si="11"/>
        <v>-2155</v>
      </c>
      <c r="I95" s="253" t="s">
        <v>4511</v>
      </c>
      <c r="J95" s="270">
        <v>131</v>
      </c>
      <c r="K95" s="249"/>
      <c r="L95" s="249">
        <v>43675</v>
      </c>
      <c r="M95" s="226" t="s">
        <v>29</v>
      </c>
      <c r="N95" s="248"/>
      <c r="O95" s="250">
        <v>31.5</v>
      </c>
      <c r="P95" s="251"/>
      <c r="Q95" s="140">
        <v>18100</v>
      </c>
      <c r="R95" s="2">
        <f>75.45*E95</f>
        <v>9808.5</v>
      </c>
      <c r="S95" s="33">
        <f>-38*E95</f>
        <v>-4940</v>
      </c>
      <c r="T95" s="33">
        <f>X95*F95*0.005</f>
        <v>2846.0533133493209</v>
      </c>
      <c r="U95" s="2">
        <f>E95*5</f>
        <v>650</v>
      </c>
      <c r="W95" s="2">
        <v>0.3</v>
      </c>
      <c r="X95" s="2">
        <f>((O95*F95)+Q95+R95+S95+U95)/G95</f>
        <v>38.814228617106316</v>
      </c>
      <c r="Y95" s="2">
        <f>((O95*F95)+Q95+R95+S95+T95+U95)/G95+W95</f>
        <v>39.341730880363649</v>
      </c>
      <c r="Z95" s="3">
        <f>Y95*G95</f>
        <v>492165.05331334926</v>
      </c>
      <c r="AA95" s="34">
        <v>43689</v>
      </c>
      <c r="AB95" s="3">
        <v>43.86</v>
      </c>
      <c r="AC95" s="3" t="s">
        <v>4514</v>
      </c>
    </row>
    <row r="96" spans="1:30" x14ac:dyDescent="0.25">
      <c r="A96" s="262"/>
      <c r="B96" s="27" t="s">
        <v>4496</v>
      </c>
      <c r="C96" t="s">
        <v>2450</v>
      </c>
      <c r="D96" s="28" t="s">
        <v>1806</v>
      </c>
      <c r="E96" t="s">
        <v>2455</v>
      </c>
      <c r="F96" s="227">
        <f>871+883+850+863</f>
        <v>3467</v>
      </c>
      <c r="G96" s="252">
        <f>871+883+850+863</f>
        <v>3467</v>
      </c>
      <c r="H96" s="30">
        <f t="shared" si="11"/>
        <v>0</v>
      </c>
      <c r="I96" s="253" t="s">
        <v>4497</v>
      </c>
      <c r="J96" s="248"/>
      <c r="K96" s="249"/>
      <c r="L96" s="249">
        <v>43675</v>
      </c>
      <c r="M96" s="226" t="s">
        <v>29</v>
      </c>
      <c r="N96" s="248"/>
      <c r="O96" s="250">
        <v>19</v>
      </c>
      <c r="P96" s="251"/>
      <c r="Q96" s="2"/>
      <c r="R96" s="2"/>
      <c r="S96" s="33"/>
      <c r="T96" s="33"/>
      <c r="U96" s="2"/>
      <c r="W96" s="2"/>
      <c r="X96" s="2"/>
      <c r="Y96" s="2">
        <v>19</v>
      </c>
      <c r="Z96" s="3">
        <f>F96*Y96</f>
        <v>65873</v>
      </c>
      <c r="AA96" s="34">
        <v>43682</v>
      </c>
      <c r="AB96" s="3">
        <v>43.31</v>
      </c>
      <c r="AC96" s="3"/>
    </row>
    <row r="97" spans="1:32" x14ac:dyDescent="0.25">
      <c r="A97" s="262"/>
      <c r="B97" s="27" t="s">
        <v>2321</v>
      </c>
      <c r="C97" t="s">
        <v>4534</v>
      </c>
      <c r="D97" s="28" t="s">
        <v>2044</v>
      </c>
      <c r="E97" t="s">
        <v>4535</v>
      </c>
      <c r="F97" s="227">
        <v>1003.34</v>
      </c>
      <c r="G97" s="264">
        <v>1003.34</v>
      </c>
      <c r="H97" s="30">
        <f t="shared" si="11"/>
        <v>0</v>
      </c>
      <c r="I97" s="253" t="s">
        <v>4536</v>
      </c>
      <c r="J97" s="248"/>
      <c r="K97" s="249"/>
      <c r="L97" s="249">
        <v>43675</v>
      </c>
      <c r="M97" s="226" t="s">
        <v>29</v>
      </c>
      <c r="N97" s="248"/>
      <c r="O97" s="250">
        <v>46</v>
      </c>
      <c r="P97" s="251"/>
      <c r="Q97" s="2"/>
      <c r="R97" s="2"/>
      <c r="S97" s="33"/>
      <c r="T97" s="33"/>
      <c r="U97" s="2"/>
      <c r="W97" s="2"/>
      <c r="X97" s="2"/>
      <c r="Y97" s="2">
        <v>46</v>
      </c>
      <c r="Z97" s="3">
        <f>F97*Y97</f>
        <v>46153.64</v>
      </c>
      <c r="AA97" s="34">
        <v>43675</v>
      </c>
      <c r="AB97" s="3">
        <v>44.33</v>
      </c>
      <c r="AC97" s="3"/>
    </row>
    <row r="98" spans="1:32" x14ac:dyDescent="0.25">
      <c r="A98" s="262"/>
      <c r="B98" s="27" t="s">
        <v>30</v>
      </c>
      <c r="C98" s="28" t="s">
        <v>1790</v>
      </c>
      <c r="D98" s="28" t="s">
        <v>1790</v>
      </c>
      <c r="E98" t="s">
        <v>32</v>
      </c>
      <c r="F98" s="29">
        <f>42013*0.4536</f>
        <v>19057.096799999999</v>
      </c>
      <c r="G98" s="196">
        <v>18982.71</v>
      </c>
      <c r="H98" s="30">
        <f t="shared" si="11"/>
        <v>-74.386800000000221</v>
      </c>
      <c r="I98" s="28" t="s">
        <v>4282</v>
      </c>
      <c r="J98" s="46" t="s">
        <v>196</v>
      </c>
      <c r="K98" s="31">
        <v>43675</v>
      </c>
      <c r="L98" s="31">
        <v>43676</v>
      </c>
      <c r="M98" s="28" t="s">
        <v>48</v>
      </c>
      <c r="N98" s="28" t="s">
        <v>4279</v>
      </c>
      <c r="O98" s="2"/>
      <c r="P98" s="32">
        <f>0.8822+0.095</f>
        <v>0.97719999999999996</v>
      </c>
      <c r="Q98" s="140">
        <v>26000</v>
      </c>
      <c r="R98" s="190">
        <v>11808</v>
      </c>
      <c r="S98" s="194">
        <v>19.103000000000002</v>
      </c>
      <c r="T98" s="33">
        <f t="shared" ref="T98:T104" si="12">X98*F98*0.005</f>
        <v>4122.6189862972742</v>
      </c>
      <c r="V98" s="2">
        <v>0.12</v>
      </c>
      <c r="W98" s="2">
        <v>0.3</v>
      </c>
      <c r="X98" s="2">
        <f>IF(O98&gt;0,O98,((P98*2.2046*S98)+(Q98+R98)/G98)+V98)</f>
        <v>43.265970987745355</v>
      </c>
      <c r="Y98" s="2">
        <f>IF(O98&gt;0,O98,((P98*2.2046*S98)+(Q98+R98+T98)/G98)+V98+W98)</f>
        <v>43.783148565988782</v>
      </c>
      <c r="Z98" s="3">
        <f>Y98*F98</f>
        <v>834379.70043082943</v>
      </c>
      <c r="AA98" s="34">
        <v>43675</v>
      </c>
      <c r="AB98" s="3">
        <v>44.71</v>
      </c>
      <c r="AC98" s="35"/>
    </row>
    <row r="99" spans="1:32" x14ac:dyDescent="0.25">
      <c r="A99" s="262"/>
      <c r="B99" s="27" t="s">
        <v>26</v>
      </c>
      <c r="C99" t="s">
        <v>43</v>
      </c>
      <c r="D99" s="28" t="s">
        <v>44</v>
      </c>
      <c r="E99">
        <v>250</v>
      </c>
      <c r="F99" s="29">
        <v>22302.9</v>
      </c>
      <c r="G99" s="196">
        <f>6140+16110</f>
        <v>22250</v>
      </c>
      <c r="H99" s="30">
        <f t="shared" si="11"/>
        <v>-52.900000000001455</v>
      </c>
      <c r="I99" s="191" t="s">
        <v>4655</v>
      </c>
      <c r="K99" s="31"/>
      <c r="L99" s="31">
        <v>43676</v>
      </c>
      <c r="M99" s="28" t="s">
        <v>48</v>
      </c>
      <c r="O99" s="2">
        <v>40.4</v>
      </c>
      <c r="P99" s="32"/>
      <c r="Q99" s="138">
        <v>22800</v>
      </c>
      <c r="R99" s="2"/>
      <c r="S99" s="33"/>
      <c r="T99" s="33">
        <f t="shared" si="12"/>
        <v>4636.4329035424726</v>
      </c>
      <c r="U99" s="2">
        <f>E99*5</f>
        <v>1250</v>
      </c>
      <c r="W99" s="2">
        <v>0.3</v>
      </c>
      <c r="X99" s="2">
        <f>((O99*F99)+Q99+R99+S99+U99)/G99</f>
        <v>41.576951011235955</v>
      </c>
      <c r="Y99" s="2">
        <f>((O99*F99)+Q99+R99+S99+T99+U99)/G99+W99</f>
        <v>42.085330018136737</v>
      </c>
      <c r="Z99" s="3">
        <f>Y99*G99</f>
        <v>936398.59290354245</v>
      </c>
      <c r="AA99" s="34">
        <v>43683</v>
      </c>
      <c r="AB99" s="51">
        <f>SUM(AB92:AB98)/7</f>
        <v>44.017142857142851</v>
      </c>
      <c r="AC99" s="35" t="s">
        <v>4540</v>
      </c>
      <c r="AF99" s="30"/>
    </row>
    <row r="100" spans="1:32" x14ac:dyDescent="0.25">
      <c r="A100" s="262"/>
      <c r="B100" s="27" t="s">
        <v>4525</v>
      </c>
      <c r="C100" t="s">
        <v>4538</v>
      </c>
      <c r="D100" s="28" t="s">
        <v>4528</v>
      </c>
      <c r="E100" t="s">
        <v>4526</v>
      </c>
      <c r="F100" s="29">
        <v>1659.16</v>
      </c>
      <c r="G100" s="196">
        <v>1659.16</v>
      </c>
      <c r="H100" s="30">
        <f t="shared" si="11"/>
        <v>0</v>
      </c>
      <c r="I100" s="260" t="s">
        <v>4527</v>
      </c>
      <c r="K100" s="31"/>
      <c r="L100" s="31">
        <v>43676</v>
      </c>
      <c r="M100" s="28" t="s">
        <v>48</v>
      </c>
      <c r="O100" s="2">
        <v>22</v>
      </c>
      <c r="P100" s="32"/>
      <c r="Q100" s="190"/>
      <c r="R100" s="2"/>
      <c r="S100" s="33"/>
      <c r="T100" s="33"/>
      <c r="U100" s="2"/>
      <c r="W100" s="2"/>
      <c r="X100" s="2"/>
      <c r="Y100" s="2">
        <v>22</v>
      </c>
      <c r="Z100" s="3">
        <f>F100*Y100</f>
        <v>36501.520000000004</v>
      </c>
      <c r="AA100" s="34">
        <v>43689</v>
      </c>
      <c r="AB100" s="3"/>
      <c r="AC100" s="35"/>
      <c r="AF100" s="30"/>
    </row>
    <row r="101" spans="1:32" x14ac:dyDescent="0.25">
      <c r="A101" s="262"/>
      <c r="B101" s="27" t="s">
        <v>2447</v>
      </c>
      <c r="C101" t="s">
        <v>2448</v>
      </c>
      <c r="D101" s="28" t="s">
        <v>1806</v>
      </c>
      <c r="E101" t="s">
        <v>1914</v>
      </c>
      <c r="F101" s="29">
        <v>1000</v>
      </c>
      <c r="G101" s="196">
        <v>1000</v>
      </c>
      <c r="H101" s="30">
        <f t="shared" si="11"/>
        <v>0</v>
      </c>
      <c r="I101" s="260" t="s">
        <v>4529</v>
      </c>
      <c r="K101" s="31"/>
      <c r="L101" s="31">
        <v>43676</v>
      </c>
      <c r="M101" s="28" t="s">
        <v>48</v>
      </c>
      <c r="O101" s="2">
        <v>26.5</v>
      </c>
      <c r="P101" s="32"/>
      <c r="Q101" s="190"/>
      <c r="R101" s="2"/>
      <c r="S101" s="33"/>
      <c r="T101" s="33"/>
      <c r="U101" s="2"/>
      <c r="W101" s="2"/>
      <c r="X101" s="2"/>
      <c r="Y101" s="2">
        <v>26.5</v>
      </c>
      <c r="Z101" s="3">
        <f>F101*Y101</f>
        <v>26500</v>
      </c>
      <c r="AA101" s="34">
        <v>43682</v>
      </c>
      <c r="AB101" s="3"/>
      <c r="AC101" s="35"/>
      <c r="AF101" s="30"/>
    </row>
    <row r="102" spans="1:32" x14ac:dyDescent="0.25">
      <c r="A102" s="262"/>
      <c r="B102" s="27" t="s">
        <v>4544</v>
      </c>
      <c r="C102" t="s">
        <v>4545</v>
      </c>
      <c r="D102" s="28" t="s">
        <v>1734</v>
      </c>
      <c r="E102" t="s">
        <v>4546</v>
      </c>
      <c r="F102" s="29">
        <v>2039.7</v>
      </c>
      <c r="G102" s="196">
        <v>2039.7</v>
      </c>
      <c r="H102" s="30">
        <f t="shared" si="11"/>
        <v>0</v>
      </c>
      <c r="I102" s="260" t="s">
        <v>4677</v>
      </c>
      <c r="K102" s="31"/>
      <c r="L102" s="31">
        <v>43677</v>
      </c>
      <c r="M102" s="28" t="s">
        <v>33</v>
      </c>
      <c r="O102" s="2">
        <v>15</v>
      </c>
      <c r="P102" s="32"/>
      <c r="Q102" s="190"/>
      <c r="R102" s="2"/>
      <c r="S102" s="33"/>
      <c r="T102" s="33"/>
      <c r="U102" s="2"/>
      <c r="W102" s="2"/>
      <c r="X102" s="2"/>
      <c r="Y102" s="2">
        <v>27.5</v>
      </c>
      <c r="Z102" s="3">
        <f>F102*Y102</f>
        <v>56091.75</v>
      </c>
      <c r="AA102" s="34">
        <v>43684</v>
      </c>
      <c r="AB102" s="3"/>
      <c r="AC102" s="35"/>
      <c r="AF102" s="30"/>
    </row>
    <row r="103" spans="1:32" x14ac:dyDescent="0.25">
      <c r="A103" s="262"/>
      <c r="B103" s="27" t="s">
        <v>30</v>
      </c>
      <c r="C103" s="28" t="s">
        <v>31</v>
      </c>
      <c r="D103" s="28" t="s">
        <v>31</v>
      </c>
      <c r="E103" t="s">
        <v>32</v>
      </c>
      <c r="F103" s="29">
        <f>41319*0.4536</f>
        <v>18742.2984</v>
      </c>
      <c r="G103" s="196">
        <v>18676.71</v>
      </c>
      <c r="H103" s="30">
        <f t="shared" si="11"/>
        <v>-65.588400000000547</v>
      </c>
      <c r="I103" s="28" t="s">
        <v>4082</v>
      </c>
      <c r="J103" s="46" t="s">
        <v>1690</v>
      </c>
      <c r="K103" s="31">
        <v>43676</v>
      </c>
      <c r="L103" s="31">
        <v>43677</v>
      </c>
      <c r="M103" s="28" t="s">
        <v>33</v>
      </c>
      <c r="N103" s="28" t="s">
        <v>4280</v>
      </c>
      <c r="O103" s="2"/>
      <c r="P103" s="32">
        <f>0.8822+0.105</f>
        <v>0.98719999999999997</v>
      </c>
      <c r="Q103" s="140">
        <v>26000</v>
      </c>
      <c r="R103" s="190">
        <v>9508</v>
      </c>
      <c r="S103" s="194">
        <v>19.187000000000001</v>
      </c>
      <c r="T103" s="33">
        <f t="shared" si="12"/>
        <v>4102.6343853415583</v>
      </c>
      <c r="V103" s="2">
        <v>0.12</v>
      </c>
      <c r="W103" s="2">
        <v>0.3</v>
      </c>
      <c r="X103" s="2">
        <f>IF(O103&gt;0,O103,((P103*2.2046*S103)+(Q103+R103)/G103)+V103)</f>
        <v>43.779415926293844</v>
      </c>
      <c r="Y103" s="2">
        <f>IF(O103&gt;0,O103,((P103*2.2046*S103)+(Q103+R103+T103)/G103)+V103+W103)</f>
        <v>44.299081723178922</v>
      </c>
      <c r="Z103" s="3">
        <f>Y103*F103</f>
        <v>830266.60850180557</v>
      </c>
      <c r="AA103" s="34">
        <v>43669</v>
      </c>
      <c r="AC103" s="35"/>
    </row>
    <row r="104" spans="1:32" x14ac:dyDescent="0.25">
      <c r="A104" s="262"/>
      <c r="B104" s="27" t="s">
        <v>26</v>
      </c>
      <c r="C104" t="s">
        <v>27</v>
      </c>
      <c r="D104" s="28" t="s">
        <v>4518</v>
      </c>
      <c r="E104">
        <f>20+200</f>
        <v>220</v>
      </c>
      <c r="F104" s="29">
        <f>2265+22300</f>
        <v>24565</v>
      </c>
      <c r="G104" s="196">
        <f>13350+6200</f>
        <v>19550</v>
      </c>
      <c r="H104" s="30">
        <f t="shared" si="11"/>
        <v>-5015</v>
      </c>
      <c r="I104" t="s">
        <v>4519</v>
      </c>
      <c r="J104" s="55">
        <f>150+70</f>
        <v>220</v>
      </c>
      <c r="K104" s="31"/>
      <c r="L104" s="31">
        <v>43677</v>
      </c>
      <c r="M104" s="28" t="s">
        <v>33</v>
      </c>
      <c r="O104" s="2">
        <v>31</v>
      </c>
      <c r="P104" s="32"/>
      <c r="Q104" s="140">
        <v>22800</v>
      </c>
      <c r="R104" s="2">
        <f>75.45*E104</f>
        <v>16599</v>
      </c>
      <c r="S104" s="33">
        <f>-38*E104</f>
        <v>-8360</v>
      </c>
      <c r="T104" s="33">
        <f t="shared" si="12"/>
        <v>4986.2175217391305</v>
      </c>
      <c r="U104" s="2">
        <f>E104*5</f>
        <v>1100</v>
      </c>
      <c r="W104" s="2">
        <v>0.3</v>
      </c>
      <c r="X104" s="2">
        <f>((O104*F104)+Q104+R104+S104+U104)/G104</f>
        <v>40.596112531969311</v>
      </c>
      <c r="Y104" s="2">
        <f>((O104*F104)+Q104+R104+S104+T104+U104)/G104+W104</f>
        <v>41.151162021572326</v>
      </c>
      <c r="Z104" s="3">
        <f>Y104*G104</f>
        <v>804505.21752173896</v>
      </c>
      <c r="AA104" s="34">
        <v>43690</v>
      </c>
      <c r="AC104" s="35" t="s">
        <v>4569</v>
      </c>
    </row>
    <row r="105" spans="1:32" ht="15.75" thickBot="1" x14ac:dyDescent="0.3">
      <c r="A105" s="263"/>
      <c r="B105" s="41"/>
      <c r="C105" s="4"/>
      <c r="D105" s="4"/>
      <c r="E105" s="4"/>
      <c r="F105" s="42"/>
      <c r="G105" s="42"/>
      <c r="H105" s="42"/>
      <c r="I105" s="7"/>
      <c r="J105" s="4"/>
      <c r="K105" s="8"/>
      <c r="L105" s="8"/>
      <c r="M105" s="4"/>
      <c r="N105" s="4"/>
      <c r="O105" s="9"/>
      <c r="P105" s="10"/>
      <c r="Q105" s="9"/>
      <c r="R105" s="9"/>
      <c r="S105" s="9"/>
      <c r="T105" s="9"/>
      <c r="U105" s="9"/>
      <c r="V105" s="9"/>
      <c r="W105" s="9"/>
      <c r="X105" s="9"/>
      <c r="Y105" s="9"/>
      <c r="Z105" s="13"/>
      <c r="AA105" s="43"/>
      <c r="AB105" s="3"/>
      <c r="AC105" s="35"/>
    </row>
  </sheetData>
  <phoneticPr fontId="1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18F3-6414-4D2A-A5D6-63B4C1A9F39E}">
  <dimension ref="A1:AF90"/>
  <sheetViews>
    <sheetView tabSelected="1" topLeftCell="A40" zoomScale="80" zoomScaleNormal="80" workbookViewId="0">
      <selection activeCell="O59" sqref="O59"/>
    </sheetView>
  </sheetViews>
  <sheetFormatPr baseColWidth="10" defaultRowHeight="15" x14ac:dyDescent="0.25"/>
  <cols>
    <col min="1" max="1" width="4" customWidth="1"/>
    <col min="2" max="2" width="17.85546875" customWidth="1"/>
    <col min="3" max="3" width="12.140625" bestFit="1" customWidth="1"/>
    <col min="4" max="4" width="17" bestFit="1" customWidth="1"/>
    <col min="6" max="6" width="14.5703125" bestFit="1" customWidth="1"/>
    <col min="8" max="8" width="10" customWidth="1"/>
    <col min="11" max="11" width="13.5703125" customWidth="1"/>
    <col min="12" max="12" width="13" bestFit="1" customWidth="1"/>
    <col min="13" max="13" width="6.42578125" customWidth="1"/>
    <col min="14" max="14" width="8.42578125" customWidth="1"/>
    <col min="22" max="22" width="6.5703125" customWidth="1"/>
    <col min="24" max="24" width="0" hidden="1" customWidth="1"/>
    <col min="26" max="26" width="15.7109375" customWidth="1"/>
  </cols>
  <sheetData>
    <row r="1" spans="1:29" x14ac:dyDescent="0.25">
      <c r="A1" s="1" t="s">
        <v>4281</v>
      </c>
      <c r="S1" s="2"/>
      <c r="W1" s="2"/>
      <c r="Z1" s="3"/>
      <c r="AB1" s="3"/>
    </row>
    <row r="2" spans="1:29" ht="30.75" thickBot="1" x14ac:dyDescent="0.3">
      <c r="A2" s="4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6" t="s">
        <v>7</v>
      </c>
      <c r="I2" s="7" t="s">
        <v>8</v>
      </c>
      <c r="J2" s="4" t="s">
        <v>9</v>
      </c>
      <c r="K2" s="8" t="s">
        <v>10</v>
      </c>
      <c r="L2" s="8" t="s">
        <v>11</v>
      </c>
      <c r="M2" s="4" t="s">
        <v>12</v>
      </c>
      <c r="N2" s="4" t="s">
        <v>13</v>
      </c>
      <c r="O2" s="9" t="s">
        <v>14</v>
      </c>
      <c r="P2" s="10" t="s">
        <v>15</v>
      </c>
      <c r="Q2" s="9" t="s">
        <v>16</v>
      </c>
      <c r="R2" s="11" t="s">
        <v>17</v>
      </c>
      <c r="S2" s="11" t="s">
        <v>18</v>
      </c>
      <c r="T2" s="12" t="s">
        <v>19</v>
      </c>
      <c r="U2" s="9" t="s">
        <v>20</v>
      </c>
      <c r="V2" s="9" t="s">
        <v>21</v>
      </c>
      <c r="W2" s="12" t="s">
        <v>22</v>
      </c>
      <c r="X2" s="9" t="s">
        <v>23</v>
      </c>
      <c r="Y2" s="9" t="s">
        <v>24</v>
      </c>
      <c r="Z2" s="13" t="s">
        <v>25</v>
      </c>
      <c r="AA2" s="9"/>
      <c r="AB2" s="3"/>
    </row>
    <row r="3" spans="1:29" x14ac:dyDescent="0.25">
      <c r="A3" s="262"/>
      <c r="B3" s="27" t="s">
        <v>30</v>
      </c>
      <c r="C3" s="28" t="s">
        <v>40</v>
      </c>
      <c r="D3" s="28" t="s">
        <v>40</v>
      </c>
      <c r="E3" t="s">
        <v>2702</v>
      </c>
      <c r="F3" s="29">
        <f>35746*0.4536</f>
        <v>16214.3856</v>
      </c>
      <c r="G3" s="196">
        <v>16167.19</v>
      </c>
      <c r="H3" s="30">
        <f t="shared" ref="H3:H12" si="0">G3-F3</f>
        <v>-47.195599999999104</v>
      </c>
      <c r="I3" t="s">
        <v>4284</v>
      </c>
      <c r="J3" s="46" t="s">
        <v>196</v>
      </c>
      <c r="K3" s="31">
        <v>43677</v>
      </c>
      <c r="L3" s="31">
        <v>43678</v>
      </c>
      <c r="M3" s="28" t="s">
        <v>41</v>
      </c>
      <c r="N3" s="28" t="s">
        <v>4277</v>
      </c>
      <c r="O3" s="2"/>
      <c r="P3" s="32">
        <f>0.8638+0.105</f>
        <v>0.96879999999999999</v>
      </c>
      <c r="Q3" s="140">
        <v>26000</v>
      </c>
      <c r="R3" s="190">
        <v>10808</v>
      </c>
      <c r="S3" s="194">
        <v>19.146999999999998</v>
      </c>
      <c r="T3" s="33">
        <f t="shared" ref="T3:T5" si="1">X3*F3*0.005</f>
        <v>3509.7000723576743</v>
      </c>
      <c r="V3" s="2">
        <v>0.12</v>
      </c>
      <c r="W3" s="2">
        <v>0.3</v>
      </c>
      <c r="X3" s="2">
        <f>IF(O3&gt;0,O3,((P3*2.2046*S3)+(Q3+R3)/G3)+V3)</f>
        <v>43.291187948036395</v>
      </c>
      <c r="Y3" s="2">
        <f>IF(O3&gt;0,O3,((P3*2.2046*S3)+(Q3+R3+T3)/G3)+V3+W3)</f>
        <v>43.808275770493957</v>
      </c>
      <c r="Z3" s="3">
        <f>Y3*F3</f>
        <v>710324.27581392613</v>
      </c>
      <c r="AA3" s="34">
        <v>43671</v>
      </c>
      <c r="AC3" s="35"/>
    </row>
    <row r="4" spans="1:29" x14ac:dyDescent="0.25">
      <c r="A4" s="262"/>
      <c r="B4" s="27" t="s">
        <v>30</v>
      </c>
      <c r="C4" s="28" t="s">
        <v>40</v>
      </c>
      <c r="D4" s="28" t="s">
        <v>40</v>
      </c>
      <c r="E4" t="s">
        <v>2702</v>
      </c>
      <c r="F4" s="29">
        <f>35573*0.4536</f>
        <v>16135.9128</v>
      </c>
      <c r="G4" s="196">
        <v>16098.77</v>
      </c>
      <c r="H4" s="30">
        <f t="shared" si="0"/>
        <v>-37.142799999999625</v>
      </c>
      <c r="I4" t="s">
        <v>4285</v>
      </c>
      <c r="J4" s="46" t="s">
        <v>196</v>
      </c>
      <c r="K4" s="31">
        <v>43677</v>
      </c>
      <c r="L4" s="31">
        <v>43678</v>
      </c>
      <c r="M4" s="28" t="s">
        <v>41</v>
      </c>
      <c r="N4" s="28" t="s">
        <v>4277</v>
      </c>
      <c r="O4" s="2"/>
      <c r="P4" s="32">
        <f>0.8638+0.105</f>
        <v>0.96879999999999999</v>
      </c>
      <c r="Q4" s="140">
        <v>26000</v>
      </c>
      <c r="R4" s="190">
        <v>11808</v>
      </c>
      <c r="S4" s="194">
        <v>19.128</v>
      </c>
      <c r="T4" s="33">
        <f t="shared" si="1"/>
        <v>3495.232345898773</v>
      </c>
      <c r="V4" s="2">
        <v>0.12</v>
      </c>
      <c r="W4" s="2">
        <v>0.3</v>
      </c>
      <c r="X4" s="2">
        <f>IF(O4&gt;0,O4,((P4*2.2046*S4)+(Q4+R4)/G4)+V4)</f>
        <v>43.322400030555109</v>
      </c>
      <c r="Y4" s="2">
        <f>IF(O4&gt;0,O4,((P4*2.2046*S4)+(Q4+R4+T4)/G4)+V4+W4)</f>
        <v>43.839511794118337</v>
      </c>
      <c r="Z4" s="3">
        <f>Y4*F4</f>
        <v>707390.53950446506</v>
      </c>
      <c r="AA4" s="34">
        <v>43671</v>
      </c>
      <c r="AC4" s="35"/>
    </row>
    <row r="5" spans="1:29" x14ac:dyDescent="0.25">
      <c r="A5" s="262"/>
      <c r="B5" s="27" t="s">
        <v>30</v>
      </c>
      <c r="C5" s="28" t="s">
        <v>35</v>
      </c>
      <c r="D5" s="28" t="s">
        <v>36</v>
      </c>
      <c r="E5" t="s">
        <v>37</v>
      </c>
      <c r="F5" s="29">
        <f>41776*0.4536</f>
        <v>18949.5936</v>
      </c>
      <c r="G5" s="196">
        <v>18874.47</v>
      </c>
      <c r="H5" s="30">
        <f t="shared" si="0"/>
        <v>-75.123599999998987</v>
      </c>
      <c r="I5" t="s">
        <v>4283</v>
      </c>
      <c r="J5" s="46" t="s">
        <v>196</v>
      </c>
      <c r="K5" s="31">
        <v>43677</v>
      </c>
      <c r="L5" s="31">
        <v>43678</v>
      </c>
      <c r="M5" s="28" t="s">
        <v>41</v>
      </c>
      <c r="N5" s="28" t="s">
        <v>4470</v>
      </c>
      <c r="O5" s="2"/>
      <c r="P5" s="32">
        <f>0.8638+0.1</f>
        <v>0.96379999999999999</v>
      </c>
      <c r="Q5" s="140">
        <v>26000</v>
      </c>
      <c r="R5" s="190">
        <v>9508</v>
      </c>
      <c r="S5" s="194">
        <v>19.2</v>
      </c>
      <c r="T5" s="33">
        <f t="shared" si="1"/>
        <v>4054.9577968220156</v>
      </c>
      <c r="V5" s="2">
        <v>0.12</v>
      </c>
      <c r="W5" s="2">
        <v>0.3</v>
      </c>
      <c r="X5" s="2">
        <f>IF(O5&gt;0,O5,((P5*2.2046*S5)+(Q5+R5)/G5)+V5)</f>
        <v>42.797306184149676</v>
      </c>
      <c r="Y5" s="2">
        <f>IF(O5&gt;0,O5,((P5*2.2046*S5)+(Q5+R5+T5)/G5)+V5+W5)</f>
        <v>43.312144417849588</v>
      </c>
      <c r="Z5" s="3">
        <f>Y5*F5</f>
        <v>820747.53466275823</v>
      </c>
      <c r="AA5" s="34">
        <v>43678</v>
      </c>
      <c r="AC5" s="35"/>
    </row>
    <row r="6" spans="1:29" x14ac:dyDescent="0.25">
      <c r="A6" s="262"/>
      <c r="B6" s="27" t="s">
        <v>26</v>
      </c>
      <c r="C6" t="s">
        <v>27</v>
      </c>
      <c r="D6" s="28" t="s">
        <v>1636</v>
      </c>
      <c r="E6">
        <v>200</v>
      </c>
      <c r="F6" s="29">
        <v>23250</v>
      </c>
      <c r="G6" s="30">
        <v>17870</v>
      </c>
      <c r="H6" s="30">
        <f t="shared" si="0"/>
        <v>-5380</v>
      </c>
      <c r="I6" t="s">
        <v>4565</v>
      </c>
      <c r="J6" s="55">
        <v>200</v>
      </c>
      <c r="K6" s="31"/>
      <c r="L6" s="31">
        <v>43678</v>
      </c>
      <c r="M6" s="28" t="s">
        <v>41</v>
      </c>
      <c r="O6" s="2">
        <v>31</v>
      </c>
      <c r="P6" s="32"/>
      <c r="Q6" s="138">
        <v>22800</v>
      </c>
      <c r="R6" s="2">
        <f>75.45*E6</f>
        <v>15090</v>
      </c>
      <c r="S6" s="33">
        <f>-38*E6</f>
        <v>-7600</v>
      </c>
      <c r="T6" s="33">
        <f>X6*F6*0.0045</f>
        <v>4403.0321768326803</v>
      </c>
      <c r="U6" s="2">
        <f>E6*5</f>
        <v>1000</v>
      </c>
      <c r="W6" s="2">
        <v>0.3</v>
      </c>
      <c r="X6" s="2">
        <f>((O6*F6)+Q6+R6+S6+U6)/G6</f>
        <v>42.083939563514271</v>
      </c>
      <c r="Y6" s="2">
        <f>((O6*F6)+Q6+R6+S6+T6+U6)/G6+W6</f>
        <v>42.630331962889343</v>
      </c>
      <c r="Z6" s="3">
        <f>Y6*G6</f>
        <v>761804.03217683255</v>
      </c>
      <c r="AA6" s="34">
        <v>43691</v>
      </c>
      <c r="AC6" s="35"/>
    </row>
    <row r="7" spans="1:29" x14ac:dyDescent="0.25">
      <c r="A7" s="262"/>
      <c r="B7" s="27" t="s">
        <v>26</v>
      </c>
      <c r="C7" t="s">
        <v>27</v>
      </c>
      <c r="D7" s="28" t="s">
        <v>1871</v>
      </c>
      <c r="E7">
        <v>132</v>
      </c>
      <c r="F7" s="29">
        <v>14615</v>
      </c>
      <c r="G7" s="30">
        <v>12180</v>
      </c>
      <c r="H7" s="30">
        <f t="shared" si="0"/>
        <v>-2435</v>
      </c>
      <c r="I7" t="s">
        <v>4566</v>
      </c>
      <c r="J7" s="55">
        <v>132</v>
      </c>
      <c r="K7" s="31"/>
      <c r="L7" s="31">
        <v>43678</v>
      </c>
      <c r="M7" s="28" t="s">
        <v>41</v>
      </c>
      <c r="O7" s="2">
        <v>31</v>
      </c>
      <c r="P7" s="32"/>
      <c r="Q7" s="140">
        <v>18100</v>
      </c>
      <c r="R7" s="2">
        <f>75.45*E7</f>
        <v>9959.4</v>
      </c>
      <c r="S7" s="33">
        <f>-38*E7</f>
        <v>-5016</v>
      </c>
      <c r="T7" s="33">
        <f>X7*F7*0.0045</f>
        <v>2574.373214039409</v>
      </c>
      <c r="U7" s="2">
        <f>E7*5</f>
        <v>660</v>
      </c>
      <c r="W7" s="2">
        <v>0.3</v>
      </c>
      <c r="X7" s="2">
        <f>((O7*F7)+Q7+R7+S7+U7)/G7</f>
        <v>39.143546798029561</v>
      </c>
      <c r="Y7" s="2">
        <f>((O7*F7)+Q7+R7+S7+T7+U7)/G7+W7</f>
        <v>39.654907488837388</v>
      </c>
      <c r="Z7" s="3">
        <f>Y7*G7</f>
        <v>482996.77321403939</v>
      </c>
      <c r="AA7" s="34">
        <v>43691</v>
      </c>
      <c r="AC7" s="35" t="s">
        <v>4650</v>
      </c>
    </row>
    <row r="8" spans="1:29" x14ac:dyDescent="0.25">
      <c r="A8" s="262"/>
      <c r="B8" s="27" t="s">
        <v>2764</v>
      </c>
      <c r="C8" s="28" t="s">
        <v>40</v>
      </c>
      <c r="D8" s="28" t="s">
        <v>4541</v>
      </c>
      <c r="E8" t="s">
        <v>4575</v>
      </c>
      <c r="F8" s="29">
        <v>8612.9599999999991</v>
      </c>
      <c r="G8" s="196">
        <v>8611.14</v>
      </c>
      <c r="H8" s="30">
        <f>G8-F8</f>
        <v>-1.819999999999709</v>
      </c>
      <c r="I8" s="199" t="s">
        <v>4643</v>
      </c>
      <c r="J8" s="191"/>
      <c r="K8" s="31"/>
      <c r="L8" s="31">
        <v>43678</v>
      </c>
      <c r="M8" s="28" t="s">
        <v>46</v>
      </c>
      <c r="N8" s="28"/>
      <c r="O8" s="2">
        <v>37.5</v>
      </c>
      <c r="P8" s="32"/>
      <c r="Q8" s="2"/>
      <c r="R8" s="190"/>
      <c r="S8" s="194"/>
      <c r="T8" s="33"/>
      <c r="V8" s="2"/>
      <c r="W8" s="2"/>
      <c r="X8" s="2">
        <f>IF(O8&gt;0,O8,((P8*2.2046*S8)+(Q8+R8)/G8)+V8)</f>
        <v>37.5</v>
      </c>
      <c r="Y8" s="2">
        <f>IF(O8&gt;0,O8,((P8*2.2046*S8)+(Q8+R8+T8)/G8)+V8+W8)</f>
        <v>37.5</v>
      </c>
      <c r="Z8" s="3">
        <f>Y8*F8</f>
        <v>322985.99999999994</v>
      </c>
      <c r="AA8" s="34">
        <v>43692</v>
      </c>
      <c r="AB8" s="3"/>
      <c r="AC8" s="35"/>
    </row>
    <row r="9" spans="1:29" x14ac:dyDescent="0.25">
      <c r="A9" s="262"/>
      <c r="B9" s="27" t="s">
        <v>30</v>
      </c>
      <c r="C9" s="28" t="s">
        <v>35</v>
      </c>
      <c r="D9" s="28" t="s">
        <v>36</v>
      </c>
      <c r="E9" t="s">
        <v>37</v>
      </c>
      <c r="F9" s="29">
        <f>41503*0.4536</f>
        <v>18825.7608</v>
      </c>
      <c r="G9" s="196">
        <v>18884.07</v>
      </c>
      <c r="H9" s="30">
        <f t="shared" si="0"/>
        <v>58.309199999999691</v>
      </c>
      <c r="I9" s="28" t="s">
        <v>4428</v>
      </c>
      <c r="J9" s="46" t="s">
        <v>196</v>
      </c>
      <c r="K9" s="31">
        <v>43678</v>
      </c>
      <c r="L9" s="31">
        <v>43679</v>
      </c>
      <c r="M9" s="28" t="s">
        <v>45</v>
      </c>
      <c r="N9" s="28" t="s">
        <v>4429</v>
      </c>
      <c r="O9" s="2"/>
      <c r="P9" s="32">
        <f>0.8685+0.1</f>
        <v>0.96850000000000003</v>
      </c>
      <c r="Q9" s="2">
        <v>26000</v>
      </c>
      <c r="R9" s="190">
        <v>9508</v>
      </c>
      <c r="S9" s="194">
        <v>19.38</v>
      </c>
      <c r="T9" s="33">
        <f t="shared" ref="T9" si="2">X9*F9*0.005</f>
        <v>4083.2718270454347</v>
      </c>
      <c r="V9" s="2">
        <v>0.12</v>
      </c>
      <c r="W9" s="2">
        <v>0.3</v>
      </c>
      <c r="X9" s="2">
        <f>IF(O9&gt;0,O9,((P9*2.2046*S9)+(Q9+R9)/G9)+V9)</f>
        <v>43.379620833655068</v>
      </c>
      <c r="Y9" s="2">
        <f>IF(O9&gt;0,O9,((P9*2.2046*S9)+(Q9+R9+T9)/G9)+V9+W9)</f>
        <v>43.895849211703094</v>
      </c>
      <c r="Z9" s="3">
        <f>Y9*F9</f>
        <v>826372.75737239106</v>
      </c>
      <c r="AA9" s="34">
        <v>43678</v>
      </c>
      <c r="AB9" s="3"/>
      <c r="AC9" s="35"/>
    </row>
    <row r="10" spans="1:29" x14ac:dyDescent="0.25">
      <c r="A10" s="262"/>
      <c r="B10" s="27" t="s">
        <v>26</v>
      </c>
      <c r="C10" t="s">
        <v>27</v>
      </c>
      <c r="D10" s="28" t="s">
        <v>1636</v>
      </c>
      <c r="E10">
        <v>201</v>
      </c>
      <c r="F10" s="29">
        <v>23630</v>
      </c>
      <c r="G10" s="30">
        <v>17550</v>
      </c>
      <c r="H10" s="30">
        <f t="shared" si="0"/>
        <v>-6080</v>
      </c>
      <c r="I10" s="28" t="s">
        <v>4646</v>
      </c>
      <c r="J10" s="55">
        <v>201</v>
      </c>
      <c r="K10" s="31"/>
      <c r="L10" s="31">
        <v>43679</v>
      </c>
      <c r="M10" s="28" t="s">
        <v>45</v>
      </c>
      <c r="O10" s="2">
        <v>31</v>
      </c>
      <c r="P10" s="32"/>
      <c r="Q10" s="138">
        <v>22800</v>
      </c>
      <c r="R10" s="2">
        <f t="shared" ref="R10:R11" si="3">75.45*E10</f>
        <v>15165.45</v>
      </c>
      <c r="S10" s="33">
        <f>-38*E10</f>
        <v>-7638</v>
      </c>
      <c r="T10" s="33">
        <f>X10*F10*0.0045</f>
        <v>4628.2229983333327</v>
      </c>
      <c r="U10" s="2">
        <f>E10*5</f>
        <v>1005</v>
      </c>
      <c r="W10" s="2">
        <v>0.3</v>
      </c>
      <c r="X10" s="2">
        <f>((O10*F10)+Q10+R10+S10+U10)/G10</f>
        <v>43.52492592592592</v>
      </c>
      <c r="Y10" s="2">
        <f>((O10*F10)+Q10+R10+S10+T10+U10)/G10+W10</f>
        <v>44.088642336087361</v>
      </c>
      <c r="Z10" s="3">
        <f>Y10*G10</f>
        <v>773755.67299833323</v>
      </c>
      <c r="AA10" s="34">
        <v>43692</v>
      </c>
      <c r="AB10" s="3"/>
      <c r="AC10" s="35"/>
    </row>
    <row r="11" spans="1:29" x14ac:dyDescent="0.25">
      <c r="A11" s="262"/>
      <c r="B11" s="27" t="s">
        <v>26</v>
      </c>
      <c r="C11" t="s">
        <v>27</v>
      </c>
      <c r="D11" s="28" t="s">
        <v>1871</v>
      </c>
      <c r="E11">
        <v>130</v>
      </c>
      <c r="F11" s="29">
        <v>13545</v>
      </c>
      <c r="G11" s="30">
        <v>12030</v>
      </c>
      <c r="H11" s="30">
        <f t="shared" si="0"/>
        <v>-1515</v>
      </c>
      <c r="I11" s="28" t="s">
        <v>4647</v>
      </c>
      <c r="J11" s="55">
        <v>130</v>
      </c>
      <c r="K11" s="31"/>
      <c r="L11" s="31">
        <v>43679</v>
      </c>
      <c r="M11" s="28" t="s">
        <v>45</v>
      </c>
      <c r="O11" s="2">
        <v>31</v>
      </c>
      <c r="P11" s="32"/>
      <c r="Q11" s="140">
        <v>18100</v>
      </c>
      <c r="R11" s="2">
        <f t="shared" si="3"/>
        <v>9808.5</v>
      </c>
      <c r="S11" s="33">
        <f>-38*E11</f>
        <v>-4940</v>
      </c>
      <c r="T11" s="33">
        <f>X11*F11*0.0045</f>
        <v>2247.1535003117206</v>
      </c>
      <c r="U11" s="2">
        <f>E11*5</f>
        <v>650</v>
      </c>
      <c r="W11" s="2">
        <v>0.3</v>
      </c>
      <c r="X11" s="2">
        <f>((O11*F11)+Q11+R11+S11+U11)/G11</f>
        <v>36.867290108063173</v>
      </c>
      <c r="Y11" s="2">
        <f>((O11*F11)+Q11+R11+S11+T11+U11)/G11+W11</f>
        <v>37.354085910250348</v>
      </c>
      <c r="Z11" s="3">
        <f>Y11*G11</f>
        <v>449369.65350031166</v>
      </c>
      <c r="AA11" s="34">
        <v>43692</v>
      </c>
      <c r="AB11" s="3"/>
      <c r="AC11" s="35" t="s">
        <v>4652</v>
      </c>
    </row>
    <row r="12" spans="1:29" x14ac:dyDescent="0.25">
      <c r="A12" s="262"/>
      <c r="B12" s="27" t="s">
        <v>30</v>
      </c>
      <c r="C12" t="s">
        <v>40</v>
      </c>
      <c r="D12" s="28" t="s">
        <v>40</v>
      </c>
      <c r="E12" t="s">
        <v>37</v>
      </c>
      <c r="F12" s="29">
        <f>42035*0.4536</f>
        <v>19067.076000000001</v>
      </c>
      <c r="G12" s="196">
        <v>18988.490000000002</v>
      </c>
      <c r="H12" s="30">
        <f t="shared" si="0"/>
        <v>-78.585999999999331</v>
      </c>
      <c r="I12" t="s">
        <v>4286</v>
      </c>
      <c r="J12" s="46" t="s">
        <v>196</v>
      </c>
      <c r="K12" s="31">
        <v>43679</v>
      </c>
      <c r="L12" s="31">
        <v>43680</v>
      </c>
      <c r="M12" s="28" t="s">
        <v>46</v>
      </c>
      <c r="N12" s="28" t="s">
        <v>4278</v>
      </c>
      <c r="O12" s="2"/>
      <c r="P12" s="32">
        <f>0.8939+0.105</f>
        <v>0.99890000000000001</v>
      </c>
      <c r="Q12" s="140">
        <v>26000</v>
      </c>
      <c r="R12" s="190">
        <v>11808</v>
      </c>
      <c r="S12" s="194">
        <v>19.103000000000002</v>
      </c>
      <c r="T12" s="33">
        <f>X12*F12*0.005</f>
        <v>4211.8454728098905</v>
      </c>
      <c r="V12" s="2">
        <v>0.12</v>
      </c>
      <c r="W12" s="2">
        <v>0.3</v>
      </c>
      <c r="X12" s="2">
        <f>IF(O12&gt;0,O12,((P12*2.2046*S12)+(Q12+R12)/G12)+V12)</f>
        <v>44.179248803643411</v>
      </c>
      <c r="Y12" s="2">
        <f>IF(O12&gt;0,O12,((P12*2.2046*S12)+(Q12+R12+T12)/G12)+V12+W12)</f>
        <v>44.701059251594238</v>
      </c>
      <c r="Z12" s="3">
        <f>Y12*F12</f>
        <v>852318.49403065047</v>
      </c>
      <c r="AA12" s="34">
        <v>43675</v>
      </c>
      <c r="AB12" s="3"/>
      <c r="AC12" s="35"/>
    </row>
    <row r="13" spans="1:29" ht="15.75" thickBot="1" x14ac:dyDescent="0.3">
      <c r="A13" s="263"/>
      <c r="B13" s="41"/>
      <c r="C13" s="4"/>
      <c r="D13" s="4"/>
      <c r="E13" s="4"/>
      <c r="F13" s="42"/>
      <c r="G13" s="42"/>
      <c r="H13" s="42"/>
      <c r="I13" s="7"/>
      <c r="J13" s="4"/>
      <c r="K13" s="8"/>
      <c r="L13" s="8"/>
      <c r="M13" s="4"/>
      <c r="N13" s="4"/>
      <c r="O13" s="9"/>
      <c r="P13" s="10"/>
      <c r="Q13" s="9"/>
      <c r="R13" s="9"/>
      <c r="S13" s="9"/>
      <c r="T13" s="9"/>
      <c r="U13" s="9"/>
      <c r="V13" s="9"/>
      <c r="W13" s="9"/>
      <c r="X13" s="9"/>
      <c r="Y13" s="9"/>
      <c r="Z13" s="13"/>
      <c r="AA13" s="43"/>
      <c r="AB13" s="3"/>
      <c r="AC13" s="35"/>
    </row>
    <row r="14" spans="1:29" x14ac:dyDescent="0.25">
      <c r="A14" s="126"/>
      <c r="B14" s="14" t="s">
        <v>26</v>
      </c>
      <c r="C14" s="14" t="s">
        <v>27</v>
      </c>
      <c r="D14" s="15" t="s">
        <v>1845</v>
      </c>
      <c r="E14" s="14">
        <f>20+198</f>
        <v>218</v>
      </c>
      <c r="F14" s="16">
        <f>2145+23800</f>
        <v>25945</v>
      </c>
      <c r="G14" s="17">
        <v>20640</v>
      </c>
      <c r="H14" s="17">
        <f t="shared" ref="H14:H19" si="4">G14-F14</f>
        <v>-5305</v>
      </c>
      <c r="I14" s="19" t="s">
        <v>4657</v>
      </c>
      <c r="J14" s="121">
        <v>218</v>
      </c>
      <c r="K14" s="20"/>
      <c r="L14" s="20">
        <v>43681</v>
      </c>
      <c r="M14" s="15" t="s">
        <v>28</v>
      </c>
      <c r="N14" s="14"/>
      <c r="O14" s="21">
        <v>31</v>
      </c>
      <c r="P14" s="22"/>
      <c r="Q14" s="139">
        <v>22800</v>
      </c>
      <c r="R14" s="2">
        <f t="shared" ref="R14" si="5">75.45*E14</f>
        <v>16448.100000000002</v>
      </c>
      <c r="S14" s="33">
        <f t="shared" ref="S14" si="6">-38*E14</f>
        <v>-8284</v>
      </c>
      <c r="T14" s="23">
        <f>X14*F14*0.0045</f>
        <v>4730.9035027979644</v>
      </c>
      <c r="U14" s="21">
        <f>E14*5</f>
        <v>1090</v>
      </c>
      <c r="V14" s="14"/>
      <c r="W14" s="21">
        <v>0.3</v>
      </c>
      <c r="X14" s="21">
        <f>((O14*F14)+Q14+R14+S14+U14)/G14</f>
        <v>40.520789728682168</v>
      </c>
      <c r="Y14" s="24">
        <f>((O14*F14)+Q14+R14+S14+T14+U14)/G14+W14</f>
        <v>41.0500001697092</v>
      </c>
      <c r="Z14" s="24">
        <f>Y14*G14</f>
        <v>847272.00350279792</v>
      </c>
      <c r="AA14" s="25">
        <v>43696</v>
      </c>
      <c r="AB14" s="3"/>
      <c r="AC14" s="3"/>
    </row>
    <row r="15" spans="1:29" x14ac:dyDescent="0.25">
      <c r="A15" s="127"/>
      <c r="B15" s="27" t="s">
        <v>26</v>
      </c>
      <c r="C15" t="s">
        <v>27</v>
      </c>
      <c r="D15" s="28" t="s">
        <v>1636</v>
      </c>
      <c r="E15">
        <v>216</v>
      </c>
      <c r="F15" s="227">
        <v>25570</v>
      </c>
      <c r="G15" s="252">
        <f>13090+6280</f>
        <v>19370</v>
      </c>
      <c r="H15" s="30">
        <f t="shared" si="4"/>
        <v>-6200</v>
      </c>
      <c r="I15" s="253" t="s">
        <v>4679</v>
      </c>
      <c r="J15" s="270">
        <f>146+70</f>
        <v>216</v>
      </c>
      <c r="K15" s="249"/>
      <c r="L15" s="249">
        <v>43682</v>
      </c>
      <c r="M15" s="226" t="s">
        <v>29</v>
      </c>
      <c r="N15" s="248"/>
      <c r="O15" s="250">
        <v>30.5</v>
      </c>
      <c r="P15" s="251"/>
      <c r="Q15" s="140">
        <v>22800</v>
      </c>
      <c r="R15" s="2">
        <f>75.45*E15</f>
        <v>16297.2</v>
      </c>
      <c r="S15" s="33">
        <f>-38*E15</f>
        <v>-8208</v>
      </c>
      <c r="T15" s="33">
        <f>X15*F15*0.005</f>
        <v>5358.5730237480639</v>
      </c>
      <c r="U15" s="2">
        <f>E15*5</f>
        <v>1080</v>
      </c>
      <c r="W15" s="2">
        <v>0.3</v>
      </c>
      <c r="X15" s="2">
        <f>((O15*F15)+Q15+R15+S15+U15)/G15</f>
        <v>41.912968508002059</v>
      </c>
      <c r="Y15" s="2">
        <f>((O15*F15)+Q15+R15+S15+T15+U15)/G15+W15</f>
        <v>42.489611410621997</v>
      </c>
      <c r="Z15" s="3">
        <f>Y15*G15</f>
        <v>823023.77302374807</v>
      </c>
      <c r="AA15" s="34">
        <v>43696</v>
      </c>
      <c r="AB15" s="3"/>
      <c r="AC15" s="3" t="s">
        <v>4682</v>
      </c>
    </row>
    <row r="16" spans="1:29" x14ac:dyDescent="0.25">
      <c r="A16" s="127"/>
      <c r="B16" s="27" t="s">
        <v>4662</v>
      </c>
      <c r="C16" t="s">
        <v>2450</v>
      </c>
      <c r="D16" s="28" t="s">
        <v>1806</v>
      </c>
      <c r="E16" t="s">
        <v>1910</v>
      </c>
      <c r="F16" s="227">
        <f>870+847+861+869+845</f>
        <v>4292</v>
      </c>
      <c r="G16" s="227">
        <f>870+847+861+869+845</f>
        <v>4292</v>
      </c>
      <c r="H16" s="30">
        <f t="shared" si="4"/>
        <v>0</v>
      </c>
      <c r="I16" s="253" t="s">
        <v>4661</v>
      </c>
      <c r="J16" s="248"/>
      <c r="K16" s="249"/>
      <c r="L16" s="249">
        <v>43682</v>
      </c>
      <c r="M16" s="226" t="s">
        <v>29</v>
      </c>
      <c r="N16" s="248"/>
      <c r="O16" s="250">
        <v>18.5</v>
      </c>
      <c r="P16" s="251"/>
      <c r="Q16" s="2"/>
      <c r="R16" s="2"/>
      <c r="S16" s="33"/>
      <c r="T16" s="33"/>
      <c r="U16" s="2"/>
      <c r="W16" s="2"/>
      <c r="X16" s="2"/>
      <c r="Y16" s="2">
        <v>18.5</v>
      </c>
      <c r="Z16" s="3">
        <f>F16*Y16</f>
        <v>79402</v>
      </c>
      <c r="AA16" s="34">
        <v>43689</v>
      </c>
      <c r="AB16" s="3"/>
      <c r="AC16" s="3"/>
    </row>
    <row r="17" spans="1:32" x14ac:dyDescent="0.25">
      <c r="A17" s="127"/>
      <c r="B17" s="27" t="s">
        <v>3646</v>
      </c>
      <c r="C17" t="s">
        <v>1814</v>
      </c>
      <c r="D17" s="28" t="s">
        <v>4547</v>
      </c>
      <c r="E17" t="s">
        <v>4686</v>
      </c>
      <c r="F17" s="227">
        <v>3246.72</v>
      </c>
      <c r="G17" s="196">
        <v>3239.75</v>
      </c>
      <c r="H17" s="30">
        <f t="shared" si="4"/>
        <v>-6.9699999999997999</v>
      </c>
      <c r="I17" s="253" t="s">
        <v>4672</v>
      </c>
      <c r="J17" s="248"/>
      <c r="K17" s="249"/>
      <c r="L17" s="249">
        <v>43682</v>
      </c>
      <c r="M17" s="226" t="s">
        <v>29</v>
      </c>
      <c r="N17" s="248"/>
      <c r="O17" s="250">
        <v>46.75</v>
      </c>
      <c r="P17" s="251"/>
      <c r="Q17" s="2"/>
      <c r="R17" s="2"/>
      <c r="S17" s="33"/>
      <c r="T17" s="33"/>
      <c r="U17" s="2"/>
      <c r="W17" s="2"/>
      <c r="X17" s="2"/>
      <c r="Y17" s="2">
        <v>46.75</v>
      </c>
      <c r="Z17" s="3">
        <f>F17*Y17</f>
        <v>151784.16</v>
      </c>
      <c r="AA17" s="34">
        <v>43696</v>
      </c>
      <c r="AB17" s="3"/>
      <c r="AC17" s="3"/>
    </row>
    <row r="18" spans="1:32" x14ac:dyDescent="0.25">
      <c r="A18" s="127"/>
      <c r="B18" s="27" t="s">
        <v>1732</v>
      </c>
      <c r="C18" t="s">
        <v>3900</v>
      </c>
      <c r="D18" s="28" t="s">
        <v>4547</v>
      </c>
      <c r="E18" t="s">
        <v>4691</v>
      </c>
      <c r="F18" s="227">
        <v>12385.1</v>
      </c>
      <c r="G18" s="196">
        <v>12385.1</v>
      </c>
      <c r="H18" s="30">
        <f t="shared" si="4"/>
        <v>0</v>
      </c>
      <c r="I18" s="253" t="s">
        <v>4673</v>
      </c>
      <c r="J18" s="248"/>
      <c r="K18" s="249"/>
      <c r="L18" s="249">
        <v>43682</v>
      </c>
      <c r="M18" s="226" t="s">
        <v>29</v>
      </c>
      <c r="N18" s="248"/>
      <c r="O18" s="250">
        <v>56.5</v>
      </c>
      <c r="P18" s="251"/>
      <c r="Q18" s="2"/>
      <c r="R18" s="2"/>
      <c r="S18" s="33"/>
      <c r="T18" s="33"/>
      <c r="U18" s="2"/>
      <c r="W18" s="2"/>
      <c r="X18" s="2"/>
      <c r="Y18" s="2">
        <v>56.5</v>
      </c>
      <c r="Z18" s="3">
        <f>F18*Y18</f>
        <v>699758.15</v>
      </c>
      <c r="AA18" s="34">
        <v>43696</v>
      </c>
      <c r="AB18" s="3"/>
      <c r="AC18" s="3"/>
    </row>
    <row r="19" spans="1:32" x14ac:dyDescent="0.25">
      <c r="A19" s="127"/>
      <c r="B19" s="27" t="s">
        <v>30</v>
      </c>
      <c r="C19" s="28" t="s">
        <v>1790</v>
      </c>
      <c r="D19" s="28" t="s">
        <v>1790</v>
      </c>
      <c r="E19" t="s">
        <v>32</v>
      </c>
      <c r="F19" s="29">
        <f>41745*0.4536</f>
        <v>18935.531999999999</v>
      </c>
      <c r="G19" s="196">
        <v>19242.89</v>
      </c>
      <c r="H19" s="30">
        <f t="shared" si="4"/>
        <v>307.35800000000017</v>
      </c>
      <c r="I19" s="28" t="s">
        <v>4548</v>
      </c>
      <c r="J19" s="46" t="s">
        <v>196</v>
      </c>
      <c r="K19" s="31">
        <v>43682</v>
      </c>
      <c r="L19" s="31">
        <v>43684</v>
      </c>
      <c r="M19" s="28" t="s">
        <v>33</v>
      </c>
      <c r="N19" s="28" t="s">
        <v>4550</v>
      </c>
      <c r="O19" s="2"/>
      <c r="P19" s="32">
        <f>0.8902+0.095</f>
        <v>0.98519999999999996</v>
      </c>
      <c r="Q19" s="140">
        <v>26000</v>
      </c>
      <c r="R19" s="190">
        <v>10808</v>
      </c>
      <c r="S19" s="194">
        <v>19.66</v>
      </c>
      <c r="T19" s="33">
        <f t="shared" ref="T19" si="7">X19*F19*0.005</f>
        <v>4235.2894562907113</v>
      </c>
      <c r="V19" s="2">
        <v>0.12</v>
      </c>
      <c r="W19" s="2">
        <v>0.3</v>
      </c>
      <c r="X19" s="2">
        <f>IF(O19&gt;0,O19,((P19*2.2046*S19)+(Q19+R19)/G19)+V19)</f>
        <v>44.733778341064948</v>
      </c>
      <c r="Y19" s="2">
        <f>IF(O19&gt;0,O19,((P19*2.2046*S19)+(Q19+R19+T19)/G19)+V19+W19)</f>
        <v>45.253874670477565</v>
      </c>
      <c r="Z19" s="3">
        <f>Y19*F19</f>
        <v>856906.19194681733</v>
      </c>
      <c r="AA19" s="34">
        <v>43682</v>
      </c>
      <c r="AB19" s="3"/>
      <c r="AC19" s="35"/>
    </row>
    <row r="20" spans="1:32" x14ac:dyDescent="0.25">
      <c r="A20" s="127"/>
      <c r="B20" s="27" t="s">
        <v>30</v>
      </c>
      <c r="C20" s="28" t="s">
        <v>35</v>
      </c>
      <c r="D20" s="28" t="s">
        <v>36</v>
      </c>
      <c r="E20" t="s">
        <v>37</v>
      </c>
      <c r="F20" s="29">
        <f>40856*0.4536</f>
        <v>18532.281599999998</v>
      </c>
      <c r="G20" s="196">
        <v>18412.849999999999</v>
      </c>
      <c r="H20" s="30">
        <f>G20-F20</f>
        <v>-119.43159999999989</v>
      </c>
      <c r="I20" t="s">
        <v>4549</v>
      </c>
      <c r="J20" s="46" t="s">
        <v>196</v>
      </c>
      <c r="K20" s="31">
        <v>43682</v>
      </c>
      <c r="L20" s="31">
        <v>43683</v>
      </c>
      <c r="M20" s="28" t="s">
        <v>48</v>
      </c>
      <c r="N20" s="28" t="s">
        <v>4551</v>
      </c>
      <c r="O20" s="2"/>
      <c r="P20" s="32">
        <f>0.8902+0.1</f>
        <v>0.99019999999999997</v>
      </c>
      <c r="Q20" s="140">
        <v>26000</v>
      </c>
      <c r="R20" s="190">
        <v>11808</v>
      </c>
      <c r="S20" s="194">
        <v>19.649999999999999</v>
      </c>
      <c r="T20" s="33">
        <f>X20*F20*0.005</f>
        <v>4176.1754173612835</v>
      </c>
      <c r="V20" s="2">
        <v>0.12</v>
      </c>
      <c r="W20" s="2">
        <v>0.3</v>
      </c>
      <c r="X20" s="2">
        <f>IF(O20&gt;0,O20,((P20*2.2046*S20)+(Q20+R20)/G20)+V20)</f>
        <v>45.069198790517881</v>
      </c>
      <c r="Y20" s="2">
        <f>IF(O20&gt;0,O20,((P20*2.2046*S20)+(Q20+R20+T20)/G20)+V20+W20)</f>
        <v>45.596006450242541</v>
      </c>
      <c r="Z20" s="3">
        <f>Y20*F20</f>
        <v>844998.03137131105</v>
      </c>
      <c r="AA20" s="34">
        <v>43683</v>
      </c>
      <c r="AB20" s="3"/>
      <c r="AC20" s="35"/>
    </row>
    <row r="21" spans="1:32" x14ac:dyDescent="0.25">
      <c r="A21" s="127"/>
      <c r="B21" s="27" t="s">
        <v>30</v>
      </c>
      <c r="C21" s="28" t="s">
        <v>31</v>
      </c>
      <c r="D21" s="28" t="s">
        <v>31</v>
      </c>
      <c r="E21" t="s">
        <v>32</v>
      </c>
      <c r="F21" s="29">
        <f>40772*0.4536</f>
        <v>18494.179199999999</v>
      </c>
      <c r="G21" s="196">
        <v>18449.38</v>
      </c>
      <c r="H21" s="30">
        <f>G21-F21</f>
        <v>-44.799199999997654</v>
      </c>
      <c r="I21" s="28" t="s">
        <v>4083</v>
      </c>
      <c r="J21" s="46" t="s">
        <v>196</v>
      </c>
      <c r="K21" s="31">
        <v>43682</v>
      </c>
      <c r="L21" s="31">
        <v>43683</v>
      </c>
      <c r="M21" s="28" t="s">
        <v>48</v>
      </c>
      <c r="N21" s="28" t="s">
        <v>4542</v>
      </c>
      <c r="O21" s="2"/>
      <c r="P21" s="32">
        <f>0.9103+0.105</f>
        <v>1.0153000000000001</v>
      </c>
      <c r="Q21" s="140">
        <v>26000</v>
      </c>
      <c r="R21" s="190">
        <v>11808</v>
      </c>
      <c r="S21" s="194">
        <v>19.146999999999998</v>
      </c>
      <c r="T21" s="33">
        <f>X21*F21*0.005</f>
        <v>4163.6495596950554</v>
      </c>
      <c r="V21" s="2">
        <v>0.12</v>
      </c>
      <c r="W21" s="2">
        <v>0.3</v>
      </c>
      <c r="X21" s="2">
        <f>IF(O21&gt;0,O21,((P21*2.2046*S21)+(Q21+R21)/G21)+V21)</f>
        <v>45.026594742794053</v>
      </c>
      <c r="Y21" s="2">
        <f>IF(O21&gt;0,O21,((P21*2.2046*S21)+(Q21+R21+T21)/G21)+V21+W21)</f>
        <v>45.552274389464834</v>
      </c>
      <c r="Z21" s="3">
        <f>Y21*F21</f>
        <v>842451.92552633316</v>
      </c>
      <c r="AA21" s="34">
        <v>43671</v>
      </c>
      <c r="AB21" s="3"/>
      <c r="AC21" s="35"/>
    </row>
    <row r="22" spans="1:32" x14ac:dyDescent="0.25">
      <c r="A22" s="127"/>
      <c r="B22" s="27" t="s">
        <v>26</v>
      </c>
      <c r="C22" t="s">
        <v>43</v>
      </c>
      <c r="D22" s="28" t="s">
        <v>44</v>
      </c>
      <c r="E22">
        <f>180+70</f>
        <v>250</v>
      </c>
      <c r="F22" s="204">
        <v>21570</v>
      </c>
      <c r="G22" s="30">
        <f>15610+5940</f>
        <v>21550</v>
      </c>
      <c r="H22" s="30">
        <f>G22-F22</f>
        <v>-20</v>
      </c>
      <c r="I22" t="s">
        <v>4741</v>
      </c>
      <c r="J22">
        <f>70+180</f>
        <v>250</v>
      </c>
      <c r="K22" s="31"/>
      <c r="L22" s="31">
        <v>43683</v>
      </c>
      <c r="M22" s="28" t="s">
        <v>48</v>
      </c>
      <c r="O22" s="2">
        <v>39.6</v>
      </c>
      <c r="P22" s="32"/>
      <c r="Q22" s="138">
        <v>22800</v>
      </c>
      <c r="R22" s="2"/>
      <c r="S22" s="33"/>
      <c r="T22" s="33">
        <f>X22*F22*0.005</f>
        <v>4395.1852761020882</v>
      </c>
      <c r="U22" s="2">
        <f>E22*5</f>
        <v>1250</v>
      </c>
      <c r="W22" s="2">
        <v>0.3</v>
      </c>
      <c r="X22" s="2">
        <f>((O22*F22)+Q22+R22+S22+U22)/G22</f>
        <v>40.752761020881671</v>
      </c>
      <c r="Y22" s="2">
        <f>((O22*F22)+Q22+R22+S22+T22+U22)/G22+W22</f>
        <v>41.256713933925845</v>
      </c>
      <c r="Z22" s="3">
        <f>Y22*G22</f>
        <v>889082.18527610193</v>
      </c>
      <c r="AA22" s="34">
        <v>43690</v>
      </c>
      <c r="AB22" s="3"/>
      <c r="AC22" s="35" t="s">
        <v>4705</v>
      </c>
      <c r="AF22" s="30"/>
    </row>
    <row r="23" spans="1:32" x14ac:dyDescent="0.25">
      <c r="A23" s="127"/>
      <c r="B23" s="27" t="s">
        <v>30</v>
      </c>
      <c r="C23" s="28" t="s">
        <v>31</v>
      </c>
      <c r="D23" s="28" t="s">
        <v>31</v>
      </c>
      <c r="E23" t="s">
        <v>32</v>
      </c>
      <c r="F23" s="29">
        <f>40973*0.4536</f>
        <v>18585.352800000001</v>
      </c>
      <c r="G23" s="196">
        <v>18533.849999999999</v>
      </c>
      <c r="H23" s="30">
        <f t="shared" ref="H23:H24" si="8">G23-F23</f>
        <v>-51.502800000002026</v>
      </c>
      <c r="I23" s="28" t="s">
        <v>4558</v>
      </c>
      <c r="J23" s="46" t="s">
        <v>196</v>
      </c>
      <c r="K23" s="31">
        <v>43685</v>
      </c>
      <c r="L23" s="31">
        <v>43686</v>
      </c>
      <c r="M23" s="28" t="s">
        <v>45</v>
      </c>
      <c r="N23" s="28" t="s">
        <v>4552</v>
      </c>
      <c r="O23" s="2"/>
      <c r="P23" s="32">
        <f>0.8902+0.105</f>
        <v>0.99519999999999997</v>
      </c>
      <c r="Q23" s="195">
        <v>26000</v>
      </c>
      <c r="R23" s="190">
        <v>9508</v>
      </c>
      <c r="S23" s="194">
        <v>19.120999999999999</v>
      </c>
      <c r="T23" s="33">
        <f t="shared" ref="T23:T24" si="9">X23*F23*0.005</f>
        <v>4087.63113386338</v>
      </c>
      <c r="V23" s="2">
        <v>0.12</v>
      </c>
      <c r="W23" s="2">
        <v>0.3</v>
      </c>
      <c r="X23" s="2">
        <f>IF(O23&gt;0,O23,((P23*2.2046*S23)+(Q23+R23)/G23)+V23)</f>
        <v>43.987662519523219</v>
      </c>
      <c r="Y23" s="2">
        <f>IF(O23&gt;0,O23,((P23*2.2046*S23)+(Q23+R23+T23)/G23)+V23+W23)</f>
        <v>44.508212007830473</v>
      </c>
      <c r="Z23" s="3">
        <f>Y23*F23</f>
        <v>827200.8226627257</v>
      </c>
      <c r="AA23" s="34">
        <v>43676</v>
      </c>
      <c r="AB23" s="3"/>
      <c r="AC23" s="35"/>
    </row>
    <row r="24" spans="1:32" x14ac:dyDescent="0.25">
      <c r="A24" s="127"/>
      <c r="B24" s="27" t="s">
        <v>30</v>
      </c>
      <c r="C24" s="28" t="s">
        <v>31</v>
      </c>
      <c r="D24" s="28" t="s">
        <v>31</v>
      </c>
      <c r="E24" t="s">
        <v>32</v>
      </c>
      <c r="F24" s="29">
        <f>40682*0.4536</f>
        <v>18453.355200000002</v>
      </c>
      <c r="G24" s="196">
        <v>18452.95</v>
      </c>
      <c r="H24" s="30">
        <f t="shared" si="8"/>
        <v>-0.40520000000105938</v>
      </c>
      <c r="I24" s="28" t="s">
        <v>4756</v>
      </c>
      <c r="J24" s="46" t="s">
        <v>1690</v>
      </c>
      <c r="K24" s="31">
        <v>43683</v>
      </c>
      <c r="L24" s="31">
        <v>43684</v>
      </c>
      <c r="M24" s="28" t="s">
        <v>33</v>
      </c>
      <c r="N24" s="28" t="s">
        <v>4552</v>
      </c>
      <c r="O24" s="2"/>
      <c r="P24" s="32">
        <f>0.8902+0.105</f>
        <v>0.99519999999999997</v>
      </c>
      <c r="Q24" s="195">
        <v>26000</v>
      </c>
      <c r="R24" s="190">
        <v>11658</v>
      </c>
      <c r="S24" s="194">
        <v>19.120999999999999</v>
      </c>
      <c r="T24" s="33">
        <f t="shared" si="9"/>
        <v>4070.1250171787337</v>
      </c>
      <c r="V24" s="2">
        <v>0.12</v>
      </c>
      <c r="W24" s="2">
        <v>0.3</v>
      </c>
      <c r="X24" s="2">
        <f>IF(O24&gt;0,O24,((P24*2.2046*S24)+(Q24+R24)/G24)+V24)</f>
        <v>44.112574359146713</v>
      </c>
      <c r="Y24" s="2">
        <f>IF(O24&gt;0,O24,((P24*2.2046*S24)+(Q24+R24+T24)/G24)+V24+W24)</f>
        <v>44.633142074182992</v>
      </c>
      <c r="Z24" s="3">
        <f>Y24*F24</f>
        <v>823631.22438696353</v>
      </c>
      <c r="AA24" s="34">
        <v>43676</v>
      </c>
      <c r="AB24" s="3"/>
      <c r="AC24" s="35"/>
    </row>
    <row r="25" spans="1:32" x14ac:dyDescent="0.25">
      <c r="A25" s="127"/>
      <c r="B25" s="27" t="s">
        <v>26</v>
      </c>
      <c r="C25" t="s">
        <v>27</v>
      </c>
      <c r="D25" s="28" t="s">
        <v>1636</v>
      </c>
      <c r="E25">
        <v>220</v>
      </c>
      <c r="F25" s="29">
        <v>25530</v>
      </c>
      <c r="G25" s="30">
        <f>6530+14010</f>
        <v>20540</v>
      </c>
      <c r="H25" s="30">
        <f>G25-F25</f>
        <v>-4990</v>
      </c>
      <c r="I25" s="28" t="s">
        <v>4694</v>
      </c>
      <c r="J25" s="55">
        <f>150+70</f>
        <v>220</v>
      </c>
      <c r="K25" s="31"/>
      <c r="L25" s="31">
        <v>43684</v>
      </c>
      <c r="M25" s="28" t="s">
        <v>33</v>
      </c>
      <c r="O25" s="2">
        <v>30.5</v>
      </c>
      <c r="P25" s="32"/>
      <c r="Q25" s="140">
        <v>22800</v>
      </c>
      <c r="R25" s="2">
        <f>75.45*E25</f>
        <v>16599</v>
      </c>
      <c r="S25" s="33">
        <f>-38*E25</f>
        <v>-8360</v>
      </c>
      <c r="T25" s="33">
        <f>X25*F25*0.005</f>
        <v>5038.9060662122683</v>
      </c>
      <c r="U25" s="2">
        <f>E25*5</f>
        <v>1100</v>
      </c>
      <c r="W25" s="2">
        <v>0.3</v>
      </c>
      <c r="X25" s="2">
        <f>((O25*F25)+Q25+R25+S25+U25)/G25</f>
        <v>39.474391431353453</v>
      </c>
      <c r="Y25" s="2">
        <f>((O25*F25)+Q25+R25+S25+T25+U25)/G25+W25</f>
        <v>40.019713050935351</v>
      </c>
      <c r="Z25" s="3">
        <f>Y25*G25</f>
        <v>822004.9060662121</v>
      </c>
      <c r="AA25" s="34">
        <v>43697</v>
      </c>
      <c r="AB25" s="3"/>
      <c r="AC25" s="35" t="s">
        <v>4706</v>
      </c>
    </row>
    <row r="26" spans="1:32" x14ac:dyDescent="0.25">
      <c r="A26" s="127"/>
      <c r="B26" s="27" t="s">
        <v>4525</v>
      </c>
      <c r="C26" t="s">
        <v>4538</v>
      </c>
      <c r="D26" s="28" t="s">
        <v>4528</v>
      </c>
      <c r="E26" t="s">
        <v>4697</v>
      </c>
      <c r="F26" s="29">
        <v>4359.4799999999996</v>
      </c>
      <c r="G26" s="196">
        <v>4359.4799999999996</v>
      </c>
      <c r="H26" s="30">
        <f t="shared" ref="H26" si="10">G26-F26</f>
        <v>0</v>
      </c>
      <c r="I26" s="260" t="s">
        <v>4698</v>
      </c>
      <c r="K26" s="31"/>
      <c r="L26" s="31">
        <v>43684</v>
      </c>
      <c r="M26" s="28" t="s">
        <v>33</v>
      </c>
      <c r="O26" s="2">
        <v>22</v>
      </c>
      <c r="P26" s="32"/>
      <c r="Q26" s="190"/>
      <c r="R26" s="2"/>
      <c r="S26" s="33"/>
      <c r="T26" s="33"/>
      <c r="U26" s="2"/>
      <c r="W26" s="2"/>
      <c r="X26" s="2"/>
      <c r="Y26" s="2">
        <v>22</v>
      </c>
      <c r="Z26" s="3">
        <f>F26*Y26</f>
        <v>95908.56</v>
      </c>
      <c r="AA26" s="34">
        <v>43697</v>
      </c>
      <c r="AB26" s="3"/>
      <c r="AC26" s="35"/>
    </row>
    <row r="27" spans="1:32" x14ac:dyDescent="0.25">
      <c r="A27" s="127"/>
      <c r="B27" s="27" t="s">
        <v>30</v>
      </c>
      <c r="C27" s="28" t="s">
        <v>40</v>
      </c>
      <c r="D27" s="28" t="s">
        <v>40</v>
      </c>
      <c r="E27" t="s">
        <v>37</v>
      </c>
      <c r="F27" s="29">
        <f>41566*0.4536</f>
        <v>18854.337599999999</v>
      </c>
      <c r="G27" s="196">
        <v>18799.77</v>
      </c>
      <c r="H27" s="30">
        <f>G27-F27</f>
        <v>-54.567599999998492</v>
      </c>
      <c r="I27" s="28" t="s">
        <v>4559</v>
      </c>
      <c r="J27" s="46" t="s">
        <v>196</v>
      </c>
      <c r="K27" s="31">
        <v>43684</v>
      </c>
      <c r="L27" s="31">
        <v>43686</v>
      </c>
      <c r="M27" s="28" t="s">
        <v>41</v>
      </c>
      <c r="N27" s="28" t="s">
        <v>4553</v>
      </c>
      <c r="O27" s="2"/>
      <c r="P27" s="32">
        <f>0.9162+0.105</f>
        <v>1.0212000000000001</v>
      </c>
      <c r="Q27" s="140">
        <v>26000</v>
      </c>
      <c r="R27" s="190">
        <v>11818</v>
      </c>
      <c r="S27" s="194">
        <v>19.044</v>
      </c>
      <c r="T27" s="33">
        <f>X27*F27*0.005</f>
        <v>4242.8002712127382</v>
      </c>
      <c r="V27" s="2">
        <v>0.12</v>
      </c>
      <c r="W27" s="2">
        <v>0.3</v>
      </c>
      <c r="X27" s="2">
        <f>IF(O27&gt;0,O27,((P27*2.2046*S27)+(Q27+R27)/G27)+V27)</f>
        <v>45.006092085809883</v>
      </c>
      <c r="Y27" s="2">
        <f>IF(O27&gt;0,O27,((P27*2.2046*S27)+(Q27+R27+T27)/G27)+V27+W27)</f>
        <v>45.531775712323011</v>
      </c>
      <c r="Z27" s="3">
        <f>Y27*F27</f>
        <v>858471.47080761846</v>
      </c>
      <c r="AA27" s="34">
        <v>43677</v>
      </c>
      <c r="AB27" s="3"/>
      <c r="AC27" s="35"/>
    </row>
    <row r="28" spans="1:32" x14ac:dyDescent="0.25">
      <c r="A28" s="127"/>
      <c r="B28" s="27" t="s">
        <v>26</v>
      </c>
      <c r="C28" t="s">
        <v>27</v>
      </c>
      <c r="D28" s="28" t="s">
        <v>1636</v>
      </c>
      <c r="E28">
        <v>200</v>
      </c>
      <c r="F28" s="29">
        <v>21350</v>
      </c>
      <c r="G28" s="30">
        <v>16920</v>
      </c>
      <c r="H28" s="30">
        <f t="shared" ref="H28:H36" si="11">G28-F28</f>
        <v>-4430</v>
      </c>
      <c r="I28" s="28" t="s">
        <v>4700</v>
      </c>
      <c r="K28" s="31"/>
      <c r="L28" s="31">
        <v>43685</v>
      </c>
      <c r="M28" s="28" t="s">
        <v>41</v>
      </c>
      <c r="O28" s="2">
        <v>30.5</v>
      </c>
      <c r="P28" s="32"/>
      <c r="Q28" s="138">
        <v>22800</v>
      </c>
      <c r="R28" s="2">
        <f t="shared" ref="R28:R29" si="12">75.45*E28</f>
        <v>15090</v>
      </c>
      <c r="S28" s="33">
        <f>-38*E28</f>
        <v>-7600</v>
      </c>
      <c r="T28" s="33">
        <f>X28*F28*0.0045</f>
        <v>3875.1669547872339</v>
      </c>
      <c r="U28" s="2">
        <f>E28*5</f>
        <v>1000</v>
      </c>
      <c r="W28" s="2">
        <v>0.3</v>
      </c>
      <c r="X28" s="2">
        <f t="shared" ref="X28" si="13">((O28*F28)+Q28+R28+S28+U28)/G28</f>
        <v>40.334810874704495</v>
      </c>
      <c r="Y28" s="2">
        <f>((O28*F28)+Q28+R28+S28+T28+U28)/G28+W28</f>
        <v>40.863839654538246</v>
      </c>
      <c r="Z28" s="3">
        <f>Y28*G28</f>
        <v>691416.1669547871</v>
      </c>
      <c r="AA28" s="34">
        <v>43698</v>
      </c>
      <c r="AB28" s="3"/>
      <c r="AC28" s="35"/>
    </row>
    <row r="29" spans="1:32" x14ac:dyDescent="0.25">
      <c r="A29" s="127"/>
      <c r="B29" s="27" t="s">
        <v>26</v>
      </c>
      <c r="C29" t="s">
        <v>27</v>
      </c>
      <c r="D29" s="28" t="s">
        <v>4701</v>
      </c>
      <c r="E29">
        <v>130</v>
      </c>
      <c r="F29" s="29">
        <v>13690</v>
      </c>
      <c r="G29" s="30">
        <v>10930</v>
      </c>
      <c r="H29" s="30">
        <f t="shared" si="11"/>
        <v>-2760</v>
      </c>
      <c r="I29" s="28" t="s">
        <v>4702</v>
      </c>
      <c r="K29" s="31"/>
      <c r="L29" s="31">
        <v>43685</v>
      </c>
      <c r="M29" s="28" t="s">
        <v>41</v>
      </c>
      <c r="O29" s="2">
        <v>30.5</v>
      </c>
      <c r="P29" s="32"/>
      <c r="Q29" s="140">
        <v>18100</v>
      </c>
      <c r="R29" s="2">
        <f t="shared" si="12"/>
        <v>9808.5</v>
      </c>
      <c r="S29" s="33">
        <f>-38*E29</f>
        <v>-4940</v>
      </c>
      <c r="T29" s="33">
        <f>X29*F29*0.0045</f>
        <v>2486.5395624428174</v>
      </c>
      <c r="U29" s="2">
        <f>E29*5</f>
        <v>650</v>
      </c>
      <c r="W29" s="2">
        <v>0.3</v>
      </c>
      <c r="X29" s="2">
        <f>((O29*F29)+Q29+R29+S29+U29)/G29</f>
        <v>40.362625800548948</v>
      </c>
      <c r="Y29" s="2">
        <f>((O29*F29)+Q29+R29+S29+T29+U29)/G29+W29</f>
        <v>40.890122558320471</v>
      </c>
      <c r="Z29" s="3">
        <f>Y29*G29</f>
        <v>446929.03956244275</v>
      </c>
      <c r="AA29" s="34">
        <v>43698</v>
      </c>
      <c r="AB29" s="3"/>
      <c r="AC29" s="35" t="s">
        <v>4715</v>
      </c>
    </row>
    <row r="30" spans="1:32" x14ac:dyDescent="0.25">
      <c r="A30" s="127"/>
      <c r="B30" s="27" t="s">
        <v>4717</v>
      </c>
      <c r="D30" s="28" t="s">
        <v>2557</v>
      </c>
      <c r="E30" t="s">
        <v>4718</v>
      </c>
      <c r="F30" s="29">
        <v>882</v>
      </c>
      <c r="G30" s="30">
        <v>882</v>
      </c>
      <c r="H30" s="30">
        <f t="shared" si="11"/>
        <v>0</v>
      </c>
      <c r="I30" s="28" t="s">
        <v>4719</v>
      </c>
      <c r="K30" s="31"/>
      <c r="L30" s="31">
        <v>43685</v>
      </c>
      <c r="M30" s="28" t="s">
        <v>41</v>
      </c>
      <c r="O30" s="2">
        <v>60</v>
      </c>
      <c r="P30" s="32"/>
      <c r="Q30" s="190"/>
      <c r="R30" s="2"/>
      <c r="S30" s="33"/>
      <c r="T30" s="33"/>
      <c r="U30" s="2"/>
      <c r="W30" s="2"/>
      <c r="X30" s="2"/>
      <c r="Y30" s="2">
        <v>60</v>
      </c>
      <c r="Z30" s="3">
        <f>Y30*G30</f>
        <v>52920</v>
      </c>
      <c r="AA30" s="34">
        <v>43686</v>
      </c>
      <c r="AB30" s="3"/>
      <c r="AC30" s="35"/>
    </row>
    <row r="31" spans="1:32" x14ac:dyDescent="0.25">
      <c r="A31" s="127"/>
      <c r="B31" s="27" t="s">
        <v>30</v>
      </c>
      <c r="C31" s="28" t="s">
        <v>40</v>
      </c>
      <c r="D31" s="28" t="s">
        <v>40</v>
      </c>
      <c r="E31" t="s">
        <v>37</v>
      </c>
      <c r="F31" s="29">
        <f>41881*0.4536</f>
        <v>18997.221600000001</v>
      </c>
      <c r="G31" s="196">
        <v>18938.55</v>
      </c>
      <c r="H31" s="30">
        <f>G31-F31</f>
        <v>-58.67160000000149</v>
      </c>
      <c r="I31" t="s">
        <v>4560</v>
      </c>
      <c r="J31" s="46" t="s">
        <v>196</v>
      </c>
      <c r="K31" s="31">
        <v>43686</v>
      </c>
      <c r="L31" s="31">
        <v>43687</v>
      </c>
      <c r="M31" s="28" t="s">
        <v>45</v>
      </c>
      <c r="N31" s="28" t="s">
        <v>4556</v>
      </c>
      <c r="O31" s="2"/>
      <c r="P31" s="32">
        <f>0.896+0.105</f>
        <v>1.0010000000000001</v>
      </c>
      <c r="Q31" s="195">
        <v>26000</v>
      </c>
      <c r="R31" s="190">
        <v>11808</v>
      </c>
      <c r="S31" s="194">
        <v>19.172999999999998</v>
      </c>
      <c r="T31" s="33">
        <f>X31*F31*0.005</f>
        <v>4219.9873298931452</v>
      </c>
      <c r="V31" s="2">
        <v>0.12</v>
      </c>
      <c r="W31" s="2">
        <v>0.3</v>
      </c>
      <c r="X31" s="2">
        <f>IF(O31&gt;0,O31,((P31*2.2046*S31)+(Q31+R31)/G31)+V31)</f>
        <v>44.427415953216489</v>
      </c>
      <c r="Y31" s="2">
        <f>IF(O31&gt;0,O31,((P31*2.2046*S31)+(Q31+R31+T31)/G31)+V31+W31)</f>
        <v>44.950241213328432</v>
      </c>
      <c r="Z31" s="3">
        <f>Y31*F31</f>
        <v>853929.69330305315</v>
      </c>
      <c r="AA31" s="34">
        <v>43679</v>
      </c>
      <c r="AB31" s="3"/>
      <c r="AC31" s="35"/>
    </row>
    <row r="32" spans="1:32" x14ac:dyDescent="0.25">
      <c r="A32" s="127"/>
      <c r="B32" s="27" t="s">
        <v>30</v>
      </c>
      <c r="C32" s="28" t="s">
        <v>35</v>
      </c>
      <c r="D32" s="28" t="s">
        <v>36</v>
      </c>
      <c r="E32" t="s">
        <v>37</v>
      </c>
      <c r="F32" s="29">
        <f>41772*0.4536</f>
        <v>18947.779200000001</v>
      </c>
      <c r="G32" s="196">
        <v>18831.47</v>
      </c>
      <c r="H32" s="30">
        <f>G32-F32</f>
        <v>-116.30919999999969</v>
      </c>
      <c r="I32" t="s">
        <v>4554</v>
      </c>
      <c r="J32" s="46" t="s">
        <v>196</v>
      </c>
      <c r="K32" s="31">
        <v>43685</v>
      </c>
      <c r="L32" s="31">
        <v>43686</v>
      </c>
      <c r="M32" s="28" t="s">
        <v>45</v>
      </c>
      <c r="N32" s="28" t="s">
        <v>4555</v>
      </c>
      <c r="O32" s="2"/>
      <c r="P32" s="32">
        <f>0.9162+0.1</f>
        <v>1.0162</v>
      </c>
      <c r="Q32" s="195">
        <v>26000</v>
      </c>
      <c r="R32" s="190">
        <v>10808</v>
      </c>
      <c r="S32" s="194">
        <v>19.579999999999998</v>
      </c>
      <c r="T32" s="33">
        <f>X32*F32*0.005</f>
        <v>4352.300975739462</v>
      </c>
      <c r="V32" s="2">
        <v>0.12</v>
      </c>
      <c r="W32" s="2">
        <v>0.3</v>
      </c>
      <c r="X32" s="2">
        <f>IF(O32&gt;0,O32,((P32*2.2046*S32)+(Q32+R32)/G32)+V32)</f>
        <v>45.939958765610506</v>
      </c>
      <c r="Y32" s="2">
        <f>IF(O32&gt;0,O32,((P32*2.2046*S32)+(Q32+R32+T32)/G32)+V32+W32)</f>
        <v>46.471077259054688</v>
      </c>
      <c r="Z32" s="3">
        <f>Y32*F32</f>
        <v>880523.71109070943</v>
      </c>
      <c r="AA32" s="34">
        <v>43686</v>
      </c>
      <c r="AB32" s="3"/>
      <c r="AC32" s="35"/>
    </row>
    <row r="33" spans="1:32" x14ac:dyDescent="0.25">
      <c r="A33" s="127"/>
      <c r="B33" s="27" t="s">
        <v>26</v>
      </c>
      <c r="C33" t="s">
        <v>27</v>
      </c>
      <c r="D33" s="28" t="s">
        <v>1718</v>
      </c>
      <c r="E33">
        <v>200</v>
      </c>
      <c r="F33" s="29">
        <v>24540</v>
      </c>
      <c r="G33" s="30">
        <v>19670</v>
      </c>
      <c r="H33" s="30">
        <f t="shared" si="11"/>
        <v>-4870</v>
      </c>
      <c r="I33" s="28" t="s">
        <v>4709</v>
      </c>
      <c r="J33" s="55">
        <v>200</v>
      </c>
      <c r="K33" s="31"/>
      <c r="L33" s="31">
        <v>43686</v>
      </c>
      <c r="M33" s="28" t="s">
        <v>45</v>
      </c>
      <c r="O33" s="2">
        <v>30.5</v>
      </c>
      <c r="P33" s="32"/>
      <c r="Q33" s="140">
        <v>22800</v>
      </c>
      <c r="R33" s="2">
        <f t="shared" ref="R33:R34" si="14">75.45*E33</f>
        <v>15090</v>
      </c>
      <c r="S33" s="33">
        <f>-38*E33</f>
        <v>-7600</v>
      </c>
      <c r="T33" s="33">
        <f>X33*F33*0.0045</f>
        <v>4377.6765022877471</v>
      </c>
      <c r="U33" s="2">
        <f>E33*5</f>
        <v>1000</v>
      </c>
      <c r="W33" s="2">
        <v>0.3</v>
      </c>
      <c r="X33" s="2">
        <f>((O33*F33)+Q33+R33+S33+U33)/G33</f>
        <v>39.642094560244026</v>
      </c>
      <c r="Y33" s="2">
        <f>((O33*F33)+Q33+R33+S33+T33+U33)/G33+W33</f>
        <v>40.164650559343549</v>
      </c>
      <c r="Z33" s="3">
        <f>Y33*G33</f>
        <v>790038.67650228762</v>
      </c>
      <c r="AA33" s="34">
        <v>43699</v>
      </c>
      <c r="AB33" s="3"/>
      <c r="AC33" s="35"/>
    </row>
    <row r="34" spans="1:32" x14ac:dyDescent="0.25">
      <c r="A34" s="127"/>
      <c r="B34" s="27" t="s">
        <v>26</v>
      </c>
      <c r="C34" t="s">
        <v>27</v>
      </c>
      <c r="D34" s="226" t="s">
        <v>1720</v>
      </c>
      <c r="E34" s="248">
        <v>129</v>
      </c>
      <c r="F34" s="227">
        <v>15405</v>
      </c>
      <c r="G34" s="252">
        <v>11930</v>
      </c>
      <c r="H34" s="30">
        <f t="shared" si="11"/>
        <v>-3475</v>
      </c>
      <c r="I34" s="253" t="s">
        <v>4716</v>
      </c>
      <c r="J34" s="270">
        <v>128</v>
      </c>
      <c r="K34" s="249"/>
      <c r="L34" s="31">
        <v>43686</v>
      </c>
      <c r="M34" s="28" t="s">
        <v>45</v>
      </c>
      <c r="N34" s="248"/>
      <c r="O34" s="2">
        <v>30.5</v>
      </c>
      <c r="P34" s="251"/>
      <c r="Q34" s="195">
        <v>18100</v>
      </c>
      <c r="R34" s="2">
        <f t="shared" si="14"/>
        <v>9733.0500000000011</v>
      </c>
      <c r="S34" s="33">
        <f>-38*E34</f>
        <v>-4902</v>
      </c>
      <c r="T34" s="33">
        <f>X34*F34*0.0045</f>
        <v>2867.2003903918694</v>
      </c>
      <c r="U34" s="2">
        <f>E34*5</f>
        <v>645</v>
      </c>
      <c r="W34" s="2">
        <v>0.3</v>
      </c>
      <c r="X34" s="2">
        <f>((O34*F34)+Q34+R34+S34+U34)/G34</f>
        <v>41.360314333612742</v>
      </c>
      <c r="Y34" s="2">
        <f>((O34*F34)+Q34+R34+S34+T34+U34)/G34+W34</f>
        <v>41.900649655523203</v>
      </c>
      <c r="Z34" s="3">
        <f>Y34*G34</f>
        <v>499874.7503903918</v>
      </c>
      <c r="AA34" s="34">
        <v>43699</v>
      </c>
      <c r="AB34" s="3"/>
      <c r="AC34" s="3" t="s">
        <v>4740</v>
      </c>
    </row>
    <row r="35" spans="1:32" x14ac:dyDescent="0.25">
      <c r="A35" s="127"/>
      <c r="B35" s="27" t="s">
        <v>30</v>
      </c>
      <c r="C35" t="s">
        <v>40</v>
      </c>
      <c r="D35" s="28" t="s">
        <v>40</v>
      </c>
      <c r="E35" t="s">
        <v>37</v>
      </c>
      <c r="F35" s="29">
        <f>41835*0.4536</f>
        <v>18976.356</v>
      </c>
      <c r="G35" s="196">
        <v>18946.28</v>
      </c>
      <c r="H35" s="30">
        <f t="shared" si="11"/>
        <v>-30.076000000000931</v>
      </c>
      <c r="I35" s="28" t="s">
        <v>4557</v>
      </c>
      <c r="J35" s="46" t="s">
        <v>196</v>
      </c>
      <c r="K35" s="31">
        <v>43686</v>
      </c>
      <c r="L35" s="31">
        <v>43687</v>
      </c>
      <c r="M35" s="28" t="s">
        <v>46</v>
      </c>
      <c r="N35" s="28" t="s">
        <v>4658</v>
      </c>
      <c r="O35" s="2"/>
      <c r="P35" s="32">
        <f>0.92+0.105</f>
        <v>1.0250000000000001</v>
      </c>
      <c r="Q35" s="195">
        <v>26000</v>
      </c>
      <c r="R35" s="190">
        <v>9508</v>
      </c>
      <c r="S35" s="194">
        <v>19.66</v>
      </c>
      <c r="T35" s="33">
        <f>X35*F35*0.005</f>
        <v>4404.4253110689087</v>
      </c>
      <c r="V35" s="2">
        <v>0.12</v>
      </c>
      <c r="W35" s="2">
        <v>0.3</v>
      </c>
      <c r="X35" s="2">
        <f>IF(O35&gt;0,O35,((P35*2.2046*S35)+(Q35+R35)/G35)+V35)</f>
        <v>46.420137892321456</v>
      </c>
      <c r="Y35" s="2">
        <f>IF(O35&gt;0,O35,((P35*2.2046*S35)+(Q35+R35+T35)/G35)+V35+W35)</f>
        <v>46.952607026688142</v>
      </c>
      <c r="Z35" s="3">
        <f>Y35*F35</f>
        <v>890989.38606653572</v>
      </c>
      <c r="AA35" s="34">
        <v>43682</v>
      </c>
      <c r="AB35" s="3"/>
      <c r="AC35" s="35"/>
    </row>
    <row r="36" spans="1:32" x14ac:dyDescent="0.25">
      <c r="A36" s="127"/>
      <c r="B36" s="27" t="s">
        <v>1729</v>
      </c>
      <c r="C36" t="s">
        <v>3900</v>
      </c>
      <c r="D36" s="28" t="s">
        <v>1731</v>
      </c>
      <c r="E36" t="s">
        <v>4746</v>
      </c>
      <c r="F36" s="29">
        <v>18363.72</v>
      </c>
      <c r="G36" s="196">
        <v>18363.48</v>
      </c>
      <c r="H36" s="196">
        <f t="shared" si="11"/>
        <v>-0.24000000000160071</v>
      </c>
      <c r="I36" s="199" t="s">
        <v>2980</v>
      </c>
      <c r="J36" s="191"/>
      <c r="K36" s="201"/>
      <c r="L36" s="201">
        <v>43687</v>
      </c>
      <c r="M36" s="199" t="s">
        <v>46</v>
      </c>
      <c r="N36" s="199"/>
      <c r="O36" s="190">
        <v>85.8</v>
      </c>
      <c r="P36" s="202"/>
      <c r="Q36" s="190"/>
      <c r="R36" s="190"/>
      <c r="S36" s="194"/>
      <c r="T36" s="197"/>
      <c r="V36" s="2"/>
      <c r="W36" s="2"/>
      <c r="X36" s="2">
        <f>IF(O36&gt;0,O36,((P36*2.2046*S36)+(Q36+R36)/G36)+V36)</f>
        <v>85.8</v>
      </c>
      <c r="Y36" s="2">
        <f>IF(O36&gt;0,O36,((P36*2.2046*S36)+(Q36+R36+T36)/G36)+V36+W36)</f>
        <v>85.8</v>
      </c>
      <c r="Z36" s="3">
        <f>Y36*F36</f>
        <v>1575607.176</v>
      </c>
      <c r="AA36" s="34">
        <v>43692</v>
      </c>
      <c r="AB36" s="3"/>
      <c r="AC36" s="35"/>
    </row>
    <row r="37" spans="1:32" ht="15.75" thickBot="1" x14ac:dyDescent="0.3">
      <c r="A37" s="128"/>
      <c r="B37" s="41"/>
      <c r="C37" s="4"/>
      <c r="D37" s="4"/>
      <c r="E37" s="4"/>
      <c r="F37" s="42"/>
      <c r="G37" s="42"/>
      <c r="H37" s="42"/>
      <c r="I37" s="7"/>
      <c r="J37" s="4"/>
      <c r="K37" s="8"/>
      <c r="L37" s="8"/>
      <c r="M37" s="4"/>
      <c r="N37" s="4"/>
      <c r="O37" s="9"/>
      <c r="P37" s="10"/>
      <c r="Q37" s="9"/>
      <c r="R37" s="9"/>
      <c r="S37" s="9"/>
      <c r="T37" s="9"/>
      <c r="U37" s="9"/>
      <c r="V37" s="9"/>
      <c r="W37" s="9"/>
      <c r="X37" s="9"/>
      <c r="Y37" s="9"/>
      <c r="Z37" s="13"/>
      <c r="AA37" s="43"/>
      <c r="AB37" s="3"/>
      <c r="AC37" s="35"/>
    </row>
    <row r="38" spans="1:32" x14ac:dyDescent="0.25">
      <c r="A38" s="273"/>
      <c r="B38" s="14" t="s">
        <v>26</v>
      </c>
      <c r="C38" s="14" t="s">
        <v>27</v>
      </c>
      <c r="D38" s="15" t="s">
        <v>1718</v>
      </c>
      <c r="E38" s="14">
        <v>200</v>
      </c>
      <c r="F38" s="16">
        <v>24360</v>
      </c>
      <c r="G38" s="17">
        <v>19560</v>
      </c>
      <c r="H38" s="17">
        <f t="shared" ref="H38:H42" si="15">G38-F38</f>
        <v>-4800</v>
      </c>
      <c r="I38" s="19" t="s">
        <v>4738</v>
      </c>
      <c r="J38" s="121">
        <v>200</v>
      </c>
      <c r="K38" s="20"/>
      <c r="L38" s="20">
        <v>43688</v>
      </c>
      <c r="M38" s="15" t="s">
        <v>28</v>
      </c>
      <c r="N38" s="14"/>
      <c r="O38" s="21">
        <v>30.5</v>
      </c>
      <c r="P38" s="22"/>
      <c r="Q38" s="139">
        <v>22800</v>
      </c>
      <c r="R38" s="2">
        <f t="shared" ref="R38" si="16">75.45*E38</f>
        <v>15090</v>
      </c>
      <c r="S38" s="33">
        <f t="shared" ref="S38" si="17">-38*E38</f>
        <v>-7600</v>
      </c>
      <c r="T38" s="23">
        <f>X38*F38*0.0045</f>
        <v>4339.2370858895702</v>
      </c>
      <c r="U38" s="21">
        <f>E38*5</f>
        <v>1000</v>
      </c>
      <c r="V38" s="14"/>
      <c r="W38" s="21">
        <v>0.3</v>
      </c>
      <c r="X38" s="21">
        <f>((O38*F38)+Q38+R38+S38+U38)/G38</f>
        <v>39.584355828220858</v>
      </c>
      <c r="Y38" s="24">
        <f>((O38*F38)+Q38+R38+S38+T38+U38)/G38+W38</f>
        <v>40.106198215025024</v>
      </c>
      <c r="Z38" s="24">
        <f>Y38*G38</f>
        <v>784477.23708588944</v>
      </c>
      <c r="AA38" s="25">
        <v>43703</v>
      </c>
      <c r="AB38" s="3"/>
      <c r="AC38" s="3"/>
    </row>
    <row r="39" spans="1:32" x14ac:dyDescent="0.25">
      <c r="A39" s="274"/>
      <c r="B39" s="27" t="s">
        <v>26</v>
      </c>
      <c r="C39" t="s">
        <v>27</v>
      </c>
      <c r="D39" s="28" t="s">
        <v>1720</v>
      </c>
      <c r="E39">
        <v>130</v>
      </c>
      <c r="F39" s="29">
        <v>14945</v>
      </c>
      <c r="G39" s="30">
        <v>11750</v>
      </c>
      <c r="H39" s="30">
        <f>G39-F39</f>
        <v>-3195</v>
      </c>
      <c r="I39" s="28" t="s">
        <v>4737</v>
      </c>
      <c r="J39" s="55">
        <v>130</v>
      </c>
      <c r="K39" s="31"/>
      <c r="L39" s="249">
        <v>43688</v>
      </c>
      <c r="M39" s="226" t="s">
        <v>28</v>
      </c>
      <c r="O39" s="2">
        <v>30.5</v>
      </c>
      <c r="P39" s="32" t="s">
        <v>4681</v>
      </c>
      <c r="Q39" s="195">
        <v>18100</v>
      </c>
      <c r="R39" s="2">
        <f>75.45*E39</f>
        <v>9808.5</v>
      </c>
      <c r="S39" s="33">
        <f>-38*E39</f>
        <v>-4940</v>
      </c>
      <c r="T39" s="33">
        <f>X39*F39*0.0045</f>
        <v>2744.1366682978719</v>
      </c>
      <c r="U39" s="2">
        <f>E39*5</f>
        <v>650</v>
      </c>
      <c r="W39" s="2">
        <v>0.3</v>
      </c>
      <c r="X39" s="2">
        <f>((O39*F39)+Q39+R39+S39+U39)/G39</f>
        <v>40.803489361702127</v>
      </c>
      <c r="Y39" s="2">
        <f>((O39*F39)+Q39+R39+S39+T39+U39)/G39+W39</f>
        <v>41.337032907940241</v>
      </c>
      <c r="Z39" s="3">
        <f>Y39*G39</f>
        <v>485710.13666829781</v>
      </c>
      <c r="AA39" s="34">
        <v>43703</v>
      </c>
      <c r="AB39" s="3"/>
      <c r="AC39" s="35" t="s">
        <v>4744</v>
      </c>
    </row>
    <row r="40" spans="1:32" x14ac:dyDescent="0.25">
      <c r="A40" s="274"/>
      <c r="B40" s="27" t="s">
        <v>26</v>
      </c>
      <c r="C40" t="s">
        <v>27</v>
      </c>
      <c r="D40" s="28" t="s">
        <v>1718</v>
      </c>
      <c r="E40">
        <f>199</f>
        <v>199</v>
      </c>
      <c r="F40" s="227">
        <v>23960</v>
      </c>
      <c r="G40" s="252">
        <v>18610</v>
      </c>
      <c r="H40" s="30">
        <f t="shared" si="15"/>
        <v>-5350</v>
      </c>
      <c r="I40" s="253" t="s">
        <v>3679</v>
      </c>
      <c r="J40" s="270">
        <v>199</v>
      </c>
      <c r="K40" s="249"/>
      <c r="L40" s="249">
        <v>43689</v>
      </c>
      <c r="M40" s="226" t="s">
        <v>29</v>
      </c>
      <c r="N40" s="248"/>
      <c r="O40" s="2">
        <v>30.5</v>
      </c>
      <c r="P40" s="251" t="s">
        <v>4681</v>
      </c>
      <c r="Q40" s="195">
        <v>22800</v>
      </c>
      <c r="R40" s="2">
        <f>75.45*E40</f>
        <v>15014.550000000001</v>
      </c>
      <c r="S40" s="33">
        <f>-38*E40</f>
        <v>-7562</v>
      </c>
      <c r="T40" s="33">
        <f>X40*F40*0.005</f>
        <v>4905.4755771090822</v>
      </c>
      <c r="U40" s="2">
        <f>E40*5</f>
        <v>995</v>
      </c>
      <c r="W40" s="2">
        <v>0.3</v>
      </c>
      <c r="X40" s="2">
        <f>((O40*F40)+Q40+R40+S40+U40)/G40</f>
        <v>40.947208490059111</v>
      </c>
      <c r="Y40" s="2">
        <f>((O40*F40)+Q40+R40+S40+T40+U40)/G40+W40</f>
        <v>41.510802019189093</v>
      </c>
      <c r="Z40" s="3">
        <f>Y40*G40</f>
        <v>772516.02557710907</v>
      </c>
      <c r="AA40" s="34">
        <v>43703</v>
      </c>
      <c r="AB40" s="3"/>
      <c r="AC40" s="3"/>
    </row>
    <row r="41" spans="1:32" x14ac:dyDescent="0.25">
      <c r="A41" s="274"/>
      <c r="B41" s="27" t="s">
        <v>26</v>
      </c>
      <c r="C41" t="s">
        <v>27</v>
      </c>
      <c r="D41" s="28" t="s">
        <v>1720</v>
      </c>
      <c r="E41">
        <v>130</v>
      </c>
      <c r="F41" s="227">
        <f>15210</f>
        <v>15210</v>
      </c>
      <c r="G41" s="252">
        <f>12510</f>
        <v>12510</v>
      </c>
      <c r="H41" s="30">
        <f t="shared" si="15"/>
        <v>-2700</v>
      </c>
      <c r="I41" s="253" t="s">
        <v>4747</v>
      </c>
      <c r="J41" s="270">
        <v>130</v>
      </c>
      <c r="K41" s="249"/>
      <c r="L41" s="249">
        <v>43689</v>
      </c>
      <c r="M41" s="226" t="s">
        <v>29</v>
      </c>
      <c r="N41" s="248"/>
      <c r="O41" s="2">
        <v>30.5</v>
      </c>
      <c r="P41" s="251" t="s">
        <v>4681</v>
      </c>
      <c r="Q41" s="195">
        <v>18100</v>
      </c>
      <c r="R41" s="2">
        <f t="shared" ref="R41" si="18">75.45*E41</f>
        <v>9808.5</v>
      </c>
      <c r="S41" s="33">
        <f>-38*E41</f>
        <v>-4940</v>
      </c>
      <c r="T41" s="33">
        <f>X41*F41*0.0045</f>
        <v>2667.3497967625899</v>
      </c>
      <c r="U41" s="2">
        <f>E41*5</f>
        <v>650</v>
      </c>
      <c r="W41" s="2">
        <v>0.3</v>
      </c>
      <c r="X41" s="2">
        <f>((O41*F41)+Q41+R41+S41+U41)/G41</f>
        <v>38.970703437250201</v>
      </c>
      <c r="Y41" s="2">
        <f>((O41*F41)+Q41+R41+S41+T41+U41)/G41+W41</f>
        <v>39.483920847063352</v>
      </c>
      <c r="Z41" s="3">
        <f>Y41*G41</f>
        <v>493943.84979676252</v>
      </c>
      <c r="AA41" s="34">
        <v>43703</v>
      </c>
      <c r="AB41" s="3"/>
      <c r="AC41" s="3" t="s">
        <v>4770</v>
      </c>
    </row>
    <row r="42" spans="1:32" x14ac:dyDescent="0.25">
      <c r="A42" s="274"/>
      <c r="B42" s="27" t="s">
        <v>30</v>
      </c>
      <c r="C42" s="28" t="s">
        <v>1790</v>
      </c>
      <c r="D42" s="28" t="s">
        <v>1790</v>
      </c>
      <c r="E42" t="s">
        <v>32</v>
      </c>
      <c r="F42" s="29">
        <f>41400*0.4536</f>
        <v>18779.04</v>
      </c>
      <c r="G42" s="196">
        <v>18709.62</v>
      </c>
      <c r="H42" s="30">
        <f t="shared" si="15"/>
        <v>-69.420000000001892</v>
      </c>
      <c r="I42" s="28" t="s">
        <v>4576</v>
      </c>
      <c r="J42" s="46" t="s">
        <v>196</v>
      </c>
      <c r="K42" s="31">
        <v>43689</v>
      </c>
      <c r="L42" s="31">
        <v>43691</v>
      </c>
      <c r="M42" s="28" t="s">
        <v>48</v>
      </c>
      <c r="N42" s="28" t="s">
        <v>4561</v>
      </c>
      <c r="O42" s="2"/>
      <c r="P42" s="32">
        <f>0.9093+0.095</f>
        <v>1.0043</v>
      </c>
      <c r="Q42" s="195">
        <v>26000</v>
      </c>
      <c r="R42" s="190">
        <v>9508</v>
      </c>
      <c r="S42" s="194">
        <v>19.649999999999999</v>
      </c>
      <c r="T42" s="33">
        <f t="shared" ref="T42" si="19">X42*F42*0.005</f>
        <v>4274.533429629867</v>
      </c>
      <c r="V42" s="2">
        <v>0.12</v>
      </c>
      <c r="W42" s="2">
        <v>0.3</v>
      </c>
      <c r="X42" s="2">
        <f>IF(O42&gt;0,O42,((P42*2.2046*S42)+(Q42+R42)/G42)+V42)</f>
        <v>45.524514880737961</v>
      </c>
      <c r="Y42" s="2">
        <f>IF(O42&gt;0,O42,((P42*2.2046*S42)+(Q42+R42+T42)/G42)+V42+W42)</f>
        <v>46.052982023824235</v>
      </c>
      <c r="Z42" s="3">
        <f>Y42*F42</f>
        <v>864830.79154467629</v>
      </c>
      <c r="AA42" s="34">
        <v>43689</v>
      </c>
      <c r="AB42" s="3"/>
      <c r="AC42" s="35"/>
    </row>
    <row r="43" spans="1:32" x14ac:dyDescent="0.25">
      <c r="A43" s="274"/>
      <c r="B43" s="27" t="s">
        <v>30</v>
      </c>
      <c r="C43" s="28" t="s">
        <v>35</v>
      </c>
      <c r="D43" s="28" t="s">
        <v>36</v>
      </c>
      <c r="E43" t="s">
        <v>37</v>
      </c>
      <c r="F43" s="29">
        <f>41819*0.4536</f>
        <v>18969.098399999999</v>
      </c>
      <c r="G43" s="196">
        <v>18851.27</v>
      </c>
      <c r="H43" s="30">
        <f>G43-F43</f>
        <v>-117.82839999999851</v>
      </c>
      <c r="I43" t="s">
        <v>4577</v>
      </c>
      <c r="J43" s="46" t="s">
        <v>196</v>
      </c>
      <c r="K43" s="31">
        <v>43691</v>
      </c>
      <c r="L43" s="31">
        <v>43692</v>
      </c>
      <c r="M43" s="28" t="s">
        <v>41</v>
      </c>
      <c r="N43" s="28" t="s">
        <v>4707</v>
      </c>
      <c r="O43" s="2"/>
      <c r="P43" s="32">
        <f>0.8738+0.1</f>
        <v>0.9738</v>
      </c>
      <c r="Q43" s="195">
        <v>26000</v>
      </c>
      <c r="R43" s="190">
        <v>9508</v>
      </c>
      <c r="S43" s="194">
        <v>19.46</v>
      </c>
      <c r="T43" s="33">
        <f>X43*F43*0.005</f>
        <v>4152.4383483109386</v>
      </c>
      <c r="V43" s="2">
        <v>0.12</v>
      </c>
      <c r="W43" s="2">
        <v>0.3</v>
      </c>
      <c r="X43" s="2">
        <f>IF(O43&gt;0,O43,((P43*2.2046*S43)+(Q43+R43)/G43)+V43)</f>
        <v>43.781082903876325</v>
      </c>
      <c r="Y43" s="2">
        <f>IF(O43&gt;0,O43,((P43*2.2046*S43)+(Q43+R43+T43)/G43)+V43+W43)</f>
        <v>44.301356569698882</v>
      </c>
      <c r="Z43" s="3">
        <f>Y43*F43</f>
        <v>840356.79202410451</v>
      </c>
      <c r="AA43" s="34">
        <v>43691</v>
      </c>
      <c r="AB43" s="3"/>
      <c r="AC43" s="35"/>
    </row>
    <row r="44" spans="1:32" x14ac:dyDescent="0.25">
      <c r="A44" s="274"/>
      <c r="B44" s="27" t="s">
        <v>26</v>
      </c>
      <c r="C44" t="s">
        <v>43</v>
      </c>
      <c r="D44" s="28" t="s">
        <v>44</v>
      </c>
      <c r="E44">
        <v>250</v>
      </c>
      <c r="F44" s="29">
        <v>19090</v>
      </c>
      <c r="G44" s="30">
        <f>13060+6100</f>
        <v>19160</v>
      </c>
      <c r="H44" s="30">
        <f>G44-F44</f>
        <v>70</v>
      </c>
      <c r="I44" s="191" t="s">
        <v>4809</v>
      </c>
      <c r="K44" s="31"/>
      <c r="L44" s="31">
        <v>43690</v>
      </c>
      <c r="M44" s="28" t="s">
        <v>48</v>
      </c>
      <c r="O44" s="2">
        <v>39.1</v>
      </c>
      <c r="P44" s="32"/>
      <c r="Q44" s="138">
        <v>22800</v>
      </c>
      <c r="R44" s="2"/>
      <c r="S44" s="33"/>
      <c r="T44" s="33">
        <f>X44*F44*0.005</f>
        <v>3838.2706706680583</v>
      </c>
      <c r="U44" s="2">
        <f>E44*5</f>
        <v>1250</v>
      </c>
      <c r="W44" s="2">
        <v>0.3</v>
      </c>
      <c r="X44" s="2">
        <f>((O44*F44)+Q44+R44+S44+U44)/G44</f>
        <v>40.212369519832983</v>
      </c>
      <c r="Y44" s="2">
        <f>((O44*F44)+Q44+R44+S44+T44+U44)/G44+W44</f>
        <v>40.712696799095411</v>
      </c>
      <c r="Z44" s="3">
        <f>Y44*G44</f>
        <v>780055.27067066811</v>
      </c>
      <c r="AA44" s="34">
        <v>43697</v>
      </c>
      <c r="AB44" s="3"/>
      <c r="AC44" s="35" t="s">
        <v>4781</v>
      </c>
      <c r="AF44" s="30"/>
    </row>
    <row r="45" spans="1:32" x14ac:dyDescent="0.25">
      <c r="A45" s="274"/>
      <c r="B45" s="27" t="s">
        <v>26</v>
      </c>
      <c r="C45" t="s">
        <v>27</v>
      </c>
      <c r="D45" s="28" t="s">
        <v>1718</v>
      </c>
      <c r="E45">
        <v>217</v>
      </c>
      <c r="F45" s="29">
        <v>26340</v>
      </c>
      <c r="G45" s="30">
        <f>14310+6950</f>
        <v>21260</v>
      </c>
      <c r="H45" s="30">
        <f>G45-F45</f>
        <v>-5080</v>
      </c>
      <c r="I45" t="s">
        <v>4771</v>
      </c>
      <c r="J45" s="55">
        <f>147+70</f>
        <v>217</v>
      </c>
      <c r="K45" s="31"/>
      <c r="L45" s="31">
        <v>43691</v>
      </c>
      <c r="M45" s="28" t="s">
        <v>33</v>
      </c>
      <c r="O45" s="2">
        <v>30</v>
      </c>
      <c r="P45" s="32" t="s">
        <v>4681</v>
      </c>
      <c r="Q45" s="195">
        <v>22800</v>
      </c>
      <c r="R45" s="2">
        <f>75.45*E45</f>
        <v>16372.650000000001</v>
      </c>
      <c r="S45" s="33">
        <f>-38*E45</f>
        <v>-8246</v>
      </c>
      <c r="T45" s="33">
        <f>X45*F45*0.005</f>
        <v>5093.3807293038572</v>
      </c>
      <c r="U45" s="2">
        <f>E45*5</f>
        <v>1085</v>
      </c>
      <c r="W45" s="2">
        <v>0.3</v>
      </c>
      <c r="X45" s="2">
        <f>((O45*F45)+Q45+R45+S45+U45)/G45</f>
        <v>38.674113358419568</v>
      </c>
      <c r="Y45" s="2">
        <f>((O45*F45)+Q45+R45+S45+T45+U45)/G45+W45</f>
        <v>39.213689121792278</v>
      </c>
      <c r="Z45" s="3">
        <f>Y45*G45</f>
        <v>833683.03072930383</v>
      </c>
      <c r="AA45" s="34">
        <v>43704</v>
      </c>
      <c r="AB45" s="3"/>
      <c r="AC45" s="35" t="s">
        <v>4802</v>
      </c>
    </row>
    <row r="46" spans="1:32" x14ac:dyDescent="0.25">
      <c r="A46" s="274"/>
      <c r="B46" s="27" t="s">
        <v>30</v>
      </c>
      <c r="C46" s="28" t="s">
        <v>40</v>
      </c>
      <c r="D46" s="28" t="s">
        <v>40</v>
      </c>
      <c r="E46" t="s">
        <v>37</v>
      </c>
      <c r="F46" s="29">
        <f>42309*0.4536</f>
        <v>19191.362400000002</v>
      </c>
      <c r="G46" s="196">
        <v>19108.11</v>
      </c>
      <c r="H46" s="30">
        <f>G46-F46</f>
        <v>-83.252400000001217</v>
      </c>
      <c r="I46" t="s">
        <v>4578</v>
      </c>
      <c r="J46" s="46" t="s">
        <v>196</v>
      </c>
      <c r="K46" s="31">
        <v>43690</v>
      </c>
      <c r="L46" s="31">
        <v>43691</v>
      </c>
      <c r="M46" s="28" t="s">
        <v>33</v>
      </c>
      <c r="N46" s="28" t="s">
        <v>4562</v>
      </c>
      <c r="O46" s="2"/>
      <c r="P46" s="32">
        <f>0.8738+0.105</f>
        <v>0.9788</v>
      </c>
      <c r="Q46" s="195">
        <v>26000</v>
      </c>
      <c r="R46" s="190">
        <v>9508</v>
      </c>
      <c r="S46" s="194">
        <v>19.62</v>
      </c>
      <c r="T46" s="33">
        <f>X46*F46*0.005</f>
        <v>4252.3770206906393</v>
      </c>
      <c r="V46" s="2">
        <v>0.12</v>
      </c>
      <c r="W46" s="2">
        <v>0.3</v>
      </c>
      <c r="X46" s="2">
        <f>IF(O46&gt;0,O46,((P46*2.2046*S46)+(Q46+R46)/G46)+V46)</f>
        <v>44.315530414772837</v>
      </c>
      <c r="Y46" s="2">
        <f>IF(O46&gt;0,O46,((P46*2.2046*S46)+(Q46+R46+T46)/G46)+V46+W46)</f>
        <v>44.838073461714195</v>
      </c>
      <c r="Z46" s="3">
        <f>Y46*F46</f>
        <v>860503.71712157968</v>
      </c>
      <c r="AA46" s="34"/>
      <c r="AB46" s="3"/>
      <c r="AC46" s="35"/>
    </row>
    <row r="47" spans="1:32" x14ac:dyDescent="0.25">
      <c r="A47" s="274"/>
      <c r="B47" s="27" t="s">
        <v>26</v>
      </c>
      <c r="C47" t="s">
        <v>27</v>
      </c>
      <c r="D47" s="28" t="s">
        <v>1636</v>
      </c>
      <c r="E47">
        <v>249</v>
      </c>
      <c r="F47" s="29">
        <v>28140</v>
      </c>
      <c r="G47" s="30">
        <v>21670</v>
      </c>
      <c r="H47" s="30">
        <f t="shared" ref="H47:H54" si="20">G47-F47</f>
        <v>-6470</v>
      </c>
      <c r="I47" t="s">
        <v>4799</v>
      </c>
      <c r="J47" s="55">
        <v>246</v>
      </c>
      <c r="K47" s="31"/>
      <c r="L47" s="31">
        <v>43692</v>
      </c>
      <c r="M47" s="28" t="s">
        <v>41</v>
      </c>
      <c r="O47" s="2">
        <v>30</v>
      </c>
      <c r="P47" s="32"/>
      <c r="Q47" s="138">
        <v>22800</v>
      </c>
      <c r="R47" s="2">
        <f t="shared" ref="R47:R48" si="21">75.45*E47</f>
        <v>18787.05</v>
      </c>
      <c r="S47" s="33">
        <f>-38*E47</f>
        <v>-9462</v>
      </c>
      <c r="T47" s="33">
        <f>X47*F47*0.0045</f>
        <v>5128.135460613752</v>
      </c>
      <c r="U47" s="2">
        <f>E47*5</f>
        <v>1245</v>
      </c>
      <c r="W47" s="2">
        <v>0.3</v>
      </c>
      <c r="X47" s="2">
        <f t="shared" ref="X47" si="22">((O47*F47)+Q47+R47+S47+U47)/G47</f>
        <v>40.497002768804805</v>
      </c>
      <c r="Y47" s="2">
        <f>((O47*F47)+Q47+R47+S47+T47+U47)/G47+W47</f>
        <v>41.033649536714989</v>
      </c>
      <c r="Z47" s="3">
        <f>Y47*G47</f>
        <v>889199.18546061381</v>
      </c>
      <c r="AA47" s="34">
        <v>43705</v>
      </c>
      <c r="AB47" s="3"/>
      <c r="AC47" s="35"/>
    </row>
    <row r="48" spans="1:32" x14ac:dyDescent="0.25">
      <c r="A48" s="274"/>
      <c r="B48" s="27" t="s">
        <v>26</v>
      </c>
      <c r="C48" t="s">
        <v>27</v>
      </c>
      <c r="D48" s="28" t="s">
        <v>4701</v>
      </c>
      <c r="E48">
        <v>130</v>
      </c>
      <c r="F48" s="29">
        <v>13380</v>
      </c>
      <c r="G48" s="30">
        <v>10520</v>
      </c>
      <c r="H48" s="30">
        <f t="shared" si="20"/>
        <v>-2860</v>
      </c>
      <c r="I48" t="s">
        <v>4783</v>
      </c>
      <c r="J48" s="55">
        <v>130</v>
      </c>
      <c r="K48" s="31"/>
      <c r="L48" s="31">
        <v>43692</v>
      </c>
      <c r="M48" s="28" t="s">
        <v>41</v>
      </c>
      <c r="O48" s="2">
        <v>30</v>
      </c>
      <c r="P48" s="32" t="s">
        <v>4681</v>
      </c>
      <c r="Q48" s="195">
        <v>18100</v>
      </c>
      <c r="R48" s="2">
        <f t="shared" si="21"/>
        <v>9808.5</v>
      </c>
      <c r="S48" s="33">
        <f>-38*E48</f>
        <v>-4940</v>
      </c>
      <c r="T48" s="33">
        <f>X48*F48*0.0045</f>
        <v>2432.5440955323193</v>
      </c>
      <c r="U48" s="2">
        <f>E48*5</f>
        <v>650</v>
      </c>
      <c r="W48" s="2">
        <v>0.3</v>
      </c>
      <c r="X48" s="2">
        <f>((O48*F48)+Q48+R48+S48+U48)/G48</f>
        <v>40.400998098859318</v>
      </c>
      <c r="Y48" s="2">
        <f>((O48*F48)+Q48+R48+S48+T48+U48)/G48+W48</f>
        <v>40.932228526191281</v>
      </c>
      <c r="Z48" s="3">
        <f>Y48*G48</f>
        <v>430607.04409553227</v>
      </c>
      <c r="AA48" s="34">
        <v>43705</v>
      </c>
      <c r="AB48" s="3"/>
      <c r="AC48" s="287" t="s">
        <v>4794</v>
      </c>
    </row>
    <row r="49" spans="1:32" x14ac:dyDescent="0.25">
      <c r="A49" s="274"/>
      <c r="B49" s="27" t="s">
        <v>30</v>
      </c>
      <c r="C49" s="28" t="s">
        <v>1790</v>
      </c>
      <c r="D49" s="28" t="s">
        <v>1790</v>
      </c>
      <c r="E49" t="s">
        <v>32</v>
      </c>
      <c r="F49" s="29">
        <f>41096*0.4536</f>
        <v>18641.1456</v>
      </c>
      <c r="G49" s="196">
        <v>18786.13</v>
      </c>
      <c r="H49" s="30">
        <f t="shared" si="20"/>
        <v>144.98440000000119</v>
      </c>
      <c r="I49" s="28" t="s">
        <v>4579</v>
      </c>
      <c r="J49" s="46" t="s">
        <v>196</v>
      </c>
      <c r="K49" s="31">
        <v>43692</v>
      </c>
      <c r="L49" s="31">
        <v>43693</v>
      </c>
      <c r="M49" s="28" t="s">
        <v>45</v>
      </c>
      <c r="N49" s="28" t="s">
        <v>4561</v>
      </c>
      <c r="O49" s="2"/>
      <c r="P49" s="32">
        <f>0.9093+0.095</f>
        <v>1.0043</v>
      </c>
      <c r="Q49" s="140">
        <v>26000</v>
      </c>
      <c r="R49" s="190">
        <v>10858</v>
      </c>
      <c r="S49" s="194">
        <v>19.61</v>
      </c>
      <c r="T49" s="33">
        <f t="shared" ref="T49" si="23">X49*F49*0.005</f>
        <v>4240.8684423109835</v>
      </c>
      <c r="V49" s="2">
        <v>0.12</v>
      </c>
      <c r="W49" s="2">
        <v>0.3</v>
      </c>
      <c r="X49" s="2">
        <f>IF(O49&gt;0,O49,((P49*2.2046*S49)+(Q49+R49)/G49)+V49)</f>
        <v>45.500083882301567</v>
      </c>
      <c r="Y49" s="2">
        <f>IF(O49&gt;0,O49,((P49*2.2046*S49)+(Q49+R49+T49)/G49)+V49+W49)</f>
        <v>46.025828537656921</v>
      </c>
      <c r="Z49" s="3">
        <f>Y49*F49</f>
        <v>857974.17113109771</v>
      </c>
      <c r="AA49" s="34">
        <v>43693</v>
      </c>
      <c r="AB49" s="3"/>
      <c r="AC49" s="35"/>
    </row>
    <row r="50" spans="1:32" x14ac:dyDescent="0.25">
      <c r="A50" s="274"/>
      <c r="B50" s="27" t="s">
        <v>30</v>
      </c>
      <c r="C50" s="28" t="s">
        <v>31</v>
      </c>
      <c r="D50" s="28" t="s">
        <v>31</v>
      </c>
      <c r="E50" t="s">
        <v>32</v>
      </c>
      <c r="F50" s="29">
        <f>40717*0.4536</f>
        <v>18469.231199999998</v>
      </c>
      <c r="G50" s="196">
        <v>18414.259999999998</v>
      </c>
      <c r="H50" s="30">
        <f t="shared" si="20"/>
        <v>-54.971199999999953</v>
      </c>
      <c r="I50" s="28">
        <v>32029</v>
      </c>
      <c r="J50" s="46" t="s">
        <v>196</v>
      </c>
      <c r="K50" s="31">
        <v>43690</v>
      </c>
      <c r="L50" s="31">
        <v>43694</v>
      </c>
      <c r="M50" s="28" t="s">
        <v>45</v>
      </c>
      <c r="N50" s="28" t="s">
        <v>4745</v>
      </c>
      <c r="O50" s="2"/>
      <c r="P50" s="32">
        <f>0.9093+0.105</f>
        <v>1.0143</v>
      </c>
      <c r="Q50" s="140">
        <v>26000</v>
      </c>
      <c r="R50" s="190">
        <v>9508</v>
      </c>
      <c r="S50" s="194">
        <v>19.739999999999998</v>
      </c>
      <c r="T50" s="33">
        <f t="shared" ref="T50" si="24">X50*F50*0.005</f>
        <v>4265.4145613774754</v>
      </c>
      <c r="V50" s="2">
        <v>0.12</v>
      </c>
      <c r="W50" s="2">
        <v>0.3</v>
      </c>
      <c r="X50" s="2">
        <f>IF(O50&gt;0,O50,((P50*2.2046*S50)+(Q50+R50)/G50)+V50)</f>
        <v>46.189411082551999</v>
      </c>
      <c r="Y50" s="2">
        <f>IF(O50&gt;0,O50,((P50*2.2046*S50)+(Q50+R50+T50)/G50)+V50+W50)</f>
        <v>46.721047573042384</v>
      </c>
      <c r="Z50" s="3">
        <f>Y50*F50</f>
        <v>862901.82953271864</v>
      </c>
      <c r="AA50" s="34"/>
      <c r="AB50" s="3"/>
      <c r="AC50" s="35"/>
    </row>
    <row r="51" spans="1:32" x14ac:dyDescent="0.25">
      <c r="A51" s="274"/>
      <c r="B51" s="27" t="s">
        <v>30</v>
      </c>
      <c r="C51" s="28" t="s">
        <v>31</v>
      </c>
      <c r="D51" s="28" t="s">
        <v>31</v>
      </c>
      <c r="E51" t="s">
        <v>32</v>
      </c>
      <c r="F51" s="29">
        <f>40752*0.4536</f>
        <v>18485.107199999999</v>
      </c>
      <c r="G51" s="196">
        <v>18418.580000000002</v>
      </c>
      <c r="H51" s="30">
        <f t="shared" ref="H51" si="25">G51-F51</f>
        <v>-66.52719999999681</v>
      </c>
      <c r="I51" s="28">
        <v>29898</v>
      </c>
      <c r="J51" s="46" t="s">
        <v>1690</v>
      </c>
      <c r="K51" s="31">
        <v>43692</v>
      </c>
      <c r="L51" s="31">
        <v>43691</v>
      </c>
      <c r="M51" s="28" t="s">
        <v>33</v>
      </c>
      <c r="N51" s="28" t="s">
        <v>4563</v>
      </c>
      <c r="O51" s="2"/>
      <c r="P51" s="32">
        <f>0.8738+0.105</f>
        <v>0.9788</v>
      </c>
      <c r="Q51" s="195">
        <v>26000</v>
      </c>
      <c r="R51" s="190">
        <v>11808</v>
      </c>
      <c r="S51" s="194">
        <v>19.739999999999998</v>
      </c>
      <c r="T51" s="33">
        <f t="shared" ref="T51" si="26">X51*F51*0.005</f>
        <v>4137.790981023456</v>
      </c>
      <c r="V51" s="2">
        <v>0.12</v>
      </c>
      <c r="W51" s="2">
        <v>0.3</v>
      </c>
      <c r="X51" s="2">
        <f>IF(O51&gt;0,O51,((P51*2.2046*S51)+(Q51+R51)/G51)+V51)</f>
        <v>44.768915173220705</v>
      </c>
      <c r="Y51" s="2">
        <f>IF(O51&gt;0,O51,((P51*2.2046*S51)+(Q51+R51+T51)/G51)+V51+W51)</f>
        <v>45.293568267054397</v>
      </c>
      <c r="Z51" s="3">
        <f>Y51*F51</f>
        <v>837256.46488701866</v>
      </c>
      <c r="AA51" s="34"/>
      <c r="AB51" s="3"/>
      <c r="AC51" s="35"/>
    </row>
    <row r="52" spans="1:32" x14ac:dyDescent="0.25">
      <c r="A52" s="274"/>
      <c r="B52" s="27" t="s">
        <v>26</v>
      </c>
      <c r="C52" t="s">
        <v>27</v>
      </c>
      <c r="D52" s="28" t="s">
        <v>1636</v>
      </c>
      <c r="E52">
        <v>249</v>
      </c>
      <c r="F52" s="29">
        <v>28290</v>
      </c>
      <c r="G52" s="30">
        <v>21840</v>
      </c>
      <c r="H52" s="30">
        <f t="shared" si="20"/>
        <v>-6450</v>
      </c>
      <c r="I52" s="28" t="s">
        <v>4800</v>
      </c>
      <c r="J52" s="55">
        <v>248</v>
      </c>
      <c r="K52" s="31"/>
      <c r="L52" s="31">
        <v>43693</v>
      </c>
      <c r="M52" s="28" t="s">
        <v>45</v>
      </c>
      <c r="O52" s="2">
        <v>30</v>
      </c>
      <c r="P52" s="32"/>
      <c r="Q52" s="138">
        <v>22800</v>
      </c>
      <c r="R52" s="2">
        <f t="shared" ref="R52:R53" si="27">75.45*E52</f>
        <v>18787.05</v>
      </c>
      <c r="S52" s="33">
        <f>-38*E52</f>
        <v>-9462</v>
      </c>
      <c r="T52" s="33">
        <f>X52*F52*0.0045</f>
        <v>5141.5717818337907</v>
      </c>
      <c r="U52" s="2">
        <f>E52*5</f>
        <v>1245</v>
      </c>
      <c r="W52" s="2">
        <v>0.3</v>
      </c>
      <c r="X52" s="2">
        <f>((O52*F52)+Q52+R52+S52+U52)/G52</f>
        <v>40.387822802197803</v>
      </c>
      <c r="Y52" s="2">
        <f>((O52*F52)+Q52+R52+S52+T52+U52)/G52+W52</f>
        <v>40.923242755578471</v>
      </c>
      <c r="Z52" s="3">
        <f>Y52*G52</f>
        <v>893763.62178183382</v>
      </c>
      <c r="AA52" s="34">
        <v>43706</v>
      </c>
      <c r="AB52" s="3"/>
      <c r="AC52" s="35"/>
    </row>
    <row r="53" spans="1:32" x14ac:dyDescent="0.25">
      <c r="A53" s="274"/>
      <c r="B53" s="27" t="s">
        <v>26</v>
      </c>
      <c r="C53" t="s">
        <v>27</v>
      </c>
      <c r="D53" s="28" t="s">
        <v>4701</v>
      </c>
      <c r="E53">
        <v>130</v>
      </c>
      <c r="F53" s="29">
        <v>14265</v>
      </c>
      <c r="G53" s="30">
        <v>11640</v>
      </c>
      <c r="H53" s="30">
        <f t="shared" si="20"/>
        <v>-2625</v>
      </c>
      <c r="I53" s="28" t="s">
        <v>4787</v>
      </c>
      <c r="J53" s="55">
        <v>130</v>
      </c>
      <c r="K53" s="31"/>
      <c r="L53" s="31">
        <v>43693</v>
      </c>
      <c r="M53" s="28" t="s">
        <v>45</v>
      </c>
      <c r="O53" s="2">
        <v>30</v>
      </c>
      <c r="P53" s="32" t="s">
        <v>4681</v>
      </c>
      <c r="Q53" s="195">
        <v>18100</v>
      </c>
      <c r="R53" s="2">
        <f t="shared" si="27"/>
        <v>9808.5</v>
      </c>
      <c r="S53" s="33">
        <f>-38*E53</f>
        <v>-4940</v>
      </c>
      <c r="T53" s="33">
        <f>X53*F53*0.0045</f>
        <v>2490.3188089561854</v>
      </c>
      <c r="U53" s="2">
        <f>E53*5</f>
        <v>650</v>
      </c>
      <c r="W53" s="2">
        <v>0.3</v>
      </c>
      <c r="X53" s="2">
        <f>((O53*F53)+Q53+R53+S53+U53)/G53</f>
        <v>38.794544673539519</v>
      </c>
      <c r="Y53" s="2">
        <f>((O53*F53)+Q53+R53+S53+T53+U53)/G53+W53</f>
        <v>39.308489588398295</v>
      </c>
      <c r="Z53" s="3">
        <f>Y53*G53</f>
        <v>457550.81880895613</v>
      </c>
      <c r="AA53" s="34">
        <v>43706</v>
      </c>
      <c r="AB53" s="3">
        <v>40.36</v>
      </c>
      <c r="AC53" s="35" t="s">
        <v>4813</v>
      </c>
    </row>
    <row r="54" spans="1:32" x14ac:dyDescent="0.25">
      <c r="A54" s="274"/>
      <c r="B54" s="27" t="s">
        <v>30</v>
      </c>
      <c r="C54" t="s">
        <v>40</v>
      </c>
      <c r="D54" s="28" t="s">
        <v>40</v>
      </c>
      <c r="E54" t="s">
        <v>37</v>
      </c>
      <c r="F54" s="29">
        <f>41952*0.4536</f>
        <v>19029.427200000002</v>
      </c>
      <c r="G54" s="36">
        <v>19000</v>
      </c>
      <c r="H54" s="30">
        <f t="shared" si="20"/>
        <v>-29.427200000001903</v>
      </c>
      <c r="I54" s="28" t="s">
        <v>4580</v>
      </c>
      <c r="J54" s="46" t="s">
        <v>196</v>
      </c>
      <c r="K54" s="31">
        <v>43693</v>
      </c>
      <c r="L54" s="31">
        <v>43694</v>
      </c>
      <c r="M54" s="28" t="s">
        <v>46</v>
      </c>
      <c r="N54" s="28" t="s">
        <v>4564</v>
      </c>
      <c r="O54" s="2"/>
      <c r="P54" s="32">
        <f>0.7776+0.105</f>
        <v>0.88259999999999994</v>
      </c>
      <c r="Q54" s="140">
        <v>26000</v>
      </c>
      <c r="R54" s="190">
        <v>9508</v>
      </c>
      <c r="S54" s="194">
        <v>19.760000000000002</v>
      </c>
      <c r="T54" s="33">
        <f>X54*F54*0.005</f>
        <v>3847.5079461606442</v>
      </c>
      <c r="V54" s="2">
        <v>0.12</v>
      </c>
      <c r="W54" s="2">
        <v>0.3</v>
      </c>
      <c r="X54" s="2">
        <f>IF(O54&gt;0,O54,((P54*2.2046*S54)+(Q54+R54)/G54)+V54)</f>
        <v>40.437454114863151</v>
      </c>
      <c r="Y54" s="2">
        <f>IF(O54&gt;0,O54,((P54*2.2046*S54)+(Q54+R54+T54)/G54)+V54+W54)</f>
        <v>40.93995453308213</v>
      </c>
      <c r="Z54" s="3">
        <f>Y54*F54</f>
        <v>779063.88435859641</v>
      </c>
      <c r="AA54" s="34"/>
      <c r="AB54" s="3"/>
      <c r="AC54" s="35"/>
    </row>
    <row r="55" spans="1:32" ht="15.75" thickBot="1" x14ac:dyDescent="0.3">
      <c r="A55" s="275"/>
      <c r="B55" s="41"/>
      <c r="C55" s="4"/>
      <c r="D55" s="4"/>
      <c r="E55" s="4"/>
      <c r="F55" s="42"/>
      <c r="G55" s="42"/>
      <c r="H55" s="42"/>
      <c r="I55" s="7"/>
      <c r="J55" s="4"/>
      <c r="K55" s="8"/>
      <c r="L55" s="8"/>
      <c r="M55" s="4"/>
      <c r="N55" s="4"/>
      <c r="O55" s="9"/>
      <c r="P55" s="10"/>
      <c r="Q55" s="9"/>
      <c r="R55" s="9"/>
      <c r="S55" s="9"/>
      <c r="T55" s="9"/>
      <c r="U55" s="9"/>
      <c r="V55" s="9"/>
      <c r="W55" s="9"/>
      <c r="X55" s="9"/>
      <c r="Y55" s="9"/>
      <c r="Z55" s="13"/>
      <c r="AA55" s="43"/>
      <c r="AB55" s="3"/>
      <c r="AC55" s="35"/>
    </row>
    <row r="56" spans="1:32" x14ac:dyDescent="0.25">
      <c r="A56" s="276"/>
      <c r="B56" s="14" t="s">
        <v>26</v>
      </c>
      <c r="C56" s="14" t="s">
        <v>27</v>
      </c>
      <c r="D56" s="15" t="s">
        <v>1684</v>
      </c>
      <c r="E56" s="14">
        <v>200</v>
      </c>
      <c r="F56" s="16">
        <v>21460</v>
      </c>
      <c r="G56" s="17">
        <v>17060</v>
      </c>
      <c r="H56" s="17">
        <f t="shared" ref="H56:H59" si="28">G56-F56</f>
        <v>-4400</v>
      </c>
      <c r="I56" s="19" t="s">
        <v>4804</v>
      </c>
      <c r="J56" s="121">
        <v>200</v>
      </c>
      <c r="K56" s="288">
        <v>0.78859999999999997</v>
      </c>
      <c r="L56" s="20">
        <v>43695</v>
      </c>
      <c r="M56" s="15" t="s">
        <v>28</v>
      </c>
      <c r="N56" s="14"/>
      <c r="O56" s="21">
        <v>30</v>
      </c>
      <c r="P56" s="22"/>
      <c r="Q56" s="139">
        <v>22800</v>
      </c>
      <c r="R56" s="2">
        <f t="shared" ref="R56" si="29">75.45*E56</f>
        <v>15090</v>
      </c>
      <c r="S56" s="33">
        <f t="shared" ref="S56" si="30">-38*E56</f>
        <v>-7600</v>
      </c>
      <c r="T56" s="23">
        <f>X56*F56*0.0045</f>
        <v>3821.4209437280183</v>
      </c>
      <c r="U56" s="21">
        <f>E56*5</f>
        <v>1000</v>
      </c>
      <c r="V56" s="14"/>
      <c r="W56" s="21">
        <v>0.3</v>
      </c>
      <c r="X56" s="21">
        <f>((O56*F56)+Q56+R56+S56+U56)/G56</f>
        <v>39.571512309495894</v>
      </c>
      <c r="Y56" s="24">
        <f>((O56*F56)+Q56+R56+S56+T56+U56)/G56+W56</f>
        <v>40.095511192481126</v>
      </c>
      <c r="Z56" s="24">
        <f>Y56*G56</f>
        <v>684029.42094372807</v>
      </c>
      <c r="AA56" s="25">
        <v>43710</v>
      </c>
      <c r="AB56" s="3"/>
      <c r="AC56" s="3"/>
    </row>
    <row r="57" spans="1:32" x14ac:dyDescent="0.25">
      <c r="A57" s="277"/>
      <c r="B57" s="266" t="s">
        <v>26</v>
      </c>
      <c r="C57" s="248" t="s">
        <v>27</v>
      </c>
      <c r="D57" s="226" t="s">
        <v>4701</v>
      </c>
      <c r="E57" s="248">
        <v>130</v>
      </c>
      <c r="F57" s="227">
        <v>13195</v>
      </c>
      <c r="G57" s="252">
        <v>10270</v>
      </c>
      <c r="H57" s="252">
        <f t="shared" ref="H57" si="31">G57-F57</f>
        <v>-2925</v>
      </c>
      <c r="I57" s="253" t="s">
        <v>4803</v>
      </c>
      <c r="J57" s="270">
        <v>130</v>
      </c>
      <c r="K57" s="249"/>
      <c r="L57" s="249">
        <v>43695</v>
      </c>
      <c r="M57" s="226" t="s">
        <v>28</v>
      </c>
      <c r="N57" s="248"/>
      <c r="O57" s="250">
        <v>30</v>
      </c>
      <c r="P57" s="251" t="s">
        <v>4681</v>
      </c>
      <c r="Q57" s="250">
        <v>18100</v>
      </c>
      <c r="R57" s="250">
        <f t="shared" ref="R57" si="32">75.45*E57</f>
        <v>9808.5</v>
      </c>
      <c r="S57" s="258">
        <f t="shared" ref="S57" si="33">-38*E57</f>
        <v>-4940</v>
      </c>
      <c r="T57" s="258">
        <f>X57*F57*0.0045</f>
        <v>2425.2181946202527</v>
      </c>
      <c r="U57" s="250">
        <f>E57*5</f>
        <v>650</v>
      </c>
      <c r="V57" s="248"/>
      <c r="W57" s="250">
        <v>0.3</v>
      </c>
      <c r="X57" s="250">
        <f>((O57*F57)+Q57+R57+S57+U57)/G57</f>
        <v>40.844060370009736</v>
      </c>
      <c r="Y57" s="285">
        <f>((O57*F57)+Q57+R57+S57+T57+U57)/G57+W57</f>
        <v>41.380206250693305</v>
      </c>
      <c r="Z57" s="285">
        <f>Y57*G57</f>
        <v>424974.71819462028</v>
      </c>
      <c r="AA57" s="34">
        <v>43710</v>
      </c>
      <c r="AB57" s="3">
        <v>40.75</v>
      </c>
      <c r="AC57" s="3" t="s">
        <v>4819</v>
      </c>
    </row>
    <row r="58" spans="1:32" x14ac:dyDescent="0.25">
      <c r="A58" s="277"/>
      <c r="B58" s="27" t="s">
        <v>26</v>
      </c>
      <c r="C58" t="s">
        <v>27</v>
      </c>
      <c r="D58" s="28"/>
      <c r="E58">
        <v>250</v>
      </c>
      <c r="F58" s="227"/>
      <c r="G58" s="252"/>
      <c r="H58" s="30">
        <f t="shared" si="28"/>
        <v>0</v>
      </c>
      <c r="I58" s="253"/>
      <c r="J58" s="248"/>
      <c r="K58" s="249"/>
      <c r="L58" s="249">
        <v>43696</v>
      </c>
      <c r="M58" s="226" t="s">
        <v>29</v>
      </c>
      <c r="N58" s="248"/>
      <c r="O58" s="250">
        <v>30</v>
      </c>
      <c r="P58" s="251"/>
      <c r="Q58" s="138">
        <v>22800</v>
      </c>
      <c r="R58" s="2">
        <f>75.45*E58</f>
        <v>18862.5</v>
      </c>
      <c r="S58" s="33">
        <f>-38*E58</f>
        <v>-9500</v>
      </c>
      <c r="T58" s="33" t="e">
        <f>X58*F58*0.005</f>
        <v>#DIV/0!</v>
      </c>
      <c r="U58" s="2">
        <f>E58*5</f>
        <v>1250</v>
      </c>
      <c r="W58" s="2">
        <v>0.3</v>
      </c>
      <c r="X58" s="2" t="e">
        <f>((O58*F58)+Q58+R58+S58+U58)/G58</f>
        <v>#DIV/0!</v>
      </c>
      <c r="Y58" s="2" t="e">
        <f>((O58*F58)+Q58+R58+S58+T58+U58)/G58+W58</f>
        <v>#DIV/0!</v>
      </c>
      <c r="Z58" s="3" t="e">
        <f>Y58*G58</f>
        <v>#DIV/0!</v>
      </c>
      <c r="AA58" s="34"/>
      <c r="AB58" s="3"/>
      <c r="AC58" s="3"/>
    </row>
    <row r="59" spans="1:32" x14ac:dyDescent="0.25">
      <c r="A59" s="277"/>
      <c r="B59" s="27" t="s">
        <v>30</v>
      </c>
      <c r="C59" s="28" t="s">
        <v>1790</v>
      </c>
      <c r="D59" s="28" t="s">
        <v>1790</v>
      </c>
      <c r="E59" t="s">
        <v>32</v>
      </c>
      <c r="F59" s="29">
        <f>42646*0.4536</f>
        <v>19344.225600000002</v>
      </c>
      <c r="G59" s="36">
        <v>19300</v>
      </c>
      <c r="H59" s="30">
        <f t="shared" si="28"/>
        <v>-44.225600000001577</v>
      </c>
      <c r="I59" s="28" t="s">
        <v>4592</v>
      </c>
      <c r="J59" s="37" t="s">
        <v>196</v>
      </c>
      <c r="K59" s="31">
        <v>43696</v>
      </c>
      <c r="L59" s="31">
        <v>43697</v>
      </c>
      <c r="M59" s="28" t="s">
        <v>48</v>
      </c>
      <c r="N59" s="28" t="s">
        <v>4598</v>
      </c>
      <c r="O59" s="2"/>
      <c r="P59" s="32">
        <f>0.7048+0.095</f>
        <v>0.79979999999999996</v>
      </c>
      <c r="Q59" s="2">
        <v>26000</v>
      </c>
      <c r="R59" s="190">
        <v>11808</v>
      </c>
      <c r="S59" s="39">
        <v>19.899999999999999</v>
      </c>
      <c r="T59" s="33">
        <f t="shared" ref="T59" si="34">X59*F59*0.005</f>
        <v>3594.8749248423301</v>
      </c>
      <c r="V59" s="2">
        <v>0.12</v>
      </c>
      <c r="W59" s="2">
        <v>0.3</v>
      </c>
      <c r="X59" s="2">
        <f>IF(O59&gt;0,O59,((P59*2.2046*S59)+(Q59+R59)/G59)+V59)</f>
        <v>37.167421422569944</v>
      </c>
      <c r="Y59" s="2">
        <f>IF(O59&gt;0,O59,((P59*2.2046*S59)+(Q59+R59+T59)/G59)+V59+W59)</f>
        <v>37.653684372043635</v>
      </c>
      <c r="Z59" s="3">
        <f>Y59*F59</f>
        <v>728381.36516400648</v>
      </c>
      <c r="AA59" s="34">
        <v>43696</v>
      </c>
      <c r="AB59" s="3">
        <v>37.65</v>
      </c>
      <c r="AC59" s="35"/>
    </row>
    <row r="60" spans="1:32" x14ac:dyDescent="0.25">
      <c r="A60" s="277"/>
      <c r="B60" s="27" t="s">
        <v>30</v>
      </c>
      <c r="C60" s="28" t="s">
        <v>35</v>
      </c>
      <c r="D60" s="28" t="s">
        <v>36</v>
      </c>
      <c r="E60" t="s">
        <v>37</v>
      </c>
      <c r="F60" s="29">
        <f>41568*0.4536</f>
        <v>18855.2448</v>
      </c>
      <c r="G60" s="36">
        <v>18800</v>
      </c>
      <c r="H60" s="30">
        <f>G60-F60</f>
        <v>-55.244800000000396</v>
      </c>
      <c r="I60" t="s">
        <v>4593</v>
      </c>
      <c r="J60" s="37" t="s">
        <v>196</v>
      </c>
      <c r="K60" s="31">
        <v>43696</v>
      </c>
      <c r="L60" s="31">
        <v>43697</v>
      </c>
      <c r="M60" s="28" t="s">
        <v>48</v>
      </c>
      <c r="N60" s="28" t="s">
        <v>4599</v>
      </c>
      <c r="O60" s="2"/>
      <c r="P60" s="32">
        <f>0.7048+0.1</f>
        <v>0.80479999999999996</v>
      </c>
      <c r="Q60" s="2">
        <v>26000</v>
      </c>
      <c r="R60" s="190">
        <v>11818</v>
      </c>
      <c r="S60" s="39">
        <v>19.899999999999999</v>
      </c>
      <c r="T60" s="33">
        <f>X60*F60*0.005</f>
        <v>3529.6463107498184</v>
      </c>
      <c r="V60" s="2">
        <v>0.12</v>
      </c>
      <c r="W60" s="2">
        <v>0.3</v>
      </c>
      <c r="X60" s="2">
        <f>IF(O60&gt;0,O60,((P60*2.2046*S60)+(Q60+R60)/G60)+V60)</f>
        <v>37.439411136680846</v>
      </c>
      <c r="Y60" s="2">
        <f>IF(O60&gt;0,O60,((P60*2.2046*S60)+(Q60+R60+T60)/G60)+V60+W60)</f>
        <v>37.927158280869662</v>
      </c>
      <c r="Z60" s="3">
        <f>Y60*F60</f>
        <v>715125.85395414464</v>
      </c>
      <c r="AA60" s="34">
        <v>43697</v>
      </c>
      <c r="AB60" s="3">
        <v>37.97</v>
      </c>
      <c r="AC60" s="35"/>
    </row>
    <row r="61" spans="1:32" x14ac:dyDescent="0.25">
      <c r="A61" s="277"/>
      <c r="B61" s="27" t="s">
        <v>26</v>
      </c>
      <c r="C61" t="s">
        <v>43</v>
      </c>
      <c r="D61" s="28" t="s">
        <v>44</v>
      </c>
      <c r="E61">
        <v>250</v>
      </c>
      <c r="F61" s="29"/>
      <c r="G61" s="30"/>
      <c r="H61" s="30">
        <f>G61-F61</f>
        <v>0</v>
      </c>
      <c r="K61" s="31"/>
      <c r="L61" s="31">
        <v>43697</v>
      </c>
      <c r="M61" s="28" t="s">
        <v>48</v>
      </c>
      <c r="O61" s="2">
        <v>30</v>
      </c>
      <c r="P61" s="32"/>
      <c r="Q61" s="138">
        <v>22800</v>
      </c>
      <c r="R61" s="2"/>
      <c r="S61" s="33"/>
      <c r="T61" s="33" t="e">
        <f>X61*F61*0.005</f>
        <v>#DIV/0!</v>
      </c>
      <c r="U61" s="2">
        <f>E61*5</f>
        <v>1250</v>
      </c>
      <c r="W61" s="2">
        <v>0.3</v>
      </c>
      <c r="X61" s="2" t="e">
        <f>((O61*F61)+Q61+R61+S61+U61)/G61</f>
        <v>#DIV/0!</v>
      </c>
      <c r="Y61" s="2" t="e">
        <f>((O61*F61)+Q61+R61+S61+T61+U61)/G61+W61</f>
        <v>#DIV/0!</v>
      </c>
      <c r="Z61" s="3" t="e">
        <f>Y61*G61</f>
        <v>#DIV/0!</v>
      </c>
      <c r="AA61" s="34"/>
      <c r="AB61" s="3">
        <v>37.840000000000003</v>
      </c>
      <c r="AC61" s="35"/>
      <c r="AF61" s="30"/>
    </row>
    <row r="62" spans="1:32" x14ac:dyDescent="0.25">
      <c r="A62" s="277"/>
      <c r="B62" s="27" t="s">
        <v>30</v>
      </c>
      <c r="C62" s="28" t="s">
        <v>1790</v>
      </c>
      <c r="D62" s="28" t="s">
        <v>1790</v>
      </c>
      <c r="E62" t="s">
        <v>32</v>
      </c>
      <c r="F62" s="29">
        <f>42578*0.4536</f>
        <v>19313.380799999999</v>
      </c>
      <c r="G62" s="36">
        <v>19300</v>
      </c>
      <c r="H62" s="30">
        <f t="shared" ref="H62:H63" si="35">G62-F62</f>
        <v>-13.380799999998999</v>
      </c>
      <c r="I62" s="28" t="s">
        <v>4594</v>
      </c>
      <c r="J62" s="37"/>
      <c r="K62" s="31">
        <v>43697</v>
      </c>
      <c r="L62" s="31">
        <v>43698</v>
      </c>
      <c r="M62" s="28" t="s">
        <v>33</v>
      </c>
      <c r="N62" s="28" t="s">
        <v>4598</v>
      </c>
      <c r="O62" s="2"/>
      <c r="P62" s="32">
        <f>0.7048+0.095</f>
        <v>0.79979999999999996</v>
      </c>
      <c r="Q62" s="2">
        <v>26000</v>
      </c>
      <c r="R62" s="38">
        <v>12000</v>
      </c>
      <c r="S62" s="39">
        <v>20</v>
      </c>
      <c r="T62" s="33">
        <f t="shared" ref="T62:T63" si="36">X62*F62*0.005</f>
        <v>3607.1305359110675</v>
      </c>
      <c r="V62" s="2">
        <v>0.12</v>
      </c>
      <c r="W62" s="2">
        <v>0.3</v>
      </c>
      <c r="X62" s="2">
        <f>IF(O62&gt;0,O62,((P62*2.2046*S62)+(Q62+R62)/G62)+V62)</f>
        <v>37.353693517098442</v>
      </c>
      <c r="Y62" s="2">
        <f>IF(O62&gt;0,O62,((P62*2.2046*S62)+(Q62+R62+T62)/G62)+V62+W62)</f>
        <v>37.840591472326992</v>
      </c>
      <c r="Z62" s="3">
        <f>Y62*F62</f>
        <v>730829.75280228385</v>
      </c>
      <c r="AA62" s="34">
        <v>43700</v>
      </c>
      <c r="AB62" s="3">
        <v>37.590000000000003</v>
      </c>
      <c r="AC62" s="35"/>
    </row>
    <row r="63" spans="1:32" x14ac:dyDescent="0.25">
      <c r="A63" s="277"/>
      <c r="B63" s="27" t="s">
        <v>30</v>
      </c>
      <c r="C63" s="28" t="s">
        <v>31</v>
      </c>
      <c r="D63" s="28" t="s">
        <v>31</v>
      </c>
      <c r="E63" t="s">
        <v>32</v>
      </c>
      <c r="F63" s="29">
        <f>40572*0.4536</f>
        <v>18403.459200000001</v>
      </c>
      <c r="G63" s="36">
        <v>18400</v>
      </c>
      <c r="H63" s="30">
        <f t="shared" si="35"/>
        <v>-3.4592000000011467</v>
      </c>
      <c r="I63" s="28">
        <v>32070</v>
      </c>
      <c r="J63" s="37"/>
      <c r="K63" s="31">
        <v>43697</v>
      </c>
      <c r="L63" s="31">
        <v>43698</v>
      </c>
      <c r="M63" s="28" t="s">
        <v>33</v>
      </c>
      <c r="N63" s="28" t="s">
        <v>4600</v>
      </c>
      <c r="O63" s="2"/>
      <c r="P63" s="32">
        <f>0.7048+0.105</f>
        <v>0.80979999999999996</v>
      </c>
      <c r="Q63" s="2">
        <v>26000</v>
      </c>
      <c r="R63" s="38">
        <v>12000</v>
      </c>
      <c r="S63" s="194">
        <v>19.559999999999999</v>
      </c>
      <c r="T63" s="33">
        <f t="shared" si="36"/>
        <v>3414.3379820485461</v>
      </c>
      <c r="V63" s="2">
        <v>0.12</v>
      </c>
      <c r="W63" s="2">
        <v>0.3</v>
      </c>
      <c r="X63" s="2">
        <f>IF(O63&gt;0,O63,((P63*2.2046*S63)+(Q63+R63)/G63)+V63)</f>
        <v>37.105393556104339</v>
      </c>
      <c r="Y63" s="2">
        <f>IF(O63&gt;0,O63,((P63*2.2046*S63)+(Q63+R63+T63)/G63)+V63+W63)</f>
        <v>37.590955402954805</v>
      </c>
      <c r="Z63" s="3">
        <f>Y63*F63</f>
        <v>691803.61404729832</v>
      </c>
      <c r="AA63" s="34">
        <v>43690</v>
      </c>
      <c r="AB63" s="3">
        <v>36.24</v>
      </c>
      <c r="AC63" s="35"/>
    </row>
    <row r="64" spans="1:32" x14ac:dyDescent="0.25">
      <c r="A64" s="277"/>
      <c r="B64" s="27" t="s">
        <v>26</v>
      </c>
      <c r="C64" t="s">
        <v>27</v>
      </c>
      <c r="D64" s="28"/>
      <c r="E64">
        <v>220</v>
      </c>
      <c r="F64" s="29"/>
      <c r="G64" s="30"/>
      <c r="H64" s="30">
        <f>G64-F64</f>
        <v>0</v>
      </c>
      <c r="K64" s="31"/>
      <c r="L64" s="31">
        <v>43698</v>
      </c>
      <c r="M64" s="28" t="s">
        <v>33</v>
      </c>
      <c r="O64" s="2">
        <v>29.5</v>
      </c>
      <c r="P64" s="32" t="s">
        <v>4681</v>
      </c>
      <c r="Q64" s="2">
        <v>22800</v>
      </c>
      <c r="R64" s="2">
        <f>75.45*E64</f>
        <v>16599</v>
      </c>
      <c r="S64" s="33">
        <f>-38*E64</f>
        <v>-8360</v>
      </c>
      <c r="T64" s="33" t="e">
        <f>X64*F64*0.005</f>
        <v>#DIV/0!</v>
      </c>
      <c r="U64" s="2">
        <f>E64*5</f>
        <v>1100</v>
      </c>
      <c r="W64" s="2">
        <v>0.3</v>
      </c>
      <c r="X64" s="2" t="e">
        <f>((O64*F64)+Q64+R64+S64+U64)/G64</f>
        <v>#DIV/0!</v>
      </c>
      <c r="Y64" s="2" t="e">
        <f>((O64*F64)+Q64+R64+S64+T64+U64)/G64+W64</f>
        <v>#DIV/0!</v>
      </c>
      <c r="Z64" s="3" t="e">
        <f>Y64*G64</f>
        <v>#DIV/0!</v>
      </c>
      <c r="AA64" s="34"/>
      <c r="AB64" s="3">
        <v>34.53</v>
      </c>
      <c r="AC64" s="35"/>
    </row>
    <row r="65" spans="1:32" x14ac:dyDescent="0.25">
      <c r="A65" s="277"/>
      <c r="B65" s="27" t="s">
        <v>30</v>
      </c>
      <c r="C65" s="28" t="s">
        <v>40</v>
      </c>
      <c r="D65" s="28" t="s">
        <v>40</v>
      </c>
      <c r="E65" t="s">
        <v>37</v>
      </c>
      <c r="F65" s="29">
        <v>19000</v>
      </c>
      <c r="G65" s="36">
        <v>19000</v>
      </c>
      <c r="H65" s="30">
        <f>G65-F65</f>
        <v>0</v>
      </c>
      <c r="I65" t="s">
        <v>4595</v>
      </c>
      <c r="J65" s="37"/>
      <c r="K65" s="31">
        <v>43698</v>
      </c>
      <c r="L65" s="31">
        <v>43699</v>
      </c>
      <c r="M65" s="28" t="s">
        <v>41</v>
      </c>
      <c r="N65" s="28" t="s">
        <v>4601</v>
      </c>
      <c r="O65" s="2"/>
      <c r="P65" s="32">
        <f>0.67+0.105</f>
        <v>0.77500000000000002</v>
      </c>
      <c r="Q65" s="2">
        <v>26000</v>
      </c>
      <c r="R65" s="38">
        <v>12000</v>
      </c>
      <c r="S65" s="194">
        <v>19.690000000000001</v>
      </c>
      <c r="T65" s="33">
        <f>X65*F65*0.005</f>
        <v>3397.3562607500003</v>
      </c>
      <c r="V65" s="2">
        <v>0.12</v>
      </c>
      <c r="W65" s="2">
        <v>0.3</v>
      </c>
      <c r="X65" s="2">
        <f>IF(O65&gt;0,O65,((P65*2.2046*S65)+(Q65+R65)/G65)+V65)</f>
        <v>35.761644850000003</v>
      </c>
      <c r="Y65" s="2">
        <f>IF(O65&gt;0,O65,((P65*2.2046*S65)+(Q65+R65+T65)/G65)+V65+W65)</f>
        <v>36.240453074249999</v>
      </c>
      <c r="Z65" s="3">
        <f>Y65*F65</f>
        <v>688568.60841074993</v>
      </c>
      <c r="AA65" s="34"/>
      <c r="AB65" s="3">
        <v>34.44</v>
      </c>
      <c r="AC65" s="35"/>
    </row>
    <row r="66" spans="1:32" x14ac:dyDescent="0.25">
      <c r="A66" s="277"/>
      <c r="B66" s="27" t="s">
        <v>26</v>
      </c>
      <c r="C66" t="s">
        <v>27</v>
      </c>
      <c r="D66" s="28"/>
      <c r="E66">
        <v>250</v>
      </c>
      <c r="F66" s="29"/>
      <c r="G66" s="30"/>
      <c r="H66" s="30">
        <f t="shared" ref="H66:H69" si="37">G66-F66</f>
        <v>0</v>
      </c>
      <c r="K66" s="31"/>
      <c r="L66" s="31">
        <v>43699</v>
      </c>
      <c r="M66" s="28" t="s">
        <v>41</v>
      </c>
      <c r="O66" s="2"/>
      <c r="P66" s="32"/>
      <c r="Q66" s="138">
        <v>22800</v>
      </c>
      <c r="R66" s="2">
        <f t="shared" ref="R66:R67" si="38">75.45*E66</f>
        <v>18862.5</v>
      </c>
      <c r="S66" s="33">
        <f>-38*E66</f>
        <v>-9500</v>
      </c>
      <c r="T66" s="33" t="e">
        <f>X66*F66*0.0045</f>
        <v>#DIV/0!</v>
      </c>
      <c r="U66" s="2">
        <f>E66*5</f>
        <v>1250</v>
      </c>
      <c r="W66" s="2">
        <v>0.3</v>
      </c>
      <c r="X66" s="2" t="e">
        <f t="shared" ref="X66" si="39">((O66*F66)+Q66+R66+S66+U66)/G66</f>
        <v>#DIV/0!</v>
      </c>
      <c r="Y66" s="2" t="e">
        <f>((O66*F66)+Q66+R66+S66+T66+U66)/G66+W66</f>
        <v>#DIV/0!</v>
      </c>
      <c r="Z66" s="3" t="e">
        <f>Y66*G66</f>
        <v>#DIV/0!</v>
      </c>
      <c r="AA66" s="34"/>
      <c r="AB66" s="54">
        <f>SUM(AB59:AB65)/7</f>
        <v>36.60857142857143</v>
      </c>
      <c r="AC66" s="35"/>
    </row>
    <row r="67" spans="1:32" x14ac:dyDescent="0.25">
      <c r="A67" s="277"/>
      <c r="B67" s="27" t="s">
        <v>26</v>
      </c>
      <c r="C67" t="s">
        <v>27</v>
      </c>
      <c r="D67" s="28"/>
      <c r="E67">
        <v>130</v>
      </c>
      <c r="F67" s="29"/>
      <c r="G67" s="30"/>
      <c r="H67" s="30">
        <f t="shared" si="37"/>
        <v>0</v>
      </c>
      <c r="K67" s="31"/>
      <c r="L67" s="31">
        <v>43699</v>
      </c>
      <c r="M67" s="28" t="s">
        <v>41</v>
      </c>
      <c r="O67" s="2"/>
      <c r="P67" s="32" t="s">
        <v>4681</v>
      </c>
      <c r="Q67" s="2">
        <v>18100</v>
      </c>
      <c r="R67" s="2">
        <f t="shared" si="38"/>
        <v>9808.5</v>
      </c>
      <c r="S67" s="33">
        <f>-38*E67</f>
        <v>-4940</v>
      </c>
      <c r="T67" s="33" t="e">
        <f>X67*F67*0.0045</f>
        <v>#DIV/0!</v>
      </c>
      <c r="U67" s="2">
        <f>E67*5</f>
        <v>650</v>
      </c>
      <c r="W67" s="2">
        <v>0.3</v>
      </c>
      <c r="X67" s="2" t="e">
        <f>((O67*F67)+Q67+R67+S67+U67)/G67</f>
        <v>#DIV/0!</v>
      </c>
      <c r="Y67" s="2" t="e">
        <f>((O67*F67)+Q67+R67+S67+T67+U67)/G67+W67</f>
        <v>#DIV/0!</v>
      </c>
      <c r="Z67" s="3" t="e">
        <f>Y67*G67</f>
        <v>#DIV/0!</v>
      </c>
      <c r="AA67" s="34"/>
      <c r="AB67" s="3"/>
      <c r="AC67" s="35"/>
    </row>
    <row r="68" spans="1:32" x14ac:dyDescent="0.25">
      <c r="A68" s="277"/>
      <c r="B68" s="27" t="s">
        <v>30</v>
      </c>
      <c r="C68" s="28" t="s">
        <v>40</v>
      </c>
      <c r="D68" s="28" t="s">
        <v>40</v>
      </c>
      <c r="E68" t="s">
        <v>37</v>
      </c>
      <c r="F68" s="29">
        <v>19000</v>
      </c>
      <c r="G68" s="36">
        <v>19000</v>
      </c>
      <c r="H68" s="30">
        <f t="shared" si="37"/>
        <v>0</v>
      </c>
      <c r="I68" s="28" t="s">
        <v>4596</v>
      </c>
      <c r="J68" s="37"/>
      <c r="K68" s="31">
        <v>43699</v>
      </c>
      <c r="L68" s="31">
        <v>43700</v>
      </c>
      <c r="M68" s="28" t="s">
        <v>45</v>
      </c>
      <c r="N68" s="28" t="s">
        <v>4602</v>
      </c>
      <c r="O68" s="2"/>
      <c r="P68" s="32">
        <f>0.632+0.105</f>
        <v>0.73699999999999999</v>
      </c>
      <c r="Q68" s="2">
        <v>26000</v>
      </c>
      <c r="R68" s="38">
        <v>12000</v>
      </c>
      <c r="S68" s="194">
        <v>19.66</v>
      </c>
      <c r="T68" s="33">
        <f t="shared" ref="T68:T69" si="40">X68*F68*0.005</f>
        <v>3236.0206565399999</v>
      </c>
      <c r="V68" s="2">
        <v>0.12</v>
      </c>
      <c r="W68" s="2">
        <v>0.3</v>
      </c>
      <c r="X68" s="2">
        <f>IF(O68&gt;0,O68,((P68*2.2046*S68)+(Q68+R68)/G68)+V68)</f>
        <v>34.063375332</v>
      </c>
      <c r="Y68" s="2">
        <f>IF(O68&gt;0,O68,((P68*2.2046*S68)+(Q68+R68+T68)/G68)+V68+W68)</f>
        <v>34.53369220866</v>
      </c>
      <c r="Z68" s="3">
        <f>Y68*F68</f>
        <v>656140.15196454001</v>
      </c>
      <c r="AA68" s="34"/>
      <c r="AB68" s="3"/>
      <c r="AC68" s="35"/>
    </row>
    <row r="69" spans="1:32" x14ac:dyDescent="0.25">
      <c r="A69" s="277"/>
      <c r="B69" s="27" t="s">
        <v>30</v>
      </c>
      <c r="C69" s="28" t="s">
        <v>31</v>
      </c>
      <c r="D69" s="28" t="s">
        <v>31</v>
      </c>
      <c r="E69" t="s">
        <v>32</v>
      </c>
      <c r="F69" s="29">
        <v>18500</v>
      </c>
      <c r="G69" s="36">
        <v>18500</v>
      </c>
      <c r="H69" s="30">
        <f t="shared" si="37"/>
        <v>0</v>
      </c>
      <c r="I69" s="28">
        <v>32071</v>
      </c>
      <c r="J69" s="37"/>
      <c r="K69" s="31">
        <v>43699</v>
      </c>
      <c r="L69" s="31">
        <v>43700</v>
      </c>
      <c r="M69" s="28" t="s">
        <v>45</v>
      </c>
      <c r="N69" s="28" t="s">
        <v>4602</v>
      </c>
      <c r="O69" s="2"/>
      <c r="P69" s="32">
        <v>0.73699999999999999</v>
      </c>
      <c r="Q69" s="2">
        <v>26000</v>
      </c>
      <c r="R69" s="38">
        <v>12000</v>
      </c>
      <c r="S69" s="194">
        <v>19.57</v>
      </c>
      <c r="T69" s="33">
        <f t="shared" si="40"/>
        <v>3142.3358397950001</v>
      </c>
      <c r="V69" s="2">
        <v>0.12</v>
      </c>
      <c r="W69" s="2">
        <v>0.3</v>
      </c>
      <c r="X69" s="2">
        <f>IF(O69&gt;0,O69,((P69*2.2046*S69)+(Q69+R69)/G69)+V69)</f>
        <v>33.971198268054053</v>
      </c>
      <c r="Y69" s="2">
        <f>IF(O69&gt;0,O69,((P69*2.2046*S69)+(Q69+R69+T69)/G69)+V69+W69)</f>
        <v>34.441054259394321</v>
      </c>
      <c r="Z69" s="3">
        <f>Y69*F69</f>
        <v>637159.50379879493</v>
      </c>
      <c r="AA69" s="34">
        <v>43691</v>
      </c>
      <c r="AB69" s="3"/>
      <c r="AC69" s="35"/>
    </row>
    <row r="70" spans="1:32" x14ac:dyDescent="0.25">
      <c r="A70" s="277"/>
      <c r="B70" s="27"/>
      <c r="C70" s="28"/>
      <c r="D70" s="28"/>
      <c r="F70" s="29"/>
      <c r="G70" s="196"/>
      <c r="H70" s="196"/>
      <c r="I70" s="199"/>
      <c r="J70" s="191"/>
      <c r="K70" s="201"/>
      <c r="L70" s="201"/>
      <c r="M70" s="199"/>
      <c r="N70" s="199"/>
      <c r="O70" s="190"/>
      <c r="P70" s="202"/>
      <c r="Q70" s="190"/>
      <c r="R70" s="190"/>
      <c r="S70" s="194"/>
      <c r="T70" s="33"/>
      <c r="V70" s="2"/>
      <c r="W70" s="2"/>
      <c r="X70" s="2"/>
      <c r="Y70" s="2"/>
      <c r="Z70" s="3"/>
      <c r="AA70" s="34"/>
      <c r="AB70" s="3"/>
      <c r="AC70" s="35"/>
    </row>
    <row r="71" spans="1:32" x14ac:dyDescent="0.25">
      <c r="A71" s="277"/>
      <c r="B71" s="27" t="s">
        <v>26</v>
      </c>
      <c r="C71" t="s">
        <v>27</v>
      </c>
      <c r="D71" s="28"/>
      <c r="E71">
        <v>200</v>
      </c>
      <c r="F71" s="29"/>
      <c r="G71" s="30"/>
      <c r="H71" s="30">
        <f t="shared" ref="H71:H73" si="41">G71-F71</f>
        <v>0</v>
      </c>
      <c r="K71" s="31"/>
      <c r="L71" s="31">
        <v>43700</v>
      </c>
      <c r="M71" s="28" t="s">
        <v>45</v>
      </c>
      <c r="O71" s="2"/>
      <c r="P71" s="32"/>
      <c r="Q71" s="138">
        <v>22800</v>
      </c>
      <c r="R71" s="2">
        <f t="shared" ref="R71:R72" si="42">75.45*E71</f>
        <v>15090</v>
      </c>
      <c r="S71" s="33">
        <f>-38*E71</f>
        <v>-7600</v>
      </c>
      <c r="T71" s="33" t="e">
        <f>X71*F71*0.0045</f>
        <v>#DIV/0!</v>
      </c>
      <c r="U71" s="2">
        <f>E71*5</f>
        <v>1000</v>
      </c>
      <c r="W71" s="2">
        <v>0.3</v>
      </c>
      <c r="X71" s="2" t="e">
        <f>((O71*F71)+Q71+R71+S71+U71)/G71</f>
        <v>#DIV/0!</v>
      </c>
      <c r="Y71" s="2" t="e">
        <f>((O71*F71)+Q71+R71+S71+T71+U71)/G71+W71</f>
        <v>#DIV/0!</v>
      </c>
      <c r="Z71" s="3" t="e">
        <f>Y71*G71</f>
        <v>#DIV/0!</v>
      </c>
      <c r="AA71" s="34"/>
      <c r="AB71" s="3"/>
      <c r="AC71" s="35"/>
    </row>
    <row r="72" spans="1:32" x14ac:dyDescent="0.25">
      <c r="A72" s="277"/>
      <c r="B72" s="27" t="s">
        <v>26</v>
      </c>
      <c r="C72" t="s">
        <v>27</v>
      </c>
      <c r="D72" s="28"/>
      <c r="E72">
        <v>130</v>
      </c>
      <c r="F72" s="29"/>
      <c r="G72" s="30"/>
      <c r="H72" s="30">
        <f t="shared" si="41"/>
        <v>0</v>
      </c>
      <c r="I72" s="28"/>
      <c r="K72" s="31"/>
      <c r="L72" s="31">
        <v>43700</v>
      </c>
      <c r="M72" s="28" t="s">
        <v>45</v>
      </c>
      <c r="O72" s="2"/>
      <c r="P72" s="32" t="s">
        <v>4681</v>
      </c>
      <c r="Q72" s="2">
        <v>18100</v>
      </c>
      <c r="R72" s="2">
        <f t="shared" si="42"/>
        <v>9808.5</v>
      </c>
      <c r="S72" s="33">
        <f>-38*E72</f>
        <v>-4940</v>
      </c>
      <c r="T72" s="33" t="e">
        <f>X72*F72*0.0045</f>
        <v>#DIV/0!</v>
      </c>
      <c r="U72" s="2">
        <f>E72*5</f>
        <v>650</v>
      </c>
      <c r="W72" s="2">
        <v>0.3</v>
      </c>
      <c r="X72" s="2" t="e">
        <f>((O72*F72)+Q72+R72+S72+U72)/G72</f>
        <v>#DIV/0!</v>
      </c>
      <c r="Y72" s="2" t="e">
        <f>((O72*F72)+Q72+R72+S72+T72+U72)/G72+W72</f>
        <v>#DIV/0!</v>
      </c>
      <c r="Z72" s="3" t="e">
        <f>Y72*G72</f>
        <v>#DIV/0!</v>
      </c>
      <c r="AA72" s="34"/>
      <c r="AB72" s="3"/>
      <c r="AC72" s="35"/>
    </row>
    <row r="73" spans="1:32" x14ac:dyDescent="0.25">
      <c r="A73" s="277"/>
      <c r="B73" s="27" t="s">
        <v>30</v>
      </c>
      <c r="C73" t="s">
        <v>40</v>
      </c>
      <c r="D73" s="28" t="s">
        <v>40</v>
      </c>
      <c r="E73" t="s">
        <v>37</v>
      </c>
      <c r="F73" s="29">
        <v>19000</v>
      </c>
      <c r="G73" s="36">
        <v>19000</v>
      </c>
      <c r="H73" s="30">
        <f t="shared" si="41"/>
        <v>0</v>
      </c>
      <c r="I73" s="28" t="s">
        <v>4597</v>
      </c>
      <c r="J73" s="37"/>
      <c r="K73" s="31">
        <v>43700</v>
      </c>
      <c r="L73" s="31">
        <v>43701</v>
      </c>
      <c r="M73" s="28" t="s">
        <v>46</v>
      </c>
      <c r="N73" s="28" t="s">
        <v>4603</v>
      </c>
      <c r="O73" s="2"/>
      <c r="P73" s="32"/>
      <c r="Q73" s="2">
        <v>26000</v>
      </c>
      <c r="R73" s="38">
        <v>12000</v>
      </c>
      <c r="S73" s="194">
        <v>19.888999999999999</v>
      </c>
      <c r="T73" s="33">
        <f>X73*F73*0.005</f>
        <v>201.4</v>
      </c>
      <c r="V73" s="2">
        <v>0.12</v>
      </c>
      <c r="W73" s="2">
        <v>0.3</v>
      </c>
      <c r="X73" s="2">
        <f>IF(O73&gt;0,O73,((P73*2.2046*S73)+(Q73+R73)/G73)+V73)</f>
        <v>2.12</v>
      </c>
      <c r="Y73" s="2">
        <f>IF(O73&gt;0,O73,((P73*2.2046*S73)+(Q73+R73+T73)/G73)+V73+W73)</f>
        <v>2.4306000000000001</v>
      </c>
      <c r="Z73" s="3">
        <f>Y73*F73</f>
        <v>46181.4</v>
      </c>
      <c r="AA73" s="34">
        <v>43696</v>
      </c>
      <c r="AB73" s="3"/>
      <c r="AC73" s="35"/>
    </row>
    <row r="74" spans="1:32" ht="15.75" thickBot="1" x14ac:dyDescent="0.3">
      <c r="A74" s="278"/>
      <c r="B74" s="41"/>
      <c r="C74" s="4"/>
      <c r="D74" s="4"/>
      <c r="E74" s="4"/>
      <c r="F74" s="42"/>
      <c r="G74" s="42"/>
      <c r="H74" s="42"/>
      <c r="I74" s="7"/>
      <c r="J74" s="4"/>
      <c r="K74" s="8"/>
      <c r="L74" s="8"/>
      <c r="M74" s="4"/>
      <c r="N74" s="4"/>
      <c r="O74" s="9"/>
      <c r="P74" s="10"/>
      <c r="Q74" s="9"/>
      <c r="R74" s="9"/>
      <c r="S74" s="9"/>
      <c r="T74" s="9"/>
      <c r="U74" s="9"/>
      <c r="V74" s="9"/>
      <c r="W74" s="9"/>
      <c r="X74" s="9"/>
      <c r="Y74" s="9"/>
      <c r="Z74" s="13"/>
      <c r="AA74" s="43"/>
      <c r="AB74" s="3"/>
      <c r="AC74" s="35"/>
    </row>
    <row r="75" spans="1:32" x14ac:dyDescent="0.25">
      <c r="A75" s="279"/>
      <c r="B75" s="14" t="s">
        <v>26</v>
      </c>
      <c r="C75" s="14" t="s">
        <v>27</v>
      </c>
      <c r="D75" s="15"/>
      <c r="E75" s="14">
        <v>200</v>
      </c>
      <c r="F75" s="16"/>
      <c r="G75" s="17"/>
      <c r="H75" s="17">
        <f t="shared" ref="H75:H77" si="43">G75-F75</f>
        <v>0</v>
      </c>
      <c r="I75" s="19"/>
      <c r="J75" s="14"/>
      <c r="K75" s="20"/>
      <c r="L75" s="20">
        <v>43702</v>
      </c>
      <c r="M75" s="15" t="s">
        <v>28</v>
      </c>
      <c r="N75" s="14"/>
      <c r="O75" s="21"/>
      <c r="P75" s="22"/>
      <c r="Q75" s="21">
        <v>22800</v>
      </c>
      <c r="R75" s="2">
        <f t="shared" ref="R75" si="44">75.45*E75</f>
        <v>15090</v>
      </c>
      <c r="S75" s="33">
        <f t="shared" ref="S75" si="45">-38*E75</f>
        <v>-7600</v>
      </c>
      <c r="T75" s="23" t="e">
        <f>X75*F75*0.0045</f>
        <v>#DIV/0!</v>
      </c>
      <c r="U75" s="21">
        <f>E75*5</f>
        <v>1000</v>
      </c>
      <c r="V75" s="14"/>
      <c r="W75" s="21">
        <v>0.3</v>
      </c>
      <c r="X75" s="21" t="e">
        <f>((O75*F75)+Q75+R75+S75+U75)/G75</f>
        <v>#DIV/0!</v>
      </c>
      <c r="Y75" s="24" t="e">
        <f>((O75*F75)+Q75+R75+S75+T75+U75)/G75+W75</f>
        <v>#DIV/0!</v>
      </c>
      <c r="Z75" s="24" t="e">
        <f>Y75*G75</f>
        <v>#DIV/0!</v>
      </c>
      <c r="AA75" s="25"/>
      <c r="AB75" s="3"/>
      <c r="AC75" s="3"/>
    </row>
    <row r="76" spans="1:32" x14ac:dyDescent="0.25">
      <c r="A76" s="280"/>
      <c r="B76" s="27" t="s">
        <v>26</v>
      </c>
      <c r="C76" t="s">
        <v>27</v>
      </c>
      <c r="D76" s="28"/>
      <c r="E76">
        <v>250</v>
      </c>
      <c r="F76" s="227"/>
      <c r="G76" s="252"/>
      <c r="H76" s="30">
        <f t="shared" si="43"/>
        <v>0</v>
      </c>
      <c r="I76" s="253"/>
      <c r="J76" s="248"/>
      <c r="K76" s="249"/>
      <c r="L76" s="249">
        <v>43703</v>
      </c>
      <c r="M76" s="226" t="s">
        <v>29</v>
      </c>
      <c r="N76" s="248"/>
      <c r="O76" s="250"/>
      <c r="P76" s="251"/>
      <c r="Q76" s="2">
        <v>22800</v>
      </c>
      <c r="R76" s="2">
        <f>75.45*E76</f>
        <v>18862.5</v>
      </c>
      <c r="S76" s="33">
        <f>-38*E76</f>
        <v>-9500</v>
      </c>
      <c r="T76" s="33" t="e">
        <f>X76*F76*0.005</f>
        <v>#DIV/0!</v>
      </c>
      <c r="U76" s="2">
        <f>E76*5</f>
        <v>1250</v>
      </c>
      <c r="W76" s="2">
        <v>0.3</v>
      </c>
      <c r="X76" s="2" t="e">
        <f>((O76*F76)+Q76+R76+S76+U76)/G76</f>
        <v>#DIV/0!</v>
      </c>
      <c r="Y76" s="2" t="e">
        <f>((O76*F76)+Q76+R76+S76+T76+U76)/G76+W76</f>
        <v>#DIV/0!</v>
      </c>
      <c r="Z76" s="3" t="e">
        <f>Y76*G76</f>
        <v>#DIV/0!</v>
      </c>
      <c r="AA76" s="34"/>
      <c r="AB76" s="3"/>
      <c r="AC76" s="3"/>
    </row>
    <row r="77" spans="1:32" x14ac:dyDescent="0.25">
      <c r="A77" s="280"/>
      <c r="B77" s="27" t="s">
        <v>30</v>
      </c>
      <c r="C77" s="28" t="s">
        <v>1790</v>
      </c>
      <c r="D77" s="28" t="s">
        <v>1790</v>
      </c>
      <c r="E77" t="s">
        <v>32</v>
      </c>
      <c r="F77" s="29">
        <v>18500</v>
      </c>
      <c r="G77" s="36">
        <v>18500</v>
      </c>
      <c r="H77" s="30">
        <f t="shared" si="43"/>
        <v>0</v>
      </c>
      <c r="I77" s="28" t="s">
        <v>4604</v>
      </c>
      <c r="J77" s="37"/>
      <c r="K77" s="31">
        <v>43703</v>
      </c>
      <c r="L77" s="31">
        <v>43704</v>
      </c>
      <c r="M77" s="28" t="s">
        <v>48</v>
      </c>
      <c r="N77" s="28" t="s">
        <v>4608</v>
      </c>
      <c r="O77" s="2"/>
      <c r="P77" s="32"/>
      <c r="Q77" s="2">
        <v>26000</v>
      </c>
      <c r="R77" s="38">
        <v>12000</v>
      </c>
      <c r="S77" s="39">
        <v>19.3</v>
      </c>
      <c r="T77" s="33">
        <f t="shared" ref="T77" si="46">X77*F77*0.005</f>
        <v>201.1</v>
      </c>
      <c r="V77" s="2">
        <v>0.12</v>
      </c>
      <c r="W77" s="2">
        <v>0.3</v>
      </c>
      <c r="X77" s="2">
        <f>IF(O77&gt;0,O77,((P77*2.2046*S77)+(Q77+R77)/G77)+V77)</f>
        <v>2.1740540540540541</v>
      </c>
      <c r="Y77" s="2">
        <f>IF(O77&gt;0,O77,((P77*2.2046*S77)+(Q77+R77+T77)/G77)+V77+W77)</f>
        <v>2.4849243243243242</v>
      </c>
      <c r="Z77" s="3">
        <f>Y77*F77</f>
        <v>45971.1</v>
      </c>
      <c r="AA77" s="34"/>
      <c r="AB77" s="3"/>
      <c r="AC77" s="35"/>
    </row>
    <row r="78" spans="1:32" x14ac:dyDescent="0.25">
      <c r="A78" s="280"/>
      <c r="B78" s="27" t="s">
        <v>30</v>
      </c>
      <c r="C78" s="28" t="s">
        <v>35</v>
      </c>
      <c r="D78" s="28" t="s">
        <v>36</v>
      </c>
      <c r="E78" t="s">
        <v>37</v>
      </c>
      <c r="F78" s="29">
        <v>18500</v>
      </c>
      <c r="G78" s="36">
        <v>18500</v>
      </c>
      <c r="H78" s="30">
        <f>G78-F78</f>
        <v>0</v>
      </c>
      <c r="I78" t="s">
        <v>4605</v>
      </c>
      <c r="J78" s="37"/>
      <c r="K78" s="31">
        <v>43703</v>
      </c>
      <c r="L78" s="31">
        <v>43704</v>
      </c>
      <c r="M78" s="28" t="s">
        <v>48</v>
      </c>
      <c r="N78" s="28" t="s">
        <v>4609</v>
      </c>
      <c r="O78" s="2"/>
      <c r="P78" s="32"/>
      <c r="Q78" s="2">
        <v>26000</v>
      </c>
      <c r="R78" s="38">
        <v>12000</v>
      </c>
      <c r="S78" s="39">
        <v>20</v>
      </c>
      <c r="T78" s="33">
        <f>X78*F78*0.005</f>
        <v>201.1</v>
      </c>
      <c r="V78" s="2">
        <v>0.12</v>
      </c>
      <c r="W78" s="2">
        <v>0.3</v>
      </c>
      <c r="X78" s="2">
        <f>IF(O78&gt;0,O78,((P78*2.2046*S78)+(Q78+R78)/G78)+V78)</f>
        <v>2.1740540540540541</v>
      </c>
      <c r="Y78" s="2">
        <f>IF(O78&gt;0,O78,((P78*2.2046*S78)+(Q78+R78+T78)/G78)+V78+W78)</f>
        <v>2.4849243243243242</v>
      </c>
      <c r="Z78" s="3">
        <f>Y78*F78</f>
        <v>45971.1</v>
      </c>
      <c r="AA78" s="34"/>
      <c r="AB78" s="3"/>
      <c r="AC78" s="35"/>
    </row>
    <row r="79" spans="1:32" x14ac:dyDescent="0.25">
      <c r="A79" s="280"/>
      <c r="B79" s="27" t="s">
        <v>26</v>
      </c>
      <c r="C79" t="s">
        <v>27</v>
      </c>
      <c r="D79" s="28"/>
      <c r="E79">
        <v>250</v>
      </c>
      <c r="F79" s="29"/>
      <c r="G79" s="30"/>
      <c r="H79" s="30">
        <f>G79-F79</f>
        <v>0</v>
      </c>
      <c r="K79" s="31"/>
      <c r="L79" s="31">
        <v>43704</v>
      </c>
      <c r="M79" s="28" t="s">
        <v>48</v>
      </c>
      <c r="O79" s="2"/>
      <c r="P79" s="32"/>
      <c r="Q79" s="2">
        <v>22800</v>
      </c>
      <c r="R79" s="2">
        <f>75.45*E79</f>
        <v>18862.5</v>
      </c>
      <c r="S79" s="33">
        <f>-38*E79</f>
        <v>-9500</v>
      </c>
      <c r="T79" s="33" t="e">
        <f>X79*F79*0.005</f>
        <v>#DIV/0!</v>
      </c>
      <c r="U79" s="2">
        <f>E79*5</f>
        <v>1250</v>
      </c>
      <c r="W79" s="2">
        <v>0.3</v>
      </c>
      <c r="X79" s="2" t="e">
        <f>((O79*F79)+Q79+R79+S79+U79)/G79</f>
        <v>#DIV/0!</v>
      </c>
      <c r="Y79" s="2" t="e">
        <f>((O79*F79)+Q79+R79+S79+T79+U79)/G79+W79</f>
        <v>#DIV/0!</v>
      </c>
      <c r="Z79" s="3" t="e">
        <f>Y79*G79</f>
        <v>#DIV/0!</v>
      </c>
      <c r="AA79" s="34"/>
      <c r="AB79" s="3"/>
      <c r="AC79" s="35"/>
      <c r="AF79" s="30"/>
    </row>
    <row r="80" spans="1:32" x14ac:dyDescent="0.25">
      <c r="A80" s="280"/>
      <c r="B80" s="27" t="s">
        <v>26</v>
      </c>
      <c r="C80" t="s">
        <v>27</v>
      </c>
      <c r="D80" s="28"/>
      <c r="E80">
        <v>220</v>
      </c>
      <c r="F80" s="29"/>
      <c r="G80" s="30"/>
      <c r="H80" s="30">
        <f>G80-F80</f>
        <v>0</v>
      </c>
      <c r="K80" s="31"/>
      <c r="L80" s="31">
        <v>43705</v>
      </c>
      <c r="M80" s="28" t="s">
        <v>33</v>
      </c>
      <c r="O80" s="2"/>
      <c r="P80" s="32"/>
      <c r="Q80" s="2">
        <v>22800</v>
      </c>
      <c r="R80" s="2">
        <f>75.45*E80</f>
        <v>16599</v>
      </c>
      <c r="S80" s="33">
        <f>-38*E80</f>
        <v>-8360</v>
      </c>
      <c r="T80" s="33" t="e">
        <f>X80*F80*0.005</f>
        <v>#DIV/0!</v>
      </c>
      <c r="U80" s="2">
        <f>E80*5</f>
        <v>1100</v>
      </c>
      <c r="W80" s="2">
        <v>0.3</v>
      </c>
      <c r="X80" s="2" t="e">
        <f>((O80*F80)+Q80+R80+S80+U80)/G80</f>
        <v>#DIV/0!</v>
      </c>
      <c r="Y80" s="2" t="e">
        <f>((O80*F80)+Q80+R80+S80+T80+U80)/G80+W80</f>
        <v>#DIV/0!</v>
      </c>
      <c r="Z80" s="3" t="e">
        <f>Y80*G80</f>
        <v>#DIV/0!</v>
      </c>
      <c r="AA80" s="34"/>
      <c r="AB80" s="3"/>
      <c r="AC80" s="35"/>
    </row>
    <row r="81" spans="1:29" x14ac:dyDescent="0.25">
      <c r="A81" s="280"/>
      <c r="B81" s="27" t="s">
        <v>30</v>
      </c>
      <c r="C81" s="28" t="s">
        <v>40</v>
      </c>
      <c r="D81" s="28" t="s">
        <v>40</v>
      </c>
      <c r="E81" t="s">
        <v>37</v>
      </c>
      <c r="F81" s="29">
        <v>19000</v>
      </c>
      <c r="G81" s="36">
        <v>19000</v>
      </c>
      <c r="H81" s="30">
        <f>G81-F81</f>
        <v>0</v>
      </c>
      <c r="I81" t="s">
        <v>4606</v>
      </c>
      <c r="J81" s="37"/>
      <c r="K81" s="31">
        <v>43705</v>
      </c>
      <c r="L81" s="31">
        <v>43706</v>
      </c>
      <c r="M81" s="28" t="s">
        <v>41</v>
      </c>
      <c r="N81" s="28" t="s">
        <v>4610</v>
      </c>
      <c r="O81" s="2"/>
      <c r="P81" s="32"/>
      <c r="Q81" s="2">
        <v>26000</v>
      </c>
      <c r="R81" s="38">
        <v>12000</v>
      </c>
      <c r="S81" s="39">
        <v>20</v>
      </c>
      <c r="T81" s="33">
        <f>X81*F81*0.005</f>
        <v>201.4</v>
      </c>
      <c r="V81" s="2">
        <v>0.12</v>
      </c>
      <c r="W81" s="2">
        <v>0.3</v>
      </c>
      <c r="X81" s="2">
        <f>IF(O81&gt;0,O81,((P81*2.2046*S81)+(Q81+R81)/G81)+V81)</f>
        <v>2.12</v>
      </c>
      <c r="Y81" s="2">
        <f>IF(O81&gt;0,O81,((P81*2.2046*S81)+(Q81+R81+T81)/G81)+V81+W81)</f>
        <v>2.4306000000000001</v>
      </c>
      <c r="Z81" s="3">
        <f>Y81*F81</f>
        <v>46181.4</v>
      </c>
      <c r="AA81" s="34"/>
      <c r="AB81" s="3"/>
      <c r="AC81" s="35"/>
    </row>
    <row r="82" spans="1:29" x14ac:dyDescent="0.25">
      <c r="A82" s="280"/>
      <c r="B82" s="27" t="s">
        <v>26</v>
      </c>
      <c r="C82" t="s">
        <v>27</v>
      </c>
      <c r="D82" s="28"/>
      <c r="E82">
        <v>250</v>
      </c>
      <c r="F82" s="29"/>
      <c r="G82" s="30"/>
      <c r="H82" s="30">
        <f t="shared" ref="H82:H85" si="47">G82-F82</f>
        <v>0</v>
      </c>
      <c r="K82" s="31"/>
      <c r="L82" s="31">
        <v>43706</v>
      </c>
      <c r="M82" s="28" t="s">
        <v>41</v>
      </c>
      <c r="O82" s="2"/>
      <c r="P82" s="32"/>
      <c r="Q82" s="2">
        <v>22800</v>
      </c>
      <c r="R82" s="2">
        <f t="shared" ref="R82:R83" si="48">75.45*E82</f>
        <v>18862.5</v>
      </c>
      <c r="S82" s="33">
        <f>-38*E82</f>
        <v>-9500</v>
      </c>
      <c r="T82" s="33" t="e">
        <f>X82*F82*0.0045</f>
        <v>#DIV/0!</v>
      </c>
      <c r="U82" s="2">
        <f>E82*5</f>
        <v>1250</v>
      </c>
      <c r="W82" s="2">
        <v>0.3</v>
      </c>
      <c r="X82" s="2" t="e">
        <f t="shared" ref="X82" si="49">((O82*F82)+Q82+R82+S82+U82)/G82</f>
        <v>#DIV/0!</v>
      </c>
      <c r="Y82" s="2" t="e">
        <f>((O82*F82)+Q82+R82+S82+T82+U82)/G82+W82</f>
        <v>#DIV/0!</v>
      </c>
      <c r="Z82" s="3" t="e">
        <f>Y82*G82</f>
        <v>#DIV/0!</v>
      </c>
      <c r="AA82" s="34"/>
      <c r="AB82" s="3"/>
      <c r="AC82" s="35"/>
    </row>
    <row r="83" spans="1:29" x14ac:dyDescent="0.25">
      <c r="A83" s="280"/>
      <c r="B83" s="27" t="s">
        <v>26</v>
      </c>
      <c r="C83" t="s">
        <v>27</v>
      </c>
      <c r="D83" s="28"/>
      <c r="E83">
        <v>130</v>
      </c>
      <c r="F83" s="29"/>
      <c r="G83" s="30"/>
      <c r="H83" s="30">
        <f t="shared" si="47"/>
        <v>0</v>
      </c>
      <c r="K83" s="31"/>
      <c r="L83" s="31">
        <v>43706</v>
      </c>
      <c r="M83" s="28" t="s">
        <v>41</v>
      </c>
      <c r="O83" s="2"/>
      <c r="P83" s="32"/>
      <c r="Q83" s="2">
        <v>18100</v>
      </c>
      <c r="R83" s="2">
        <f t="shared" si="48"/>
        <v>9808.5</v>
      </c>
      <c r="S83" s="33">
        <f>-38*E83</f>
        <v>-4940</v>
      </c>
      <c r="T83" s="33" t="e">
        <f>X83*F83*0.0045</f>
        <v>#DIV/0!</v>
      </c>
      <c r="U83" s="2">
        <f>E83*5</f>
        <v>650</v>
      </c>
      <c r="W83" s="2">
        <v>0.3</v>
      </c>
      <c r="X83" s="2" t="e">
        <f>((O83*F83)+Q83+R83+S83+U83)/G83</f>
        <v>#DIV/0!</v>
      </c>
      <c r="Y83" s="2" t="e">
        <f>((O83*F83)+Q83+R83+S83+T83+U83)/G83+W83</f>
        <v>#DIV/0!</v>
      </c>
      <c r="Z83" s="3" t="e">
        <f>Y83*G83</f>
        <v>#DIV/0!</v>
      </c>
      <c r="AA83" s="34"/>
      <c r="AB83" s="3"/>
      <c r="AC83" s="35"/>
    </row>
    <row r="84" spans="1:29" x14ac:dyDescent="0.25">
      <c r="A84" s="280"/>
      <c r="B84" s="27" t="s">
        <v>30</v>
      </c>
      <c r="C84" s="28" t="s">
        <v>31</v>
      </c>
      <c r="D84" s="28" t="s">
        <v>31</v>
      </c>
      <c r="E84" t="s">
        <v>32</v>
      </c>
      <c r="F84" s="29">
        <v>18500</v>
      </c>
      <c r="G84" s="36">
        <v>18500</v>
      </c>
      <c r="H84" s="30">
        <f t="shared" si="47"/>
        <v>0</v>
      </c>
      <c r="I84" s="28">
        <v>32072</v>
      </c>
      <c r="J84" s="37"/>
      <c r="K84" s="31">
        <v>43706</v>
      </c>
      <c r="L84" s="31">
        <v>43707</v>
      </c>
      <c r="M84" s="28" t="s">
        <v>45</v>
      </c>
      <c r="N84" s="28" t="s">
        <v>4611</v>
      </c>
      <c r="O84" s="2"/>
      <c r="P84" s="32"/>
      <c r="Q84" s="2">
        <v>26000</v>
      </c>
      <c r="R84" s="38">
        <v>12000</v>
      </c>
      <c r="S84" s="39">
        <v>20</v>
      </c>
      <c r="T84" s="33">
        <f t="shared" ref="T84:T85" si="50">X84*F84*0.005</f>
        <v>201.1</v>
      </c>
      <c r="V84" s="2">
        <v>0.12</v>
      </c>
      <c r="W84" s="2">
        <v>0.3</v>
      </c>
      <c r="X84" s="2">
        <f>IF(O84&gt;0,O84,((P84*2.2046*S84)+(Q84+R84)/G84)+V84)</f>
        <v>2.1740540540540541</v>
      </c>
      <c r="Y84" s="2">
        <f>IF(O84&gt;0,O84,((P84*2.2046*S84)+(Q84+R84+T84)/G84)+V84+W84)</f>
        <v>2.4849243243243242</v>
      </c>
      <c r="Z84" s="3">
        <f>Y84*F84</f>
        <v>45971.1</v>
      </c>
      <c r="AA84" s="34"/>
      <c r="AB84" s="3"/>
      <c r="AC84" s="35"/>
    </row>
    <row r="85" spans="1:29" x14ac:dyDescent="0.25">
      <c r="A85" s="280"/>
      <c r="B85" s="27" t="s">
        <v>30</v>
      </c>
      <c r="C85" s="28" t="s">
        <v>31</v>
      </c>
      <c r="D85" s="28" t="s">
        <v>31</v>
      </c>
      <c r="E85" t="s">
        <v>32</v>
      </c>
      <c r="F85" s="29">
        <v>18500</v>
      </c>
      <c r="G85" s="36">
        <v>18500</v>
      </c>
      <c r="H85" s="30">
        <f t="shared" si="47"/>
        <v>0</v>
      </c>
      <c r="I85" s="28">
        <v>32073</v>
      </c>
      <c r="J85" s="37"/>
      <c r="K85" s="31">
        <v>43706</v>
      </c>
      <c r="L85" s="31">
        <v>43707</v>
      </c>
      <c r="M85" s="28" t="s">
        <v>45</v>
      </c>
      <c r="N85" s="28" t="s">
        <v>4611</v>
      </c>
      <c r="O85" s="2"/>
      <c r="P85" s="32"/>
      <c r="Q85" s="2">
        <v>26000</v>
      </c>
      <c r="R85" s="38">
        <v>12000</v>
      </c>
      <c r="S85" s="39">
        <v>20</v>
      </c>
      <c r="T85" s="33">
        <f t="shared" si="50"/>
        <v>201.1</v>
      </c>
      <c r="V85" s="2">
        <v>0.12</v>
      </c>
      <c r="W85" s="2">
        <v>0.3</v>
      </c>
      <c r="X85" s="2">
        <f>IF(O85&gt;0,O85,((P85*2.2046*S85)+(Q85+R85)/G85)+V85)</f>
        <v>2.1740540540540541</v>
      </c>
      <c r="Y85" s="2">
        <f>IF(O85&gt;0,O85,((P85*2.2046*S85)+(Q85+R85+T85)/G85)+V85+W85)</f>
        <v>2.4849243243243242</v>
      </c>
      <c r="Z85" s="3">
        <f>Y85*F85</f>
        <v>45971.1</v>
      </c>
      <c r="AA85" s="34"/>
      <c r="AB85" s="3"/>
      <c r="AC85" s="35"/>
    </row>
    <row r="86" spans="1:29" x14ac:dyDescent="0.25">
      <c r="A86" s="280"/>
      <c r="B86" s="27"/>
      <c r="C86" s="28"/>
      <c r="D86" s="28"/>
      <c r="F86" s="29"/>
      <c r="G86" s="196"/>
      <c r="H86" s="196"/>
      <c r="I86" s="199"/>
      <c r="J86" s="191"/>
      <c r="K86" s="31"/>
      <c r="L86" s="31"/>
      <c r="M86" s="28"/>
      <c r="N86" s="28"/>
      <c r="O86" s="2"/>
      <c r="P86" s="32"/>
      <c r="Q86" s="2"/>
      <c r="R86" s="190"/>
      <c r="S86" s="194"/>
      <c r="T86" s="33"/>
      <c r="V86" s="2"/>
      <c r="W86" s="2"/>
      <c r="X86" s="2"/>
      <c r="Y86" s="2"/>
      <c r="Z86" s="3"/>
      <c r="AA86" s="34"/>
      <c r="AB86" s="3"/>
      <c r="AC86" s="35"/>
    </row>
    <row r="87" spans="1:29" x14ac:dyDescent="0.25">
      <c r="A87" s="280"/>
      <c r="B87" s="27" t="s">
        <v>26</v>
      </c>
      <c r="C87" t="s">
        <v>27</v>
      </c>
      <c r="D87" s="28"/>
      <c r="E87">
        <v>200</v>
      </c>
      <c r="F87" s="29"/>
      <c r="G87" s="30"/>
      <c r="H87" s="30">
        <f t="shared" ref="H87:H89" si="51">G87-F87</f>
        <v>0</v>
      </c>
      <c r="K87" s="31"/>
      <c r="L87" s="31">
        <v>43707</v>
      </c>
      <c r="M87" s="28" t="s">
        <v>45</v>
      </c>
      <c r="O87" s="2"/>
      <c r="P87" s="32"/>
      <c r="Q87" s="2">
        <v>22800</v>
      </c>
      <c r="R87" s="2">
        <f t="shared" ref="R87:R88" si="52">75.45*E87</f>
        <v>15090</v>
      </c>
      <c r="S87" s="33">
        <f>-38*E87</f>
        <v>-7600</v>
      </c>
      <c r="T87" s="33" t="e">
        <f>X87*F87*0.0045</f>
        <v>#DIV/0!</v>
      </c>
      <c r="U87" s="2">
        <f>E87*5</f>
        <v>1000</v>
      </c>
      <c r="W87" s="2">
        <v>0.3</v>
      </c>
      <c r="X87" s="2" t="e">
        <f>((O87*F87)+Q87+R87+S87+U87)/G87</f>
        <v>#DIV/0!</v>
      </c>
      <c r="Y87" s="2" t="e">
        <f>((O87*F87)+Q87+R87+S87+T87+U87)/G87+W87</f>
        <v>#DIV/0!</v>
      </c>
      <c r="Z87" s="3" t="e">
        <f>Y87*G87</f>
        <v>#DIV/0!</v>
      </c>
      <c r="AA87" s="34"/>
      <c r="AB87" s="3"/>
      <c r="AC87" s="35"/>
    </row>
    <row r="88" spans="1:29" x14ac:dyDescent="0.25">
      <c r="A88" s="280"/>
      <c r="B88" s="27" t="s">
        <v>26</v>
      </c>
      <c r="C88" t="s">
        <v>27</v>
      </c>
      <c r="D88" s="28"/>
      <c r="E88">
        <v>130</v>
      </c>
      <c r="F88" s="29"/>
      <c r="G88" s="30"/>
      <c r="H88" s="30">
        <f t="shared" si="51"/>
        <v>0</v>
      </c>
      <c r="I88" s="28"/>
      <c r="K88" s="31"/>
      <c r="L88" s="31">
        <v>43707</v>
      </c>
      <c r="M88" s="28" t="s">
        <v>45</v>
      </c>
      <c r="O88" s="2"/>
      <c r="P88" s="32"/>
      <c r="Q88" s="2">
        <v>18100</v>
      </c>
      <c r="R88" s="2">
        <f t="shared" si="52"/>
        <v>9808.5</v>
      </c>
      <c r="S88" s="33">
        <f>-38*E88</f>
        <v>-4940</v>
      </c>
      <c r="T88" s="33" t="e">
        <f>X88*F88*0.0045</f>
        <v>#DIV/0!</v>
      </c>
      <c r="U88" s="2">
        <f>E88*5</f>
        <v>650</v>
      </c>
      <c r="W88" s="2">
        <v>0.3</v>
      </c>
      <c r="X88" s="2" t="e">
        <f>((O88*F88)+Q88+R88+S88+U88)/G88</f>
        <v>#DIV/0!</v>
      </c>
      <c r="Y88" s="2" t="e">
        <f>((O88*F88)+Q88+R88+S88+T88+U88)/G88+W88</f>
        <v>#DIV/0!</v>
      </c>
      <c r="Z88" s="3" t="e">
        <f>Y88*G88</f>
        <v>#DIV/0!</v>
      </c>
      <c r="AA88" s="34"/>
      <c r="AB88" s="3"/>
      <c r="AC88" s="35"/>
    </row>
    <row r="89" spans="1:29" x14ac:dyDescent="0.25">
      <c r="A89" s="280"/>
      <c r="B89" s="27" t="s">
        <v>30</v>
      </c>
      <c r="C89" t="s">
        <v>40</v>
      </c>
      <c r="D89" s="28" t="s">
        <v>40</v>
      </c>
      <c r="E89" t="s">
        <v>37</v>
      </c>
      <c r="F89" s="29">
        <v>19000</v>
      </c>
      <c r="G89" s="36">
        <v>19000</v>
      </c>
      <c r="H89" s="30">
        <f t="shared" si="51"/>
        <v>0</v>
      </c>
      <c r="I89" s="28" t="s">
        <v>4607</v>
      </c>
      <c r="J89" s="37"/>
      <c r="K89" s="31">
        <v>43707</v>
      </c>
      <c r="L89" s="31">
        <v>43708</v>
      </c>
      <c r="M89" s="28" t="s">
        <v>46</v>
      </c>
      <c r="N89" s="28" t="s">
        <v>4612</v>
      </c>
      <c r="O89" s="2"/>
      <c r="P89" s="32"/>
      <c r="Q89" s="2">
        <v>26000</v>
      </c>
      <c r="R89" s="38">
        <v>12000</v>
      </c>
      <c r="S89" s="39">
        <v>20</v>
      </c>
      <c r="T89" s="33">
        <f>X89*F89*0.005</f>
        <v>201.4</v>
      </c>
      <c r="V89" s="2">
        <v>0.12</v>
      </c>
      <c r="W89" s="2">
        <v>0.3</v>
      </c>
      <c r="X89" s="2">
        <f>IF(O89&gt;0,O89,((P89*2.2046*S89)+(Q89+R89)/G89)+V89)</f>
        <v>2.12</v>
      </c>
      <c r="Y89" s="2">
        <f>IF(O89&gt;0,O89,((P89*2.2046*S89)+(Q89+R89+T89)/G89)+V89+W89)</f>
        <v>2.4306000000000001</v>
      </c>
      <c r="Z89" s="3">
        <f>Y89*F89</f>
        <v>46181.4</v>
      </c>
      <c r="AA89" s="34"/>
      <c r="AB89" s="3"/>
      <c r="AC89" s="35"/>
    </row>
    <row r="90" spans="1:29" ht="15.75" thickBot="1" x14ac:dyDescent="0.3">
      <c r="A90" s="281"/>
      <c r="B90" s="41"/>
      <c r="C90" s="4"/>
      <c r="D90" s="4"/>
      <c r="E90" s="4"/>
      <c r="F90" s="42"/>
      <c r="G90" s="42"/>
      <c r="H90" s="42"/>
      <c r="I90" s="7"/>
      <c r="J90" s="4"/>
      <c r="K90" s="8"/>
      <c r="L90" s="8"/>
      <c r="M90" s="4"/>
      <c r="N90" s="4"/>
      <c r="O90" s="9"/>
      <c r="P90" s="10"/>
      <c r="Q90" s="9"/>
      <c r="R90" s="9"/>
      <c r="S90" s="9"/>
      <c r="T90" s="9"/>
      <c r="U90" s="9"/>
      <c r="V90" s="9"/>
      <c r="W90" s="9"/>
      <c r="X90" s="9"/>
      <c r="Y90" s="9"/>
      <c r="Z90" s="13"/>
      <c r="AA90" s="43"/>
      <c r="AB90" s="3"/>
      <c r="AC90" s="35"/>
    </row>
  </sheetData>
  <pageMargins left="0.7" right="0.7" top="0.75" bottom="0.75" header="0.3" footer="0.3"/>
  <pageSetup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P922"/>
  <sheetViews>
    <sheetView topLeftCell="A841" workbookViewId="0">
      <selection activeCell="C858" sqref="C858:C859"/>
    </sheetView>
  </sheetViews>
  <sheetFormatPr baseColWidth="10" defaultRowHeight="15" x14ac:dyDescent="0.25"/>
  <cols>
    <col min="1" max="1" width="3.7109375" customWidth="1"/>
    <col min="2" max="2" width="5.140625" customWidth="1"/>
    <col min="3" max="3" width="16" style="3" customWidth="1"/>
    <col min="4" max="4" width="33.85546875" customWidth="1"/>
    <col min="5" max="5" width="16.140625" customWidth="1"/>
    <col min="6" max="6" width="26" customWidth="1"/>
    <col min="7" max="7" width="16.28515625" customWidth="1"/>
    <col min="8" max="8" width="15.140625" bestFit="1" customWidth="1"/>
    <col min="9" max="9" width="14.7109375" customWidth="1"/>
    <col min="10" max="10" width="17.7109375" customWidth="1"/>
  </cols>
  <sheetData>
    <row r="5" spans="1:10" x14ac:dyDescent="0.25">
      <c r="A5" t="s">
        <v>49</v>
      </c>
    </row>
    <row r="6" spans="1:10" x14ac:dyDescent="0.25">
      <c r="A6" t="s">
        <v>43</v>
      </c>
      <c r="B6" s="49">
        <v>26</v>
      </c>
      <c r="C6" s="51">
        <f>747037.5+18541.44-6710</f>
        <v>758868.94</v>
      </c>
      <c r="D6" s="52" t="s">
        <v>50</v>
      </c>
      <c r="E6" s="52" t="s">
        <v>51</v>
      </c>
      <c r="F6" s="52" t="s">
        <v>52</v>
      </c>
      <c r="G6" s="53">
        <v>43472</v>
      </c>
      <c r="H6" s="52" t="s">
        <v>55</v>
      </c>
    </row>
    <row r="7" spans="1:10" x14ac:dyDescent="0.25">
      <c r="A7" t="s">
        <v>43</v>
      </c>
      <c r="B7" s="49">
        <v>26</v>
      </c>
      <c r="C7" s="51">
        <f>116875+3340.8</f>
        <v>120215.8</v>
      </c>
      <c r="D7" s="52" t="s">
        <v>53</v>
      </c>
      <c r="E7" s="52" t="s">
        <v>54</v>
      </c>
      <c r="F7" s="52" t="s">
        <v>52</v>
      </c>
      <c r="G7" s="53">
        <v>43461</v>
      </c>
      <c r="H7" s="52" t="s">
        <v>55</v>
      </c>
    </row>
    <row r="8" spans="1:10" x14ac:dyDescent="0.25">
      <c r="A8" t="s">
        <v>43</v>
      </c>
      <c r="B8" s="49">
        <v>26</v>
      </c>
      <c r="C8" s="51">
        <v>688015.97</v>
      </c>
      <c r="D8" s="52" t="s">
        <v>56</v>
      </c>
      <c r="E8" s="52" t="s">
        <v>57</v>
      </c>
      <c r="F8" s="52" t="s">
        <v>58</v>
      </c>
      <c r="G8" s="52">
        <v>39.5</v>
      </c>
      <c r="H8" s="53">
        <v>43469</v>
      </c>
      <c r="I8" s="52" t="s">
        <v>62</v>
      </c>
    </row>
    <row r="9" spans="1:10" x14ac:dyDescent="0.25">
      <c r="A9" t="s">
        <v>59</v>
      </c>
      <c r="B9" s="49">
        <v>27</v>
      </c>
      <c r="C9" s="54">
        <f>21000*G9</f>
        <v>418173</v>
      </c>
      <c r="D9" s="55" t="s">
        <v>60</v>
      </c>
      <c r="E9" s="55" t="s">
        <v>1632</v>
      </c>
      <c r="F9" s="55" t="s">
        <v>61</v>
      </c>
      <c r="G9" s="56">
        <v>19.913</v>
      </c>
      <c r="H9" s="55">
        <v>31.94</v>
      </c>
      <c r="I9" s="57">
        <v>43461</v>
      </c>
      <c r="J9" s="55" t="s">
        <v>62</v>
      </c>
    </row>
    <row r="10" spans="1:10" x14ac:dyDescent="0.25">
      <c r="A10" t="s">
        <v>59</v>
      </c>
      <c r="B10" s="49">
        <v>27</v>
      </c>
      <c r="C10" s="51">
        <f>25558.7*G10</f>
        <v>508950.39310000004</v>
      </c>
      <c r="D10" s="52" t="s">
        <v>63</v>
      </c>
      <c r="E10" s="52" t="s">
        <v>64</v>
      </c>
      <c r="F10" s="52" t="s">
        <v>65</v>
      </c>
      <c r="G10" s="58">
        <v>19.913</v>
      </c>
      <c r="H10" s="52">
        <v>34.65</v>
      </c>
      <c r="I10" s="53">
        <v>43461</v>
      </c>
      <c r="J10" s="52" t="s">
        <v>62</v>
      </c>
    </row>
    <row r="11" spans="1:10" x14ac:dyDescent="0.25">
      <c r="A11" t="s">
        <v>59</v>
      </c>
      <c r="B11" s="49">
        <v>27</v>
      </c>
      <c r="C11" s="51">
        <f>761600+18374.4-6916</f>
        <v>773058.4</v>
      </c>
      <c r="D11" s="52" t="s">
        <v>66</v>
      </c>
      <c r="E11" s="52" t="s">
        <v>67</v>
      </c>
      <c r="F11" s="52" t="s">
        <v>52</v>
      </c>
      <c r="G11" s="53">
        <v>43472</v>
      </c>
      <c r="H11" s="52" t="s">
        <v>55</v>
      </c>
    </row>
    <row r="12" spans="1:10" x14ac:dyDescent="0.25">
      <c r="A12" t="s">
        <v>59</v>
      </c>
      <c r="B12" s="49">
        <v>27</v>
      </c>
      <c r="C12" s="51">
        <f>455560+10857.6</f>
        <v>466417.6</v>
      </c>
      <c r="D12" s="52" t="s">
        <v>68</v>
      </c>
      <c r="E12" s="52" t="s">
        <v>69</v>
      </c>
      <c r="F12" s="52" t="s">
        <v>52</v>
      </c>
      <c r="G12" s="53">
        <v>43461</v>
      </c>
      <c r="H12" s="52" t="s">
        <v>55</v>
      </c>
    </row>
    <row r="13" spans="1:10" x14ac:dyDescent="0.25">
      <c r="A13" t="s">
        <v>70</v>
      </c>
      <c r="B13" s="49">
        <v>28</v>
      </c>
      <c r="C13" s="51">
        <f>20603.5*36.4</f>
        <v>749967.4</v>
      </c>
      <c r="D13" s="52" t="s">
        <v>71</v>
      </c>
      <c r="E13" s="52" t="s">
        <v>72</v>
      </c>
      <c r="F13" s="52" t="s">
        <v>73</v>
      </c>
      <c r="G13" s="60">
        <v>43462</v>
      </c>
      <c r="H13" s="52" t="s">
        <v>55</v>
      </c>
    </row>
    <row r="14" spans="1:10" x14ac:dyDescent="0.25">
      <c r="A14" t="s">
        <v>70</v>
      </c>
      <c r="B14" s="49">
        <v>28</v>
      </c>
      <c r="C14" s="51">
        <f>399700+10857.6</f>
        <v>410557.6</v>
      </c>
      <c r="D14" s="52" t="s">
        <v>74</v>
      </c>
      <c r="E14" s="52" t="s">
        <v>75</v>
      </c>
      <c r="F14" s="52" t="s">
        <v>52</v>
      </c>
      <c r="G14" s="53">
        <v>43461</v>
      </c>
      <c r="H14" s="52" t="s">
        <v>55</v>
      </c>
    </row>
    <row r="15" spans="1:10" x14ac:dyDescent="0.25">
      <c r="A15" t="s">
        <v>70</v>
      </c>
      <c r="B15" s="49">
        <v>28</v>
      </c>
      <c r="C15" s="51">
        <f>25250.38*G15</f>
        <v>498619.25386</v>
      </c>
      <c r="D15" s="52" t="s">
        <v>76</v>
      </c>
      <c r="E15" s="52" t="s">
        <v>77</v>
      </c>
      <c r="F15" s="52" t="s">
        <v>78</v>
      </c>
      <c r="G15" s="58">
        <v>19.747</v>
      </c>
      <c r="H15" s="52">
        <v>34.270000000000003</v>
      </c>
      <c r="I15" s="53">
        <v>43432</v>
      </c>
    </row>
    <row r="16" spans="1:10" x14ac:dyDescent="0.25">
      <c r="A16" t="s">
        <v>70</v>
      </c>
      <c r="B16" s="49">
        <v>28</v>
      </c>
      <c r="C16" s="51">
        <f>25198.78*G16</f>
        <v>497625.50744000002</v>
      </c>
      <c r="D16" s="52" t="s">
        <v>79</v>
      </c>
      <c r="E16" s="52" t="s">
        <v>80</v>
      </c>
      <c r="F16" s="52" t="s">
        <v>81</v>
      </c>
      <c r="G16" s="58">
        <v>19.748000000000001</v>
      </c>
      <c r="H16" s="52">
        <v>34.29</v>
      </c>
      <c r="I16" s="53">
        <v>43432</v>
      </c>
    </row>
    <row r="17" spans="1:10" x14ac:dyDescent="0.25">
      <c r="A17" t="s">
        <v>70</v>
      </c>
      <c r="B17" s="49">
        <v>28</v>
      </c>
      <c r="C17" s="51">
        <f>22649.79*G17</f>
        <v>447084.20481000002</v>
      </c>
      <c r="D17" s="52" t="s">
        <v>82</v>
      </c>
      <c r="E17" s="52" t="s">
        <v>83</v>
      </c>
      <c r="F17" s="52" t="s">
        <v>84</v>
      </c>
      <c r="G17" s="58">
        <v>19.739000000000001</v>
      </c>
      <c r="H17" s="52">
        <v>32.1</v>
      </c>
      <c r="I17" s="53">
        <v>43462</v>
      </c>
    </row>
    <row r="18" spans="1:10" x14ac:dyDescent="0.25">
      <c r="A18" t="s">
        <v>70</v>
      </c>
      <c r="B18" s="49">
        <v>28</v>
      </c>
      <c r="C18" s="51">
        <v>35893.65</v>
      </c>
      <c r="D18" s="52" t="s">
        <v>85</v>
      </c>
      <c r="E18" s="52" t="s">
        <v>86</v>
      </c>
      <c r="F18" s="52" t="s">
        <v>87</v>
      </c>
      <c r="G18" s="58">
        <v>19.5</v>
      </c>
      <c r="H18" s="53">
        <v>43465</v>
      </c>
      <c r="I18" s="53" t="s">
        <v>88</v>
      </c>
    </row>
    <row r="19" spans="1:10" x14ac:dyDescent="0.25">
      <c r="A19" s="37" t="s">
        <v>89</v>
      </c>
      <c r="B19" s="49">
        <v>29</v>
      </c>
    </row>
    <row r="20" spans="1:10" x14ac:dyDescent="0.25">
      <c r="A20" s="37" t="s">
        <v>90</v>
      </c>
      <c r="B20" s="49">
        <v>30</v>
      </c>
    </row>
    <row r="21" spans="1:10" x14ac:dyDescent="0.25">
      <c r="A21" t="s">
        <v>91</v>
      </c>
      <c r="B21" s="49">
        <v>31</v>
      </c>
      <c r="C21" s="54">
        <f>23000*G21</f>
        <v>453330</v>
      </c>
      <c r="D21" s="55" t="s">
        <v>92</v>
      </c>
      <c r="E21" s="55"/>
      <c r="F21" s="55" t="s">
        <v>93</v>
      </c>
      <c r="G21" s="56">
        <v>19.71</v>
      </c>
      <c r="H21" s="55"/>
      <c r="I21" s="57">
        <v>43465</v>
      </c>
      <c r="J21" s="55" t="s">
        <v>62</v>
      </c>
    </row>
    <row r="22" spans="1:10" x14ac:dyDescent="0.25">
      <c r="A22" t="s">
        <v>91</v>
      </c>
      <c r="B22" s="49">
        <v>31</v>
      </c>
      <c r="C22" s="51">
        <f>23846.32*G22</f>
        <v>469295.57759999996</v>
      </c>
      <c r="D22" s="52" t="s">
        <v>94</v>
      </c>
      <c r="E22" s="52" t="s">
        <v>95</v>
      </c>
      <c r="F22" s="52" t="s">
        <v>96</v>
      </c>
      <c r="G22" s="58">
        <v>19.68</v>
      </c>
      <c r="H22" s="52">
        <v>34.04</v>
      </c>
      <c r="I22" s="53">
        <v>43465</v>
      </c>
      <c r="J22" s="52" t="s">
        <v>62</v>
      </c>
    </row>
    <row r="23" spans="1:10" x14ac:dyDescent="0.25">
      <c r="A23" t="s">
        <v>91</v>
      </c>
      <c r="B23" s="49">
        <v>31</v>
      </c>
      <c r="C23" s="51">
        <f>22665.22*G23</f>
        <v>446867.47752000007</v>
      </c>
      <c r="D23" s="52" t="s">
        <v>97</v>
      </c>
      <c r="E23" s="52" t="s">
        <v>98</v>
      </c>
      <c r="F23" s="52" t="s">
        <v>99</v>
      </c>
      <c r="G23" s="58">
        <v>19.716000000000001</v>
      </c>
      <c r="H23" s="52">
        <v>31.97</v>
      </c>
      <c r="I23" s="53">
        <v>43465</v>
      </c>
      <c r="J23" s="52" t="s">
        <v>62</v>
      </c>
    </row>
    <row r="24" spans="1:10" x14ac:dyDescent="0.25">
      <c r="A24" t="s">
        <v>91</v>
      </c>
      <c r="B24" s="49">
        <v>31</v>
      </c>
      <c r="C24" s="51">
        <f>23180.3*G24</f>
        <v>456883.71299999999</v>
      </c>
      <c r="D24" s="52" t="s">
        <v>100</v>
      </c>
      <c r="E24" s="52" t="s">
        <v>101</v>
      </c>
      <c r="F24" s="52" t="s">
        <v>102</v>
      </c>
      <c r="G24" s="51">
        <v>19.71</v>
      </c>
      <c r="H24" s="52">
        <v>31.13</v>
      </c>
      <c r="I24" s="53">
        <v>43465</v>
      </c>
      <c r="J24" s="52" t="s">
        <v>62</v>
      </c>
    </row>
    <row r="25" spans="1:10" x14ac:dyDescent="0.25">
      <c r="A25" t="s">
        <v>91</v>
      </c>
      <c r="B25" s="49">
        <v>31</v>
      </c>
      <c r="C25" s="51">
        <f>23015.57*G25</f>
        <v>453636.8847</v>
      </c>
      <c r="D25" s="52" t="s">
        <v>103</v>
      </c>
      <c r="E25" s="52" t="s">
        <v>104</v>
      </c>
      <c r="F25" s="52" t="s">
        <v>105</v>
      </c>
      <c r="G25" s="51">
        <v>19.71</v>
      </c>
      <c r="H25" s="52">
        <v>31.17</v>
      </c>
      <c r="I25" s="53">
        <v>43465</v>
      </c>
      <c r="J25" s="52" t="s">
        <v>62</v>
      </c>
    </row>
    <row r="26" spans="1:10" x14ac:dyDescent="0.25">
      <c r="A26" t="s">
        <v>91</v>
      </c>
      <c r="B26" s="49">
        <v>31</v>
      </c>
      <c r="C26" s="51">
        <v>42722.76</v>
      </c>
      <c r="D26" s="52" t="s">
        <v>106</v>
      </c>
      <c r="E26" s="52" t="s">
        <v>107</v>
      </c>
      <c r="F26" s="52" t="s">
        <v>108</v>
      </c>
      <c r="G26" s="52" t="s">
        <v>109</v>
      </c>
      <c r="H26" s="53">
        <v>43465</v>
      </c>
      <c r="I26" s="53" t="s">
        <v>88</v>
      </c>
    </row>
    <row r="27" spans="1:10" x14ac:dyDescent="0.25">
      <c r="A27" t="s">
        <v>91</v>
      </c>
      <c r="B27" s="49">
        <v>31</v>
      </c>
      <c r="C27" s="51">
        <f>729680+18457.92</f>
        <v>748137.92</v>
      </c>
      <c r="D27" s="52" t="s">
        <v>110</v>
      </c>
      <c r="E27" s="52" t="s">
        <v>111</v>
      </c>
      <c r="F27" s="52" t="s">
        <v>52</v>
      </c>
      <c r="G27" s="60">
        <v>43462</v>
      </c>
      <c r="H27" s="52" t="s">
        <v>55</v>
      </c>
    </row>
    <row r="28" spans="1:10" x14ac:dyDescent="0.25">
      <c r="A28" t="s">
        <v>91</v>
      </c>
      <c r="B28" s="49">
        <v>31</v>
      </c>
      <c r="C28" s="51">
        <f>134400+3340</f>
        <v>137740</v>
      </c>
      <c r="D28" s="52" t="s">
        <v>112</v>
      </c>
      <c r="E28" s="52" t="s">
        <v>113</v>
      </c>
      <c r="F28" s="52" t="s">
        <v>52</v>
      </c>
      <c r="G28" s="60">
        <v>43462</v>
      </c>
      <c r="H28" s="52" t="s">
        <v>55</v>
      </c>
    </row>
    <row r="29" spans="1:10" x14ac:dyDescent="0.25">
      <c r="A29" t="s">
        <v>91</v>
      </c>
      <c r="B29" s="49">
        <v>31</v>
      </c>
      <c r="C29" s="51">
        <f>750400+18290.88</f>
        <v>768690.88</v>
      </c>
      <c r="D29" s="52" t="s">
        <v>114</v>
      </c>
      <c r="E29" s="52" t="s">
        <v>115</v>
      </c>
      <c r="F29" s="52" t="s">
        <v>52</v>
      </c>
      <c r="G29" s="53">
        <v>43465</v>
      </c>
      <c r="H29" s="52" t="s">
        <v>55</v>
      </c>
    </row>
    <row r="30" spans="1:10" x14ac:dyDescent="0.25">
      <c r="A30" t="s">
        <v>91</v>
      </c>
      <c r="B30" s="49">
        <v>31</v>
      </c>
      <c r="C30" s="51">
        <f>94220+2505.6</f>
        <v>96725.6</v>
      </c>
      <c r="D30" s="52" t="s">
        <v>116</v>
      </c>
      <c r="E30" s="52" t="s">
        <v>117</v>
      </c>
      <c r="F30" s="52" t="s">
        <v>52</v>
      </c>
      <c r="G30" s="53">
        <v>43465</v>
      </c>
      <c r="H30" s="52" t="s">
        <v>55</v>
      </c>
    </row>
    <row r="31" spans="1:10" x14ac:dyDescent="0.25">
      <c r="A31" t="s">
        <v>91</v>
      </c>
      <c r="B31" s="49">
        <v>31</v>
      </c>
      <c r="C31" s="51">
        <v>70616</v>
      </c>
      <c r="D31" s="52" t="s">
        <v>118</v>
      </c>
      <c r="E31" s="52" t="s">
        <v>119</v>
      </c>
      <c r="F31" s="52" t="s">
        <v>120</v>
      </c>
      <c r="G31" s="53">
        <v>43465</v>
      </c>
      <c r="H31" s="52" t="s">
        <v>55</v>
      </c>
    </row>
    <row r="32" spans="1:10" x14ac:dyDescent="0.25">
      <c r="A32" s="61" t="s">
        <v>121</v>
      </c>
    </row>
    <row r="33" spans="1:11" x14ac:dyDescent="0.25">
      <c r="A33" t="s">
        <v>122</v>
      </c>
      <c r="B33" s="49">
        <v>1</v>
      </c>
      <c r="C33" s="3" t="s">
        <v>123</v>
      </c>
    </row>
    <row r="34" spans="1:11" x14ac:dyDescent="0.25">
      <c r="A34" t="s">
        <v>43</v>
      </c>
      <c r="B34" s="49">
        <v>2</v>
      </c>
      <c r="C34" s="54">
        <f>22500*G34</f>
        <v>443025</v>
      </c>
      <c r="D34" s="55" t="s">
        <v>124</v>
      </c>
      <c r="E34" s="55" t="s">
        <v>1691</v>
      </c>
      <c r="F34" s="55" t="s">
        <v>125</v>
      </c>
      <c r="G34" s="56">
        <v>19.690000000000001</v>
      </c>
      <c r="H34" s="55">
        <v>29.87</v>
      </c>
      <c r="I34" s="57">
        <v>43467</v>
      </c>
      <c r="J34" s="55" t="s">
        <v>62</v>
      </c>
    </row>
    <row r="35" spans="1:11" x14ac:dyDescent="0.25">
      <c r="A35" t="s">
        <v>43</v>
      </c>
      <c r="B35" s="49">
        <v>2</v>
      </c>
      <c r="C35" s="54">
        <f>22500*G35</f>
        <v>443025</v>
      </c>
      <c r="D35" s="55" t="s">
        <v>126</v>
      </c>
      <c r="E35" s="55" t="s">
        <v>1692</v>
      </c>
      <c r="F35" s="55" t="s">
        <v>125</v>
      </c>
      <c r="G35" s="56">
        <v>19.690000000000001</v>
      </c>
      <c r="H35" s="55">
        <v>30.07</v>
      </c>
      <c r="I35" s="57">
        <v>43467</v>
      </c>
      <c r="J35" s="55" t="s">
        <v>62</v>
      </c>
    </row>
    <row r="36" spans="1:11" x14ac:dyDescent="0.25">
      <c r="A36" t="s">
        <v>43</v>
      </c>
      <c r="B36" s="49">
        <v>2</v>
      </c>
      <c r="C36" s="51">
        <f>720720+18374.4</f>
        <v>739094.4</v>
      </c>
      <c r="D36" s="52" t="s">
        <v>127</v>
      </c>
      <c r="E36" s="52" t="s">
        <v>128</v>
      </c>
      <c r="F36" s="52" t="s">
        <v>52</v>
      </c>
      <c r="G36" s="53">
        <v>43465</v>
      </c>
      <c r="H36" s="52" t="s">
        <v>55</v>
      </c>
    </row>
    <row r="37" spans="1:11" x14ac:dyDescent="0.25">
      <c r="A37" t="s">
        <v>43</v>
      </c>
      <c r="B37" s="49">
        <v>2</v>
      </c>
      <c r="C37" s="51">
        <f>97020+2505.6</f>
        <v>99525.6</v>
      </c>
      <c r="D37" s="52" t="s">
        <v>129</v>
      </c>
      <c r="E37" s="52" t="s">
        <v>130</v>
      </c>
      <c r="F37" s="52" t="s">
        <v>52</v>
      </c>
      <c r="G37" s="53">
        <v>43465</v>
      </c>
      <c r="H37" s="52" t="s">
        <v>55</v>
      </c>
    </row>
    <row r="38" spans="1:11" x14ac:dyDescent="0.25">
      <c r="A38" t="s">
        <v>43</v>
      </c>
      <c r="B38" s="49">
        <v>2</v>
      </c>
      <c r="C38" s="51">
        <f>770840+19293.12</f>
        <v>790133.12</v>
      </c>
      <c r="D38" s="52" t="s">
        <v>131</v>
      </c>
      <c r="E38" s="52" t="s">
        <v>132</v>
      </c>
      <c r="F38" s="52" t="s">
        <v>52</v>
      </c>
      <c r="G38" s="53">
        <v>43465</v>
      </c>
      <c r="H38" s="52" t="s">
        <v>55</v>
      </c>
    </row>
    <row r="39" spans="1:11" x14ac:dyDescent="0.25">
      <c r="A39" t="s">
        <v>43</v>
      </c>
      <c r="B39" s="49">
        <v>2</v>
      </c>
      <c r="C39" s="51">
        <f>64820+1670.4</f>
        <v>66490.399999999994</v>
      </c>
      <c r="D39" s="52" t="s">
        <v>133</v>
      </c>
      <c r="E39" s="52" t="s">
        <v>134</v>
      </c>
      <c r="F39" s="52" t="s">
        <v>52</v>
      </c>
      <c r="G39" s="53">
        <v>43465</v>
      </c>
      <c r="H39" s="52" t="s">
        <v>55</v>
      </c>
    </row>
    <row r="40" spans="1:11" x14ac:dyDescent="0.25">
      <c r="A40" t="s">
        <v>59</v>
      </c>
      <c r="B40" s="49">
        <v>3</v>
      </c>
      <c r="C40" s="51">
        <f>764260+18374.4</f>
        <v>782634.4</v>
      </c>
      <c r="D40" s="52" t="s">
        <v>135</v>
      </c>
      <c r="E40" s="52" t="s">
        <v>136</v>
      </c>
      <c r="F40" s="52" t="s">
        <v>52</v>
      </c>
      <c r="G40" s="53">
        <v>43465</v>
      </c>
      <c r="H40" s="52" t="s">
        <v>55</v>
      </c>
    </row>
    <row r="41" spans="1:11" x14ac:dyDescent="0.25">
      <c r="A41" t="s">
        <v>59</v>
      </c>
      <c r="B41" s="49">
        <v>3</v>
      </c>
      <c r="C41" s="51">
        <f>528220+13363.2</f>
        <v>541583.19999999995</v>
      </c>
      <c r="D41" s="52" t="s">
        <v>135</v>
      </c>
      <c r="E41" s="52" t="s">
        <v>137</v>
      </c>
      <c r="F41" s="52" t="s">
        <v>52</v>
      </c>
      <c r="G41" s="53">
        <v>43465</v>
      </c>
      <c r="H41" s="52" t="s">
        <v>55</v>
      </c>
      <c r="K41" s="62"/>
    </row>
    <row r="42" spans="1:11" x14ac:dyDescent="0.25">
      <c r="A42" t="s">
        <v>59</v>
      </c>
      <c r="B42" s="49">
        <v>3</v>
      </c>
      <c r="C42" s="54">
        <f>24500*G42</f>
        <v>482895</v>
      </c>
      <c r="D42" s="55" t="s">
        <v>138</v>
      </c>
      <c r="E42" s="55" t="s">
        <v>1693</v>
      </c>
      <c r="F42" s="55" t="s">
        <v>1622</v>
      </c>
      <c r="G42" s="56">
        <v>19.71</v>
      </c>
      <c r="H42" s="55">
        <v>30.61</v>
      </c>
      <c r="I42" s="57">
        <v>43468</v>
      </c>
      <c r="J42" s="55" t="s">
        <v>62</v>
      </c>
      <c r="K42" s="62"/>
    </row>
    <row r="43" spans="1:11" x14ac:dyDescent="0.25">
      <c r="A43" t="s">
        <v>59</v>
      </c>
      <c r="B43" s="49">
        <v>3</v>
      </c>
      <c r="C43" s="51">
        <f>22213.16*G43</f>
        <v>437821.3836</v>
      </c>
      <c r="D43" s="52" t="s">
        <v>139</v>
      </c>
      <c r="E43" s="52" t="s">
        <v>1614</v>
      </c>
      <c r="F43" s="52" t="s">
        <v>1615</v>
      </c>
      <c r="G43" s="51">
        <v>19.71</v>
      </c>
      <c r="H43" s="52">
        <v>31.04</v>
      </c>
      <c r="I43" s="53">
        <v>43468</v>
      </c>
      <c r="J43" s="52" t="s">
        <v>62</v>
      </c>
      <c r="K43" t="s">
        <v>1837</v>
      </c>
    </row>
    <row r="44" spans="1:11" x14ac:dyDescent="0.25">
      <c r="A44" t="s">
        <v>59</v>
      </c>
      <c r="B44" s="49">
        <v>3</v>
      </c>
      <c r="C44" s="51">
        <f>23322.69*G44</f>
        <v>459690.21989999997</v>
      </c>
      <c r="D44" s="52" t="s">
        <v>140</v>
      </c>
      <c r="E44" s="52" t="s">
        <v>141</v>
      </c>
      <c r="F44" s="52" t="s">
        <v>142</v>
      </c>
      <c r="G44" s="51">
        <v>19.71</v>
      </c>
      <c r="H44" s="52">
        <v>30.91</v>
      </c>
      <c r="I44" s="53">
        <v>43468</v>
      </c>
      <c r="J44" s="52" t="s">
        <v>62</v>
      </c>
    </row>
    <row r="45" spans="1:11" x14ac:dyDescent="0.25">
      <c r="A45" t="s">
        <v>70</v>
      </c>
      <c r="B45" s="49">
        <v>4</v>
      </c>
      <c r="C45" s="51">
        <v>16632.599999999999</v>
      </c>
      <c r="D45" s="52" t="s">
        <v>146</v>
      </c>
      <c r="E45" s="52" t="s">
        <v>147</v>
      </c>
      <c r="F45" s="52" t="s">
        <v>87</v>
      </c>
      <c r="G45" s="51">
        <v>19</v>
      </c>
      <c r="H45" s="53">
        <v>43465</v>
      </c>
      <c r="I45" s="53" t="s">
        <v>88</v>
      </c>
    </row>
    <row r="46" spans="1:11" x14ac:dyDescent="0.25">
      <c r="A46" t="s">
        <v>70</v>
      </c>
      <c r="B46" s="49">
        <v>4</v>
      </c>
      <c r="C46" s="51">
        <f>22836.32*G46</f>
        <v>448847.86960000003</v>
      </c>
      <c r="D46" s="52" t="s">
        <v>148</v>
      </c>
      <c r="E46" s="52" t="s">
        <v>1623</v>
      </c>
      <c r="F46" s="52" t="s">
        <v>1624</v>
      </c>
      <c r="G46" s="58">
        <v>19.655000000000001</v>
      </c>
      <c r="H46" s="52">
        <v>30.78</v>
      </c>
      <c r="I46" s="53">
        <v>43469</v>
      </c>
      <c r="J46" s="52" t="s">
        <v>62</v>
      </c>
    </row>
    <row r="47" spans="1:11" x14ac:dyDescent="0.25">
      <c r="A47" t="s">
        <v>70</v>
      </c>
      <c r="B47" s="49">
        <v>4</v>
      </c>
      <c r="C47" s="51">
        <f>23473.46*G47</f>
        <v>460854.44017999998</v>
      </c>
      <c r="D47" s="52" t="s">
        <v>143</v>
      </c>
      <c r="E47" s="52" t="s">
        <v>144</v>
      </c>
      <c r="F47" s="52" t="s">
        <v>145</v>
      </c>
      <c r="G47" s="58">
        <v>19.632999999999999</v>
      </c>
      <c r="H47" s="52">
        <v>31.1</v>
      </c>
      <c r="I47" s="53">
        <v>43469</v>
      </c>
      <c r="J47" s="52" t="s">
        <v>62</v>
      </c>
    </row>
    <row r="48" spans="1:11" x14ac:dyDescent="0.25">
      <c r="A48" t="s">
        <v>70</v>
      </c>
      <c r="B48" s="66">
        <v>4</v>
      </c>
      <c r="C48" s="51">
        <f>947926.9-23746.9</f>
        <v>924180</v>
      </c>
      <c r="D48" s="52" t="s">
        <v>149</v>
      </c>
      <c r="E48" s="52" t="s">
        <v>150</v>
      </c>
      <c r="F48" s="52" t="s">
        <v>73</v>
      </c>
      <c r="G48" s="51" t="s">
        <v>1633</v>
      </c>
      <c r="H48" s="52"/>
      <c r="I48" s="52"/>
      <c r="J48" s="53">
        <v>43469</v>
      </c>
      <c r="K48" s="52" t="s">
        <v>55</v>
      </c>
    </row>
    <row r="49" spans="1:16" x14ac:dyDescent="0.25">
      <c r="A49" t="s">
        <v>70</v>
      </c>
      <c r="B49" s="49">
        <v>4</v>
      </c>
      <c r="C49" s="51">
        <f>715680+18374.4</f>
        <v>734054.40000000002</v>
      </c>
      <c r="D49" s="52" t="s">
        <v>152</v>
      </c>
      <c r="E49" s="52" t="s">
        <v>153</v>
      </c>
      <c r="F49" s="52" t="s">
        <v>52</v>
      </c>
      <c r="G49" s="53">
        <v>43465</v>
      </c>
      <c r="H49" s="52" t="s">
        <v>55</v>
      </c>
    </row>
    <row r="50" spans="1:16" x14ac:dyDescent="0.25">
      <c r="A50" t="s">
        <v>70</v>
      </c>
      <c r="B50" s="49">
        <v>4</v>
      </c>
      <c r="C50" s="51">
        <f>105700+2505.6</f>
        <v>108205.6</v>
      </c>
      <c r="D50" s="52" t="s">
        <v>154</v>
      </c>
      <c r="E50" s="52" t="s">
        <v>155</v>
      </c>
      <c r="F50" s="52" t="s">
        <v>52</v>
      </c>
      <c r="G50" s="53">
        <v>43465</v>
      </c>
      <c r="H50" s="52" t="s">
        <v>55</v>
      </c>
    </row>
    <row r="51" spans="1:16" x14ac:dyDescent="0.25">
      <c r="A51" t="s">
        <v>70</v>
      </c>
      <c r="B51" s="49">
        <v>4</v>
      </c>
      <c r="C51" s="51">
        <f>715680+18290.88</f>
        <v>733970.88</v>
      </c>
      <c r="D51" s="52" t="s">
        <v>156</v>
      </c>
      <c r="E51" s="52" t="s">
        <v>157</v>
      </c>
      <c r="F51" s="52" t="s">
        <v>52</v>
      </c>
      <c r="G51" s="53">
        <v>43465</v>
      </c>
      <c r="H51" s="52" t="s">
        <v>55</v>
      </c>
    </row>
    <row r="52" spans="1:16" x14ac:dyDescent="0.25">
      <c r="A52" t="s">
        <v>70</v>
      </c>
      <c r="B52" s="49">
        <v>4</v>
      </c>
      <c r="C52" s="51">
        <f>93800+2505.6</f>
        <v>96305.600000000006</v>
      </c>
      <c r="D52" s="52" t="s">
        <v>156</v>
      </c>
      <c r="E52" s="52" t="s">
        <v>158</v>
      </c>
      <c r="F52" s="52" t="s">
        <v>52</v>
      </c>
      <c r="G52" s="53">
        <v>43465</v>
      </c>
      <c r="H52" s="52" t="s">
        <v>55</v>
      </c>
    </row>
    <row r="53" spans="1:16" x14ac:dyDescent="0.25">
      <c r="A53" t="s">
        <v>70</v>
      </c>
      <c r="B53" s="49">
        <v>4</v>
      </c>
      <c r="C53" s="51">
        <f>655900+16704</f>
        <v>672604</v>
      </c>
      <c r="D53" s="52" t="s">
        <v>156</v>
      </c>
      <c r="E53" s="52" t="s">
        <v>159</v>
      </c>
      <c r="F53" s="52" t="s">
        <v>52</v>
      </c>
      <c r="G53" s="53">
        <v>43465</v>
      </c>
      <c r="H53" s="52" t="s">
        <v>55</v>
      </c>
    </row>
    <row r="54" spans="1:16" x14ac:dyDescent="0.25">
      <c r="A54" s="37" t="s">
        <v>89</v>
      </c>
      <c r="B54" s="49">
        <v>5</v>
      </c>
    </row>
    <row r="55" spans="1:16" x14ac:dyDescent="0.25">
      <c r="A55" s="37" t="s">
        <v>90</v>
      </c>
      <c r="B55" s="49">
        <v>6</v>
      </c>
    </row>
    <row r="56" spans="1:16" x14ac:dyDescent="0.25">
      <c r="A56" t="s">
        <v>91</v>
      </c>
      <c r="B56" s="49">
        <v>7</v>
      </c>
      <c r="C56" s="54">
        <f>24000*G56</f>
        <v>465383.99999999994</v>
      </c>
      <c r="D56" s="55" t="s">
        <v>160</v>
      </c>
      <c r="E56" s="55" t="s">
        <v>1717</v>
      </c>
      <c r="F56" s="55" t="s">
        <v>1660</v>
      </c>
      <c r="G56" s="56">
        <v>19.390999999999998</v>
      </c>
      <c r="H56" s="55">
        <v>31.04</v>
      </c>
      <c r="I56" s="57">
        <v>43472</v>
      </c>
      <c r="J56" s="55" t="s">
        <v>62</v>
      </c>
    </row>
    <row r="57" spans="1:16" x14ac:dyDescent="0.25">
      <c r="A57" t="s">
        <v>91</v>
      </c>
      <c r="B57" s="49">
        <v>7</v>
      </c>
      <c r="C57" s="54">
        <f>24000*G57</f>
        <v>464640</v>
      </c>
      <c r="D57" s="55" t="s">
        <v>1673</v>
      </c>
      <c r="E57" s="55" t="s">
        <v>1704</v>
      </c>
      <c r="F57" s="55" t="s">
        <v>1660</v>
      </c>
      <c r="G57" s="56">
        <v>19.36</v>
      </c>
      <c r="H57" s="55">
        <v>30.91</v>
      </c>
      <c r="I57" s="57">
        <v>43472</v>
      </c>
      <c r="J57" s="55" t="s">
        <v>62</v>
      </c>
    </row>
    <row r="58" spans="1:16" x14ac:dyDescent="0.25">
      <c r="A58" t="s">
        <v>91</v>
      </c>
      <c r="B58" s="49">
        <v>7</v>
      </c>
      <c r="C58" s="51">
        <f>22428.76*G58</f>
        <v>434916.0851599999</v>
      </c>
      <c r="D58" s="52" t="s">
        <v>1665</v>
      </c>
      <c r="E58" s="52" t="s">
        <v>1666</v>
      </c>
      <c r="F58" s="52" t="s">
        <v>1671</v>
      </c>
      <c r="G58" s="58">
        <v>19.390999999999998</v>
      </c>
      <c r="H58" s="52">
        <v>30.55</v>
      </c>
      <c r="I58" s="53">
        <v>43472</v>
      </c>
      <c r="J58" s="52" t="s">
        <v>62</v>
      </c>
      <c r="K58" s="55" t="s">
        <v>1672</v>
      </c>
      <c r="L58" s="55"/>
      <c r="M58" s="55"/>
      <c r="N58" s="55"/>
      <c r="O58" s="55"/>
      <c r="P58" s="55"/>
    </row>
    <row r="59" spans="1:16" x14ac:dyDescent="0.25">
      <c r="A59" t="s">
        <v>91</v>
      </c>
      <c r="B59" s="49">
        <v>7</v>
      </c>
      <c r="C59" s="51">
        <v>299109.18</v>
      </c>
      <c r="D59" s="52" t="s">
        <v>161</v>
      </c>
      <c r="E59" s="52" t="s">
        <v>162</v>
      </c>
      <c r="F59" s="52" t="s">
        <v>163</v>
      </c>
      <c r="G59" s="58">
        <v>35.5</v>
      </c>
      <c r="H59" s="53">
        <v>43472</v>
      </c>
      <c r="I59" s="52" t="s">
        <v>62</v>
      </c>
    </row>
    <row r="60" spans="1:16" x14ac:dyDescent="0.25">
      <c r="A60" t="s">
        <v>91</v>
      </c>
      <c r="B60" s="49">
        <v>7</v>
      </c>
      <c r="C60" s="51">
        <f>667520+18374.4</f>
        <v>685894.4</v>
      </c>
      <c r="D60" s="52" t="s">
        <v>164</v>
      </c>
      <c r="E60" s="52" t="s">
        <v>165</v>
      </c>
      <c r="F60" s="52" t="s">
        <v>52</v>
      </c>
      <c r="G60" s="53">
        <v>43472</v>
      </c>
      <c r="H60" s="52" t="s">
        <v>55</v>
      </c>
    </row>
    <row r="61" spans="1:16" x14ac:dyDescent="0.25">
      <c r="A61" t="s">
        <v>91</v>
      </c>
      <c r="B61" s="49">
        <v>7</v>
      </c>
      <c r="C61" s="51">
        <f>486640+13363.2-3052</f>
        <v>496951.2</v>
      </c>
      <c r="D61" s="52" t="s">
        <v>164</v>
      </c>
      <c r="E61" s="52" t="s">
        <v>166</v>
      </c>
      <c r="F61" s="52" t="s">
        <v>52</v>
      </c>
      <c r="G61" s="53">
        <v>43473</v>
      </c>
      <c r="H61" s="52" t="s">
        <v>55</v>
      </c>
    </row>
    <row r="62" spans="1:16" x14ac:dyDescent="0.25">
      <c r="A62" t="s">
        <v>91</v>
      </c>
      <c r="B62" s="49">
        <v>7</v>
      </c>
      <c r="C62" s="51">
        <f>542220+13279.68</f>
        <v>555499.68000000005</v>
      </c>
      <c r="D62" s="52" t="s">
        <v>167</v>
      </c>
      <c r="E62" s="52" t="s">
        <v>168</v>
      </c>
      <c r="F62" s="52" t="s">
        <v>52</v>
      </c>
      <c r="G62" s="53">
        <v>43468</v>
      </c>
      <c r="H62" s="52" t="s">
        <v>55</v>
      </c>
    </row>
    <row r="63" spans="1:16" x14ac:dyDescent="0.25">
      <c r="A63" t="s">
        <v>91</v>
      </c>
      <c r="B63" s="49">
        <v>7</v>
      </c>
      <c r="C63" s="51">
        <f>778680+18290.88</f>
        <v>796970.88</v>
      </c>
      <c r="D63" s="52" t="s">
        <v>167</v>
      </c>
      <c r="E63" s="52" t="s">
        <v>169</v>
      </c>
      <c r="F63" s="52" t="s">
        <v>52</v>
      </c>
      <c r="G63" s="53">
        <v>43468</v>
      </c>
      <c r="H63" s="52" t="s">
        <v>55</v>
      </c>
    </row>
    <row r="64" spans="1:16" x14ac:dyDescent="0.25">
      <c r="A64" t="s">
        <v>122</v>
      </c>
      <c r="B64" s="49">
        <v>8</v>
      </c>
      <c r="C64" s="51">
        <v>44366</v>
      </c>
      <c r="D64" s="52" t="s">
        <v>1696</v>
      </c>
      <c r="E64" s="52" t="s">
        <v>1697</v>
      </c>
      <c r="F64" s="52" t="s">
        <v>120</v>
      </c>
      <c r="G64" s="53">
        <v>43473</v>
      </c>
      <c r="H64" s="52" t="s">
        <v>55</v>
      </c>
    </row>
    <row r="65" spans="1:15" x14ac:dyDescent="0.25">
      <c r="A65" t="s">
        <v>122</v>
      </c>
      <c r="B65" s="49">
        <v>8</v>
      </c>
      <c r="C65" s="51">
        <v>757010.8</v>
      </c>
      <c r="D65" s="52" t="s">
        <v>170</v>
      </c>
      <c r="E65" s="52" t="s">
        <v>171</v>
      </c>
      <c r="F65" s="52" t="s">
        <v>73</v>
      </c>
      <c r="G65" s="53">
        <v>43472</v>
      </c>
      <c r="H65" s="52" t="s">
        <v>55</v>
      </c>
    </row>
    <row r="66" spans="1:15" x14ac:dyDescent="0.25">
      <c r="A66" t="s">
        <v>122</v>
      </c>
      <c r="B66" s="49">
        <v>8</v>
      </c>
      <c r="C66" s="51">
        <f>23213.36*G66</f>
        <v>449410.6496</v>
      </c>
      <c r="D66" s="52" t="s">
        <v>1667</v>
      </c>
      <c r="E66" s="52" t="s">
        <v>1668</v>
      </c>
      <c r="F66" s="52" t="s">
        <v>1669</v>
      </c>
      <c r="G66" s="58">
        <v>19.36</v>
      </c>
      <c r="H66" s="52">
        <v>30.54</v>
      </c>
      <c r="I66" s="53">
        <v>43473</v>
      </c>
      <c r="J66" s="52" t="s">
        <v>62</v>
      </c>
    </row>
    <row r="67" spans="1:15" x14ac:dyDescent="0.25">
      <c r="A67" t="s">
        <v>43</v>
      </c>
      <c r="B67" s="49">
        <v>9</v>
      </c>
      <c r="C67" s="54">
        <f>22000*G67</f>
        <v>426161.99999999994</v>
      </c>
      <c r="D67" s="55" t="s">
        <v>1663</v>
      </c>
      <c r="E67" s="55" t="s">
        <v>1840</v>
      </c>
      <c r="F67" s="55" t="s">
        <v>1659</v>
      </c>
      <c r="G67" s="56">
        <v>19.370999999999999</v>
      </c>
      <c r="H67" s="55">
        <v>32.049999999999997</v>
      </c>
      <c r="I67" s="57">
        <v>43474</v>
      </c>
      <c r="J67" s="55" t="s">
        <v>62</v>
      </c>
    </row>
    <row r="68" spans="1:15" x14ac:dyDescent="0.25">
      <c r="A68" t="s">
        <v>43</v>
      </c>
      <c r="B68" s="49">
        <v>9</v>
      </c>
      <c r="C68" s="54">
        <f>22000*G68</f>
        <v>426161.99999999994</v>
      </c>
      <c r="D68" s="55" t="s">
        <v>1664</v>
      </c>
      <c r="E68" s="55" t="s">
        <v>1841</v>
      </c>
      <c r="F68" s="55" t="s">
        <v>1659</v>
      </c>
      <c r="G68" s="56">
        <v>19.370999999999999</v>
      </c>
      <c r="H68" s="55">
        <v>32.14</v>
      </c>
      <c r="I68" s="57">
        <v>43474</v>
      </c>
      <c r="J68" s="55" t="s">
        <v>62</v>
      </c>
    </row>
    <row r="69" spans="1:15" x14ac:dyDescent="0.25">
      <c r="A69" t="s">
        <v>43</v>
      </c>
      <c r="B69" s="49">
        <v>9</v>
      </c>
      <c r="C69" s="51">
        <f>711760+18290.88</f>
        <v>730050.88</v>
      </c>
      <c r="D69" s="52" t="s">
        <v>172</v>
      </c>
      <c r="E69" s="52" t="s">
        <v>173</v>
      </c>
      <c r="F69" s="52" t="s">
        <v>52</v>
      </c>
      <c r="G69" s="53">
        <v>43465</v>
      </c>
      <c r="H69" s="52" t="s">
        <v>55</v>
      </c>
    </row>
    <row r="70" spans="1:15" x14ac:dyDescent="0.25">
      <c r="A70" t="s">
        <v>43</v>
      </c>
      <c r="B70" s="49">
        <v>9</v>
      </c>
      <c r="C70" s="51">
        <f>353640+9187.2</f>
        <v>362827.2</v>
      </c>
      <c r="D70" s="52" t="s">
        <v>174</v>
      </c>
      <c r="E70" s="52" t="s">
        <v>175</v>
      </c>
      <c r="F70" s="52" t="s">
        <v>52</v>
      </c>
      <c r="G70" s="53">
        <v>43473</v>
      </c>
      <c r="H70" s="52" t="s">
        <v>55</v>
      </c>
    </row>
    <row r="71" spans="1:15" x14ac:dyDescent="0.25">
      <c r="A71" t="s">
        <v>59</v>
      </c>
      <c r="B71" s="49">
        <v>10</v>
      </c>
      <c r="C71" s="54">
        <f>24000*G71</f>
        <v>462264</v>
      </c>
      <c r="D71" s="55" t="s">
        <v>1661</v>
      </c>
      <c r="E71" s="55" t="s">
        <v>1849</v>
      </c>
      <c r="F71" s="55" t="s">
        <v>1660</v>
      </c>
      <c r="G71" s="56">
        <v>19.260999999999999</v>
      </c>
      <c r="H71" s="55">
        <v>32.47</v>
      </c>
      <c r="I71" s="57">
        <v>43475</v>
      </c>
      <c r="J71" s="55" t="s">
        <v>62</v>
      </c>
    </row>
    <row r="72" spans="1:15" x14ac:dyDescent="0.25">
      <c r="A72" t="s">
        <v>59</v>
      </c>
      <c r="B72" s="49">
        <v>10</v>
      </c>
      <c r="C72" s="51">
        <f>22233.16*G72</f>
        <v>428321.82740000001</v>
      </c>
      <c r="D72" s="52" t="s">
        <v>1670</v>
      </c>
      <c r="E72" s="52" t="s">
        <v>1681</v>
      </c>
      <c r="F72" s="52" t="s">
        <v>1689</v>
      </c>
      <c r="G72" s="58">
        <v>19.265000000000001</v>
      </c>
      <c r="H72" s="52">
        <v>29.95</v>
      </c>
      <c r="I72" s="53">
        <v>43475</v>
      </c>
      <c r="J72" s="52" t="s">
        <v>62</v>
      </c>
      <c r="K72" s="55" t="s">
        <v>1705</v>
      </c>
      <c r="L72" s="55"/>
      <c r="M72" s="55"/>
      <c r="N72" s="55"/>
      <c r="O72" s="55"/>
    </row>
    <row r="73" spans="1:15" x14ac:dyDescent="0.25">
      <c r="A73" t="s">
        <v>59</v>
      </c>
      <c r="B73" s="49">
        <v>10</v>
      </c>
      <c r="C73" s="51">
        <f>728840+19126.08</f>
        <v>747966.08</v>
      </c>
      <c r="D73" s="52" t="s">
        <v>176</v>
      </c>
      <c r="E73" s="52" t="s">
        <v>177</v>
      </c>
      <c r="F73" s="52" t="s">
        <v>52</v>
      </c>
      <c r="G73" s="53">
        <v>43473</v>
      </c>
      <c r="H73" s="52" t="s">
        <v>55</v>
      </c>
    </row>
    <row r="74" spans="1:15" x14ac:dyDescent="0.25">
      <c r="A74" t="s">
        <v>59</v>
      </c>
      <c r="B74" s="49">
        <v>10</v>
      </c>
      <c r="C74" s="51">
        <f>62720+1670.4</f>
        <v>64390.400000000001</v>
      </c>
      <c r="D74" s="52" t="s">
        <v>178</v>
      </c>
      <c r="E74" s="52" t="s">
        <v>179</v>
      </c>
      <c r="F74" s="52" t="s">
        <v>52</v>
      </c>
      <c r="G74" s="53">
        <v>43473</v>
      </c>
      <c r="H74" s="52" t="s">
        <v>55</v>
      </c>
    </row>
    <row r="75" spans="1:15" x14ac:dyDescent="0.25">
      <c r="A75" t="s">
        <v>70</v>
      </c>
      <c r="B75" s="49">
        <v>11</v>
      </c>
      <c r="C75" s="51">
        <f>742840+18374.4</f>
        <v>761214.4</v>
      </c>
      <c r="D75" s="52" t="s">
        <v>180</v>
      </c>
      <c r="E75" s="52" t="s">
        <v>181</v>
      </c>
      <c r="F75" s="52" t="s">
        <v>52</v>
      </c>
      <c r="G75" s="53">
        <v>43474</v>
      </c>
      <c r="H75" s="52" t="s">
        <v>55</v>
      </c>
    </row>
    <row r="76" spans="1:15" x14ac:dyDescent="0.25">
      <c r="A76" t="s">
        <v>70</v>
      </c>
      <c r="B76" s="49">
        <v>11</v>
      </c>
      <c r="C76" s="51">
        <f>190120+4320</f>
        <v>194440</v>
      </c>
      <c r="D76" s="52" t="s">
        <v>182</v>
      </c>
      <c r="E76" s="52" t="s">
        <v>183</v>
      </c>
      <c r="F76" s="52" t="s">
        <v>52</v>
      </c>
      <c r="G76" s="53">
        <v>43475</v>
      </c>
      <c r="H76" s="52" t="s">
        <v>55</v>
      </c>
    </row>
    <row r="77" spans="1:15" x14ac:dyDescent="0.25">
      <c r="A77" t="s">
        <v>70</v>
      </c>
      <c r="B77" s="49">
        <v>11</v>
      </c>
      <c r="C77" s="51">
        <f>688940+18374.4-3136</f>
        <v>704178.4</v>
      </c>
      <c r="D77" s="52" t="s">
        <v>184</v>
      </c>
      <c r="E77" s="52" t="s">
        <v>185</v>
      </c>
      <c r="F77" s="52" t="s">
        <v>52</v>
      </c>
      <c r="G77" s="53">
        <v>43479</v>
      </c>
      <c r="H77" s="52" t="s">
        <v>55</v>
      </c>
      <c r="I77" s="62"/>
    </row>
    <row r="78" spans="1:15" x14ac:dyDescent="0.25">
      <c r="A78" t="s">
        <v>70</v>
      </c>
      <c r="B78" s="49">
        <v>11</v>
      </c>
      <c r="C78" s="51">
        <v>733077.36</v>
      </c>
      <c r="D78" s="52" t="s">
        <v>1707</v>
      </c>
      <c r="E78" s="52" t="s">
        <v>1706</v>
      </c>
      <c r="F78" s="52" t="s">
        <v>73</v>
      </c>
      <c r="G78" s="53">
        <v>43475</v>
      </c>
      <c r="H78" s="52" t="s">
        <v>55</v>
      </c>
      <c r="I78" s="62"/>
    </row>
    <row r="79" spans="1:15" x14ac:dyDescent="0.25">
      <c r="A79" t="s">
        <v>70</v>
      </c>
      <c r="B79" s="49">
        <v>11</v>
      </c>
      <c r="C79" s="51">
        <f>22756.95*G79</f>
        <v>436592.08574999997</v>
      </c>
      <c r="D79" s="52" t="s">
        <v>1710</v>
      </c>
      <c r="E79" s="52" t="s">
        <v>1711</v>
      </c>
      <c r="F79" s="52" t="s">
        <v>1712</v>
      </c>
      <c r="G79" s="58">
        <v>19.184999999999999</v>
      </c>
      <c r="H79" s="52">
        <v>29.43</v>
      </c>
      <c r="I79" s="53">
        <v>43476</v>
      </c>
      <c r="J79" s="52" t="s">
        <v>62</v>
      </c>
    </row>
    <row r="80" spans="1:15" x14ac:dyDescent="0.25">
      <c r="A80" s="37" t="s">
        <v>89</v>
      </c>
      <c r="B80" s="49">
        <v>12</v>
      </c>
    </row>
    <row r="81" spans="1:10" x14ac:dyDescent="0.25">
      <c r="A81" s="37" t="s">
        <v>90</v>
      </c>
      <c r="B81" s="49">
        <v>13</v>
      </c>
    </row>
    <row r="82" spans="1:10" x14ac:dyDescent="0.25">
      <c r="A82" t="s">
        <v>91</v>
      </c>
      <c r="B82" s="49">
        <v>14</v>
      </c>
      <c r="C82" s="54">
        <f>26000*G82</f>
        <v>525200</v>
      </c>
      <c r="D82" s="55" t="s">
        <v>1662</v>
      </c>
      <c r="E82" s="55" t="s">
        <v>1870</v>
      </c>
      <c r="F82" s="55" t="s">
        <v>1764</v>
      </c>
      <c r="G82" s="56">
        <v>20.2</v>
      </c>
      <c r="H82" s="55">
        <v>33.090000000000003</v>
      </c>
      <c r="I82" s="57">
        <v>43479</v>
      </c>
      <c r="J82" s="55" t="s">
        <v>62</v>
      </c>
    </row>
    <row r="83" spans="1:10" x14ac:dyDescent="0.25">
      <c r="A83" t="s">
        <v>91</v>
      </c>
      <c r="B83" s="49">
        <v>14</v>
      </c>
      <c r="C83" s="51">
        <f>23304.69*G83</f>
        <v>447217.00109999999</v>
      </c>
      <c r="D83" s="52" t="s">
        <v>1761</v>
      </c>
      <c r="E83" s="52" t="s">
        <v>1762</v>
      </c>
      <c r="F83" s="52" t="s">
        <v>1763</v>
      </c>
      <c r="G83" s="58">
        <v>19.190000000000001</v>
      </c>
      <c r="H83" s="52">
        <v>29.97</v>
      </c>
      <c r="I83" s="53">
        <v>43479</v>
      </c>
      <c r="J83" s="52" t="s">
        <v>62</v>
      </c>
    </row>
    <row r="84" spans="1:10" x14ac:dyDescent="0.25">
      <c r="A84" t="s">
        <v>91</v>
      </c>
      <c r="B84" s="49">
        <v>14</v>
      </c>
      <c r="C84" s="51">
        <f>777980+19209.6</f>
        <v>797189.6</v>
      </c>
      <c r="D84" s="52" t="s">
        <v>187</v>
      </c>
      <c r="E84" s="52" t="s">
        <v>188</v>
      </c>
      <c r="F84" s="52" t="s">
        <v>52</v>
      </c>
      <c r="G84" s="53">
        <v>43476</v>
      </c>
      <c r="H84" s="52" t="s">
        <v>55</v>
      </c>
    </row>
    <row r="85" spans="1:10" x14ac:dyDescent="0.25">
      <c r="A85" t="s">
        <v>91</v>
      </c>
      <c r="B85" s="49">
        <v>14</v>
      </c>
      <c r="C85" s="51">
        <f>661920+18374.4</f>
        <v>680294.40000000002</v>
      </c>
      <c r="D85" s="52" t="s">
        <v>189</v>
      </c>
      <c r="E85" s="52" t="s">
        <v>190</v>
      </c>
      <c r="F85" s="52" t="s">
        <v>52</v>
      </c>
      <c r="G85" s="53">
        <v>43479</v>
      </c>
      <c r="H85" s="52" t="s">
        <v>55</v>
      </c>
    </row>
    <row r="86" spans="1:10" x14ac:dyDescent="0.25">
      <c r="A86" t="s">
        <v>91</v>
      </c>
      <c r="B86" s="49">
        <v>14</v>
      </c>
      <c r="C86" s="51">
        <f>625240+18290.88</f>
        <v>643530.88</v>
      </c>
      <c r="D86" s="52" t="s">
        <v>191</v>
      </c>
      <c r="E86" s="52" t="s">
        <v>192</v>
      </c>
      <c r="F86" s="52" t="s">
        <v>52</v>
      </c>
      <c r="G86" s="53">
        <v>43480</v>
      </c>
      <c r="H86" s="52" t="s">
        <v>55</v>
      </c>
    </row>
    <row r="87" spans="1:10" x14ac:dyDescent="0.25">
      <c r="A87" t="s">
        <v>91</v>
      </c>
      <c r="B87" s="49">
        <v>14</v>
      </c>
      <c r="C87" s="51">
        <f>541100+13363.2</f>
        <v>554463.19999999995</v>
      </c>
      <c r="D87" s="52" t="s">
        <v>193</v>
      </c>
      <c r="E87" s="52" t="s">
        <v>194</v>
      </c>
      <c r="F87" s="52" t="s">
        <v>52</v>
      </c>
      <c r="G87" s="53">
        <v>43480</v>
      </c>
      <c r="H87" s="52" t="s">
        <v>55</v>
      </c>
    </row>
    <row r="88" spans="1:10" x14ac:dyDescent="0.25">
      <c r="A88" t="s">
        <v>122</v>
      </c>
      <c r="B88" s="49">
        <v>15</v>
      </c>
      <c r="C88" s="51">
        <f>24705.05*G88</f>
        <v>470977.07319999998</v>
      </c>
      <c r="D88" s="52" t="s">
        <v>1822</v>
      </c>
      <c r="E88" s="52" t="s">
        <v>1827</v>
      </c>
      <c r="F88" s="52" t="s">
        <v>1828</v>
      </c>
      <c r="G88" s="58">
        <v>19.064</v>
      </c>
      <c r="H88" s="52">
        <v>32.200000000000003</v>
      </c>
      <c r="I88" s="53">
        <v>43480</v>
      </c>
      <c r="J88" s="52" t="s">
        <v>62</v>
      </c>
    </row>
    <row r="89" spans="1:10" x14ac:dyDescent="0.25">
      <c r="A89" t="s">
        <v>122</v>
      </c>
      <c r="B89" s="49">
        <v>15</v>
      </c>
      <c r="C89" s="51">
        <v>17173.8</v>
      </c>
      <c r="D89" s="52" t="s">
        <v>1809</v>
      </c>
      <c r="E89" s="52" t="s">
        <v>1808</v>
      </c>
      <c r="F89" s="52" t="s">
        <v>87</v>
      </c>
      <c r="G89" s="52">
        <v>18.8</v>
      </c>
      <c r="H89" s="53">
        <v>43481</v>
      </c>
      <c r="I89" s="52" t="s">
        <v>62</v>
      </c>
    </row>
    <row r="90" spans="1:10" x14ac:dyDescent="0.25">
      <c r="A90" t="s">
        <v>122</v>
      </c>
      <c r="B90" s="49">
        <v>15</v>
      </c>
      <c r="C90" s="51">
        <v>104601.60000000001</v>
      </c>
      <c r="D90" s="52" t="s">
        <v>1813</v>
      </c>
      <c r="E90" s="52" t="s">
        <v>1812</v>
      </c>
      <c r="F90" s="52" t="s">
        <v>1798</v>
      </c>
      <c r="G90" s="52">
        <v>64</v>
      </c>
      <c r="H90" s="53">
        <v>43481</v>
      </c>
      <c r="I90" s="52" t="s">
        <v>62</v>
      </c>
    </row>
    <row r="91" spans="1:10" x14ac:dyDescent="0.25">
      <c r="A91" t="s">
        <v>122</v>
      </c>
      <c r="B91" s="49">
        <v>16</v>
      </c>
      <c r="C91" s="51">
        <v>108572.94</v>
      </c>
      <c r="D91" s="52" t="s">
        <v>1793</v>
      </c>
      <c r="E91" s="52" t="s">
        <v>1792</v>
      </c>
      <c r="F91" s="52" t="s">
        <v>1794</v>
      </c>
      <c r="G91" s="52">
        <v>54</v>
      </c>
      <c r="H91" s="53">
        <v>43481</v>
      </c>
      <c r="I91" s="52" t="s">
        <v>62</v>
      </c>
    </row>
    <row r="92" spans="1:10" x14ac:dyDescent="0.25">
      <c r="A92" t="s">
        <v>43</v>
      </c>
      <c r="B92" s="49">
        <v>16</v>
      </c>
      <c r="C92" s="54">
        <f t="shared" ref="C92:C93" si="0">26000*G92</f>
        <v>496600.00000000006</v>
      </c>
      <c r="D92" s="55" t="s">
        <v>1818</v>
      </c>
      <c r="E92" s="55" t="s">
        <v>1933</v>
      </c>
      <c r="F92" s="55" t="s">
        <v>1764</v>
      </c>
      <c r="G92" s="56">
        <v>19.100000000000001</v>
      </c>
      <c r="H92" s="55">
        <v>33.24</v>
      </c>
      <c r="I92" s="57">
        <v>43481</v>
      </c>
      <c r="J92" s="55" t="s">
        <v>62</v>
      </c>
    </row>
    <row r="93" spans="1:10" x14ac:dyDescent="0.25">
      <c r="A93" t="s">
        <v>43</v>
      </c>
      <c r="B93" s="49">
        <v>16</v>
      </c>
      <c r="C93" s="54">
        <f t="shared" si="0"/>
        <v>496600.00000000006</v>
      </c>
      <c r="D93" s="55" t="s">
        <v>1819</v>
      </c>
      <c r="E93" s="55" t="s">
        <v>1932</v>
      </c>
      <c r="F93" s="55" t="s">
        <v>1764</v>
      </c>
      <c r="G93" s="56">
        <v>19.100000000000001</v>
      </c>
      <c r="H93" s="55">
        <v>33.1</v>
      </c>
      <c r="I93" s="57">
        <v>43481</v>
      </c>
      <c r="J93" s="55" t="s">
        <v>62</v>
      </c>
    </row>
    <row r="94" spans="1:10" x14ac:dyDescent="0.25">
      <c r="A94" t="s">
        <v>43</v>
      </c>
      <c r="B94" s="49">
        <v>16</v>
      </c>
      <c r="C94" s="51">
        <v>54291.95</v>
      </c>
      <c r="D94" s="52" t="s">
        <v>1817</v>
      </c>
      <c r="E94" s="52" t="s">
        <v>1816</v>
      </c>
      <c r="F94" s="52" t="s">
        <v>87</v>
      </c>
      <c r="G94" s="52">
        <v>18.5</v>
      </c>
      <c r="H94" s="53">
        <v>43481</v>
      </c>
      <c r="I94" s="52" t="s">
        <v>62</v>
      </c>
    </row>
    <row r="95" spans="1:10" x14ac:dyDescent="0.25">
      <c r="A95" t="s">
        <v>43</v>
      </c>
      <c r="B95" s="49">
        <v>16</v>
      </c>
      <c r="C95" s="51">
        <f>737660+19126.08-6440</f>
        <v>750346.08</v>
      </c>
      <c r="D95" s="52" t="s">
        <v>1766</v>
      </c>
      <c r="E95" s="52" t="s">
        <v>1637</v>
      </c>
      <c r="F95" s="52" t="s">
        <v>52</v>
      </c>
      <c r="G95" s="53">
        <v>43480</v>
      </c>
      <c r="H95" s="52" t="s">
        <v>55</v>
      </c>
    </row>
    <row r="96" spans="1:10" x14ac:dyDescent="0.25">
      <c r="A96" t="s">
        <v>43</v>
      </c>
      <c r="B96" s="49">
        <v>16</v>
      </c>
      <c r="C96" s="51">
        <f>323260+8352</f>
        <v>331612</v>
      </c>
      <c r="D96" s="52" t="s">
        <v>1767</v>
      </c>
      <c r="E96" s="52" t="s">
        <v>1638</v>
      </c>
      <c r="F96" s="52" t="s">
        <v>52</v>
      </c>
      <c r="G96" s="53">
        <v>43481</v>
      </c>
      <c r="H96" s="52" t="s">
        <v>55</v>
      </c>
    </row>
    <row r="97" spans="1:10" x14ac:dyDescent="0.25">
      <c r="A97" t="s">
        <v>59</v>
      </c>
      <c r="B97" s="49">
        <v>17</v>
      </c>
      <c r="C97" s="54">
        <f>26500*G97</f>
        <v>503659</v>
      </c>
      <c r="D97" s="55" t="s">
        <v>1820</v>
      </c>
      <c r="E97" s="55" t="s">
        <v>1945</v>
      </c>
      <c r="F97" s="55" t="s">
        <v>1851</v>
      </c>
      <c r="G97" s="56">
        <v>19.006</v>
      </c>
      <c r="H97" s="55">
        <v>33.79</v>
      </c>
      <c r="I97" s="57">
        <v>43482</v>
      </c>
      <c r="J97" s="55" t="s">
        <v>62</v>
      </c>
    </row>
    <row r="98" spans="1:10" x14ac:dyDescent="0.25">
      <c r="A98" t="s">
        <v>59</v>
      </c>
      <c r="B98" s="49">
        <v>17</v>
      </c>
      <c r="C98" s="51">
        <f>24263.27*G98</f>
        <v>461632.97502000001</v>
      </c>
      <c r="D98" s="52" t="s">
        <v>1824</v>
      </c>
      <c r="E98" s="52" t="s">
        <v>1825</v>
      </c>
      <c r="F98" s="52" t="s">
        <v>1826</v>
      </c>
      <c r="G98" s="58">
        <v>19.026</v>
      </c>
      <c r="H98" s="52">
        <v>31.74</v>
      </c>
      <c r="I98" s="53">
        <v>43482</v>
      </c>
      <c r="J98" s="52" t="s">
        <v>62</v>
      </c>
    </row>
    <row r="99" spans="1:10" x14ac:dyDescent="0.25">
      <c r="A99" t="s">
        <v>59</v>
      </c>
      <c r="B99" s="49">
        <v>17</v>
      </c>
      <c r="C99" s="51">
        <v>327320.5</v>
      </c>
      <c r="D99" s="52" t="s">
        <v>1797</v>
      </c>
      <c r="E99" s="52" t="s">
        <v>1796</v>
      </c>
      <c r="F99" s="52" t="s">
        <v>1798</v>
      </c>
      <c r="G99" s="52">
        <v>65</v>
      </c>
      <c r="H99" s="52">
        <v>18.5</v>
      </c>
      <c r="I99" s="53">
        <v>43481</v>
      </c>
    </row>
    <row r="100" spans="1:10" x14ac:dyDescent="0.25">
      <c r="A100" t="s">
        <v>59</v>
      </c>
      <c r="B100" s="49">
        <v>17</v>
      </c>
      <c r="C100" s="51">
        <f>385420+10022.4</f>
        <v>395442.4</v>
      </c>
      <c r="D100" s="52" t="s">
        <v>1768</v>
      </c>
      <c r="E100" s="52" t="s">
        <v>1769</v>
      </c>
      <c r="F100" s="52" t="s">
        <v>52</v>
      </c>
      <c r="G100" s="53">
        <v>43481</v>
      </c>
      <c r="H100" s="52" t="s">
        <v>55</v>
      </c>
    </row>
    <row r="101" spans="1:10" x14ac:dyDescent="0.25">
      <c r="A101" t="s">
        <v>59</v>
      </c>
      <c r="B101" s="49">
        <v>17</v>
      </c>
      <c r="C101" s="51">
        <f>32060+835.2</f>
        <v>32895.199999999997</v>
      </c>
      <c r="D101" s="52" t="s">
        <v>1771</v>
      </c>
      <c r="E101" s="52" t="s">
        <v>1770</v>
      </c>
      <c r="F101" s="52" t="s">
        <v>52</v>
      </c>
      <c r="G101" s="53">
        <v>43482</v>
      </c>
      <c r="H101" s="52" t="s">
        <v>55</v>
      </c>
    </row>
    <row r="102" spans="1:10" x14ac:dyDescent="0.25">
      <c r="A102" t="s">
        <v>59</v>
      </c>
      <c r="B102" s="49">
        <v>17</v>
      </c>
      <c r="C102" s="51">
        <v>45542</v>
      </c>
      <c r="D102" s="52" t="s">
        <v>1864</v>
      </c>
      <c r="E102" s="52" t="s">
        <v>1865</v>
      </c>
      <c r="F102" s="52" t="s">
        <v>120</v>
      </c>
      <c r="G102" s="52">
        <v>70</v>
      </c>
      <c r="H102" s="53">
        <v>43482</v>
      </c>
    </row>
    <row r="103" spans="1:10" x14ac:dyDescent="0.25">
      <c r="A103" t="s">
        <v>70</v>
      </c>
      <c r="B103" s="49">
        <v>18</v>
      </c>
      <c r="C103" s="51">
        <f>23717.5*G103</f>
        <v>450395.32499999995</v>
      </c>
      <c r="D103" s="52" t="s">
        <v>1821</v>
      </c>
      <c r="E103" s="52" t="s">
        <v>1852</v>
      </c>
      <c r="F103" s="133" t="s">
        <v>1853</v>
      </c>
      <c r="G103" s="58">
        <v>18.989999999999998</v>
      </c>
      <c r="H103" s="52">
        <v>32.049999999999997</v>
      </c>
      <c r="I103" s="53">
        <v>43483</v>
      </c>
      <c r="J103" s="52" t="s">
        <v>62</v>
      </c>
    </row>
    <row r="104" spans="1:10" x14ac:dyDescent="0.25">
      <c r="A104" t="s">
        <v>70</v>
      </c>
      <c r="B104" s="49">
        <v>18</v>
      </c>
      <c r="C104" s="51">
        <f>19660*34.9</f>
        <v>686134</v>
      </c>
      <c r="D104" s="52" t="s">
        <v>1787</v>
      </c>
      <c r="E104" s="52" t="s">
        <v>1869</v>
      </c>
      <c r="F104" s="52" t="s">
        <v>73</v>
      </c>
      <c r="G104" s="53">
        <v>43483</v>
      </c>
      <c r="H104" s="52" t="s">
        <v>55</v>
      </c>
    </row>
    <row r="105" spans="1:10" x14ac:dyDescent="0.25">
      <c r="A105" s="37" t="s">
        <v>89</v>
      </c>
      <c r="B105" s="49">
        <v>19</v>
      </c>
    </row>
    <row r="106" spans="1:10" x14ac:dyDescent="0.25">
      <c r="A106" s="37" t="s">
        <v>90</v>
      </c>
      <c r="B106" s="49">
        <v>20</v>
      </c>
    </row>
    <row r="107" spans="1:10" x14ac:dyDescent="0.25">
      <c r="A107" t="s">
        <v>91</v>
      </c>
      <c r="B107" s="49">
        <v>21</v>
      </c>
      <c r="C107" s="54">
        <f>26500*G107</f>
        <v>502917.00000000006</v>
      </c>
      <c r="D107" s="55" t="s">
        <v>1863</v>
      </c>
      <c r="E107" s="55" t="s">
        <v>1954</v>
      </c>
      <c r="F107" s="55" t="s">
        <v>1851</v>
      </c>
      <c r="G107" s="56">
        <v>18.978000000000002</v>
      </c>
      <c r="H107" s="55">
        <v>32.79</v>
      </c>
      <c r="I107" s="57">
        <v>43487</v>
      </c>
      <c r="J107" s="55" t="s">
        <v>62</v>
      </c>
    </row>
    <row r="108" spans="1:10" x14ac:dyDescent="0.25">
      <c r="A108" t="s">
        <v>91</v>
      </c>
      <c r="B108" s="49">
        <v>21</v>
      </c>
      <c r="C108" s="51">
        <f>24883.76*G108</f>
        <v>472243.99728000001</v>
      </c>
      <c r="D108" s="52" t="s">
        <v>1823</v>
      </c>
      <c r="E108" s="52" t="s">
        <v>1842</v>
      </c>
      <c r="F108" s="52" t="s">
        <v>1843</v>
      </c>
      <c r="G108" s="58">
        <v>18.978000000000002</v>
      </c>
      <c r="H108" s="52">
        <v>31.65</v>
      </c>
      <c r="I108" s="53">
        <v>43487</v>
      </c>
      <c r="J108" s="52" t="s">
        <v>62</v>
      </c>
    </row>
    <row r="109" spans="1:10" x14ac:dyDescent="0.25">
      <c r="A109" t="s">
        <v>91</v>
      </c>
      <c r="B109" s="49">
        <v>21</v>
      </c>
      <c r="C109" s="51">
        <f>684320+19209.6</f>
        <v>703529.6</v>
      </c>
      <c r="D109" s="52" t="s">
        <v>1773</v>
      </c>
      <c r="E109" s="52" t="s">
        <v>1774</v>
      </c>
      <c r="F109" s="52" t="s">
        <v>52</v>
      </c>
      <c r="G109" s="53">
        <v>43483</v>
      </c>
      <c r="H109" s="52" t="s">
        <v>55</v>
      </c>
    </row>
    <row r="110" spans="1:10" x14ac:dyDescent="0.25">
      <c r="A110" t="s">
        <v>91</v>
      </c>
      <c r="B110" s="49">
        <v>21</v>
      </c>
      <c r="C110" s="51">
        <f>301840+8352</f>
        <v>310192</v>
      </c>
      <c r="D110" s="52" t="s">
        <v>1776</v>
      </c>
      <c r="E110" s="52" t="s">
        <v>1775</v>
      </c>
      <c r="F110" s="52" t="s">
        <v>52</v>
      </c>
      <c r="G110" s="53">
        <v>43486</v>
      </c>
      <c r="H110" s="52" t="s">
        <v>55</v>
      </c>
    </row>
    <row r="111" spans="1:10" x14ac:dyDescent="0.25">
      <c r="A111" t="s">
        <v>91</v>
      </c>
      <c r="B111" s="49">
        <v>21</v>
      </c>
      <c r="C111" s="51">
        <f>700700+18374.4</f>
        <v>719074.4</v>
      </c>
      <c r="D111" s="52" t="s">
        <v>1777</v>
      </c>
      <c r="E111" s="52" t="s">
        <v>1686</v>
      </c>
      <c r="F111" s="52" t="s">
        <v>52</v>
      </c>
      <c r="G111" s="53">
        <v>43486</v>
      </c>
      <c r="H111" s="52" t="s">
        <v>55</v>
      </c>
    </row>
    <row r="112" spans="1:10" x14ac:dyDescent="0.25">
      <c r="A112" t="s">
        <v>91</v>
      </c>
      <c r="B112" s="49">
        <v>21</v>
      </c>
      <c r="C112" s="51">
        <v>88695.88</v>
      </c>
      <c r="D112" s="52" t="s">
        <v>1916</v>
      </c>
      <c r="E112" s="52" t="s">
        <v>1911</v>
      </c>
      <c r="F112" s="52" t="s">
        <v>87</v>
      </c>
      <c r="G112" s="52">
        <v>18.2</v>
      </c>
      <c r="H112" s="53">
        <v>43486</v>
      </c>
      <c r="I112" s="52" t="s">
        <v>62</v>
      </c>
    </row>
    <row r="113" spans="1:10" x14ac:dyDescent="0.25">
      <c r="A113" t="s">
        <v>91</v>
      </c>
      <c r="B113" s="49">
        <v>21</v>
      </c>
      <c r="C113" s="51">
        <v>51352</v>
      </c>
      <c r="D113" s="52" t="s">
        <v>1927</v>
      </c>
      <c r="E113" s="52" t="s">
        <v>1928</v>
      </c>
      <c r="F113" s="52" t="s">
        <v>120</v>
      </c>
      <c r="G113" s="51">
        <v>70</v>
      </c>
      <c r="H113" s="53">
        <v>43486</v>
      </c>
      <c r="I113" s="52" t="s">
        <v>1929</v>
      </c>
    </row>
    <row r="114" spans="1:10" x14ac:dyDescent="0.25">
      <c r="A114" t="s">
        <v>122</v>
      </c>
      <c r="B114" s="49">
        <v>22</v>
      </c>
      <c r="C114" s="51">
        <v>62048</v>
      </c>
      <c r="D114" s="52" t="s">
        <v>1934</v>
      </c>
      <c r="E114" s="52" t="s">
        <v>1935</v>
      </c>
      <c r="F114" s="52" t="s">
        <v>120</v>
      </c>
      <c r="G114" s="51">
        <v>70</v>
      </c>
      <c r="H114" s="53">
        <v>43487</v>
      </c>
      <c r="I114" s="52" t="s">
        <v>55</v>
      </c>
    </row>
    <row r="115" spans="1:10" x14ac:dyDescent="0.25">
      <c r="A115" t="s">
        <v>122</v>
      </c>
      <c r="B115" s="49">
        <v>22</v>
      </c>
      <c r="C115" s="51">
        <f>25913.39*G115</f>
        <v>498314.48969999998</v>
      </c>
      <c r="D115" s="52" t="s">
        <v>1900</v>
      </c>
      <c r="E115" s="52" t="s">
        <v>1905</v>
      </c>
      <c r="F115" s="52" t="s">
        <v>1906</v>
      </c>
      <c r="G115" s="58">
        <v>19.23</v>
      </c>
      <c r="H115" s="52">
        <v>33.79</v>
      </c>
      <c r="I115" s="53">
        <v>43487</v>
      </c>
      <c r="J115" s="52" t="s">
        <v>62</v>
      </c>
    </row>
    <row r="116" spans="1:10" x14ac:dyDescent="0.25">
      <c r="A116" t="s">
        <v>122</v>
      </c>
      <c r="B116" s="49">
        <v>22</v>
      </c>
      <c r="C116" s="51">
        <f>672420+18374.4</f>
        <v>690794.4</v>
      </c>
      <c r="D116" s="52" t="s">
        <v>1778</v>
      </c>
      <c r="E116" s="52" t="s">
        <v>1698</v>
      </c>
      <c r="F116" s="52" t="s">
        <v>52</v>
      </c>
      <c r="G116" s="53">
        <v>43486</v>
      </c>
      <c r="H116" s="52" t="s">
        <v>55</v>
      </c>
    </row>
    <row r="117" spans="1:10" x14ac:dyDescent="0.25">
      <c r="A117" t="s">
        <v>122</v>
      </c>
      <c r="B117" s="49">
        <v>22</v>
      </c>
      <c r="C117" s="51">
        <f>314875+9187.2</f>
        <v>324062.2</v>
      </c>
      <c r="D117" s="52" t="s">
        <v>1779</v>
      </c>
      <c r="E117" s="52" t="s">
        <v>1780</v>
      </c>
      <c r="F117" s="52" t="s">
        <v>52</v>
      </c>
      <c r="G117" s="53">
        <v>43487</v>
      </c>
      <c r="H117" s="52" t="s">
        <v>55</v>
      </c>
    </row>
    <row r="118" spans="1:10" x14ac:dyDescent="0.25">
      <c r="A118" t="s">
        <v>122</v>
      </c>
      <c r="B118" s="49">
        <v>22</v>
      </c>
      <c r="C118" s="51">
        <f>327937.5+9103.68</f>
        <v>337041.18</v>
      </c>
      <c r="D118" s="52" t="s">
        <v>1779</v>
      </c>
      <c r="E118" s="52" t="s">
        <v>1781</v>
      </c>
      <c r="F118" s="52" t="s">
        <v>52</v>
      </c>
      <c r="G118" s="53">
        <v>43487</v>
      </c>
      <c r="H118" s="52" t="s">
        <v>55</v>
      </c>
    </row>
    <row r="119" spans="1:10" x14ac:dyDescent="0.25">
      <c r="A119" t="s">
        <v>43</v>
      </c>
      <c r="B119" s="49">
        <v>23</v>
      </c>
      <c r="C119" s="54">
        <f>27500*G119</f>
        <v>555500</v>
      </c>
      <c r="D119" s="55" t="s">
        <v>1897</v>
      </c>
      <c r="E119" s="55" t="s">
        <v>2005</v>
      </c>
      <c r="F119" s="55" t="s">
        <v>1902</v>
      </c>
      <c r="G119" s="56">
        <v>20.2</v>
      </c>
      <c r="H119" s="55">
        <v>30.5</v>
      </c>
      <c r="I119" s="57">
        <v>43488</v>
      </c>
      <c r="J119" s="55" t="s">
        <v>62</v>
      </c>
    </row>
    <row r="120" spans="1:10" x14ac:dyDescent="0.25">
      <c r="A120" t="s">
        <v>43</v>
      </c>
      <c r="B120" s="49">
        <v>23</v>
      </c>
      <c r="C120" s="54">
        <f>27500*G120</f>
        <v>555500</v>
      </c>
      <c r="D120" s="55" t="s">
        <v>1993</v>
      </c>
      <c r="E120" s="55" t="s">
        <v>2067</v>
      </c>
      <c r="F120" s="55" t="s">
        <v>1902</v>
      </c>
      <c r="G120" s="56">
        <v>20.2</v>
      </c>
      <c r="H120" s="55">
        <v>30.51</v>
      </c>
      <c r="I120" s="57">
        <v>43488</v>
      </c>
      <c r="J120" s="55" t="s">
        <v>62</v>
      </c>
    </row>
    <row r="121" spans="1:10" x14ac:dyDescent="0.25">
      <c r="A121" t="s">
        <v>43</v>
      </c>
      <c r="B121" s="49">
        <v>23</v>
      </c>
      <c r="C121" s="51">
        <f>644875+16704-3217.5</f>
        <v>658361.5</v>
      </c>
      <c r="D121" s="52" t="s">
        <v>1782</v>
      </c>
      <c r="E121" s="52" t="s">
        <v>1783</v>
      </c>
      <c r="F121" s="52" t="s">
        <v>52</v>
      </c>
      <c r="G121" s="53">
        <v>43489</v>
      </c>
      <c r="H121" s="52" t="s">
        <v>55</v>
      </c>
    </row>
    <row r="122" spans="1:10" x14ac:dyDescent="0.25">
      <c r="A122" t="s">
        <v>43</v>
      </c>
      <c r="B122" s="49">
        <v>23</v>
      </c>
      <c r="C122" s="51">
        <f>354337.5+10857.6</f>
        <v>365195.1</v>
      </c>
      <c r="D122" s="52" t="s">
        <v>1785</v>
      </c>
      <c r="E122" s="52" t="s">
        <v>1784</v>
      </c>
      <c r="F122" s="52" t="s">
        <v>52</v>
      </c>
      <c r="G122" s="53">
        <v>43487</v>
      </c>
      <c r="H122" s="52" t="s">
        <v>55</v>
      </c>
    </row>
    <row r="123" spans="1:10" x14ac:dyDescent="0.25">
      <c r="A123" t="s">
        <v>59</v>
      </c>
      <c r="B123" s="49">
        <v>24</v>
      </c>
      <c r="C123" s="134">
        <f>376200+10857.6</f>
        <v>387057.6</v>
      </c>
      <c r="D123" s="135" t="s">
        <v>1786</v>
      </c>
      <c r="E123" s="135" t="s">
        <v>1722</v>
      </c>
      <c r="F123" s="135" t="s">
        <v>52</v>
      </c>
      <c r="G123" s="136">
        <v>43488</v>
      </c>
      <c r="H123" s="52" t="s">
        <v>55</v>
      </c>
    </row>
    <row r="124" spans="1:10" x14ac:dyDescent="0.25">
      <c r="A124" t="s">
        <v>59</v>
      </c>
      <c r="B124" s="49">
        <v>24</v>
      </c>
      <c r="C124" s="134">
        <v>39746</v>
      </c>
      <c r="D124" s="135" t="s">
        <v>1952</v>
      </c>
      <c r="E124" s="135" t="s">
        <v>1953</v>
      </c>
      <c r="F124" s="135" t="s">
        <v>120</v>
      </c>
      <c r="G124" s="136">
        <v>43489</v>
      </c>
      <c r="H124" s="52" t="s">
        <v>55</v>
      </c>
    </row>
    <row r="125" spans="1:10" x14ac:dyDescent="0.25">
      <c r="A125" t="s">
        <v>59</v>
      </c>
      <c r="B125" s="49">
        <v>24</v>
      </c>
      <c r="C125" s="51">
        <v>243293.76</v>
      </c>
      <c r="D125" s="52" t="s">
        <v>1938</v>
      </c>
      <c r="E125" s="52" t="s">
        <v>1940</v>
      </c>
      <c r="F125" s="52" t="s">
        <v>1794</v>
      </c>
      <c r="G125" s="52">
        <v>54</v>
      </c>
      <c r="H125" s="53">
        <v>43493</v>
      </c>
      <c r="I125" s="52" t="s">
        <v>62</v>
      </c>
    </row>
    <row r="126" spans="1:10" x14ac:dyDescent="0.25">
      <c r="A126" t="s">
        <v>59</v>
      </c>
      <c r="B126" s="49">
        <v>24</v>
      </c>
      <c r="C126" s="54">
        <f>28500*G126</f>
        <v>544777.5</v>
      </c>
      <c r="D126" s="55" t="s">
        <v>1898</v>
      </c>
      <c r="E126" s="55" t="s">
        <v>2038</v>
      </c>
      <c r="F126" s="55" t="s">
        <v>1902</v>
      </c>
      <c r="G126" s="56">
        <v>19.114999999999998</v>
      </c>
      <c r="H126" s="55">
        <v>30.82</v>
      </c>
      <c r="I126" s="57">
        <v>43489</v>
      </c>
      <c r="J126" s="55" t="s">
        <v>62</v>
      </c>
    </row>
    <row r="127" spans="1:10" x14ac:dyDescent="0.25">
      <c r="A127" t="s">
        <v>70</v>
      </c>
      <c r="B127" s="49">
        <v>25</v>
      </c>
      <c r="C127" s="51">
        <f>20778.5*34.4</f>
        <v>714780.4</v>
      </c>
      <c r="D127" s="52" t="s">
        <v>1876</v>
      </c>
      <c r="E127" s="52" t="s">
        <v>1939</v>
      </c>
      <c r="F127" s="52" t="s">
        <v>73</v>
      </c>
      <c r="G127" s="136">
        <v>43488</v>
      </c>
      <c r="H127" s="52" t="s">
        <v>55</v>
      </c>
    </row>
    <row r="128" spans="1:10" x14ac:dyDescent="0.25">
      <c r="A128" t="s">
        <v>70</v>
      </c>
      <c r="B128" s="49">
        <v>25</v>
      </c>
      <c r="C128" s="51">
        <v>29500</v>
      </c>
      <c r="D128" s="52" t="s">
        <v>1917</v>
      </c>
      <c r="E128" s="52" t="s">
        <v>1915</v>
      </c>
      <c r="F128" s="52" t="s">
        <v>1918</v>
      </c>
      <c r="G128" s="52">
        <v>29.5</v>
      </c>
      <c r="H128" s="53">
        <v>43493</v>
      </c>
      <c r="I128" s="52" t="s">
        <v>62</v>
      </c>
    </row>
    <row r="129" spans="1:10" x14ac:dyDescent="0.25">
      <c r="A129" t="s">
        <v>70</v>
      </c>
      <c r="B129" s="49">
        <v>25</v>
      </c>
      <c r="C129" s="51">
        <v>471014.88</v>
      </c>
      <c r="D129" s="52" t="s">
        <v>1922</v>
      </c>
      <c r="E129" s="52" t="s">
        <v>1941</v>
      </c>
      <c r="F129" s="52" t="s">
        <v>1798</v>
      </c>
      <c r="G129" s="52">
        <v>61.8</v>
      </c>
      <c r="H129" s="53">
        <v>43493</v>
      </c>
      <c r="I129" s="52" t="s">
        <v>62</v>
      </c>
    </row>
    <row r="130" spans="1:10" x14ac:dyDescent="0.25">
      <c r="A130" t="s">
        <v>70</v>
      </c>
      <c r="B130" s="49">
        <v>25</v>
      </c>
      <c r="C130" s="51">
        <f>26098.3*G130</f>
        <v>498268.74359999993</v>
      </c>
      <c r="D130" s="52" t="s">
        <v>1903</v>
      </c>
      <c r="E130" s="52" t="s">
        <v>1919</v>
      </c>
      <c r="F130" s="52" t="s">
        <v>1920</v>
      </c>
      <c r="G130" s="58">
        <v>19.091999999999999</v>
      </c>
      <c r="H130" s="52">
        <v>33.18</v>
      </c>
      <c r="I130" s="53">
        <v>43490</v>
      </c>
      <c r="J130" s="52" t="s">
        <v>62</v>
      </c>
    </row>
    <row r="131" spans="1:10" x14ac:dyDescent="0.25">
      <c r="A131" t="s">
        <v>70</v>
      </c>
      <c r="B131" s="49">
        <v>25</v>
      </c>
      <c r="C131" s="51">
        <f>25397.3*G131</f>
        <v>483310.61900000001</v>
      </c>
      <c r="D131" s="52" t="s">
        <v>1901</v>
      </c>
      <c r="E131" s="52" t="s">
        <v>1949</v>
      </c>
      <c r="F131" s="52" t="s">
        <v>1950</v>
      </c>
      <c r="G131" s="58">
        <v>19.03</v>
      </c>
      <c r="H131" s="52">
        <v>33.83</v>
      </c>
      <c r="I131" s="53">
        <v>43490</v>
      </c>
      <c r="J131" s="52" t="s">
        <v>62</v>
      </c>
    </row>
    <row r="132" spans="1:10" x14ac:dyDescent="0.25">
      <c r="A132" s="37" t="s">
        <v>89</v>
      </c>
      <c r="B132" s="49">
        <v>26</v>
      </c>
    </row>
    <row r="133" spans="1:10" x14ac:dyDescent="0.25">
      <c r="A133" s="37" t="s">
        <v>90</v>
      </c>
      <c r="B133" s="49">
        <v>27</v>
      </c>
    </row>
    <row r="134" spans="1:10" x14ac:dyDescent="0.25">
      <c r="A134" t="s">
        <v>91</v>
      </c>
      <c r="B134" s="49">
        <v>28</v>
      </c>
      <c r="C134" s="54">
        <f>24000*G134</f>
        <v>479544.00000000006</v>
      </c>
      <c r="D134" s="55" t="s">
        <v>1899</v>
      </c>
      <c r="E134" s="55" t="s">
        <v>2095</v>
      </c>
      <c r="F134" s="55" t="s">
        <v>1660</v>
      </c>
      <c r="G134" s="56">
        <v>19.981000000000002</v>
      </c>
      <c r="H134" s="55">
        <v>31.04</v>
      </c>
      <c r="I134" s="57">
        <v>43493</v>
      </c>
      <c r="J134" s="55" t="s">
        <v>62</v>
      </c>
    </row>
    <row r="135" spans="1:10" x14ac:dyDescent="0.25">
      <c r="A135" t="s">
        <v>91</v>
      </c>
      <c r="B135" s="49">
        <v>28</v>
      </c>
      <c r="C135" s="51">
        <f>24558.29*G135:G135</f>
        <v>465502.38694999996</v>
      </c>
      <c r="D135" s="52" t="s">
        <v>1904</v>
      </c>
      <c r="E135" s="52" t="s">
        <v>1956</v>
      </c>
      <c r="F135" s="52" t="s">
        <v>1955</v>
      </c>
      <c r="G135" s="58">
        <v>18.954999999999998</v>
      </c>
      <c r="H135" s="52">
        <v>32.770000000000003</v>
      </c>
      <c r="I135" s="53">
        <v>43493</v>
      </c>
      <c r="J135" s="52" t="s">
        <v>62</v>
      </c>
    </row>
    <row r="136" spans="1:10" x14ac:dyDescent="0.25">
      <c r="A136" t="s">
        <v>91</v>
      </c>
      <c r="B136" s="49">
        <v>28</v>
      </c>
      <c r="C136" s="51">
        <f>567600+16704</f>
        <v>584304</v>
      </c>
      <c r="D136" s="52" t="s">
        <v>1877</v>
      </c>
      <c r="E136" s="52" t="s">
        <v>1831</v>
      </c>
      <c r="F136" s="52" t="s">
        <v>52</v>
      </c>
      <c r="G136" s="53">
        <v>43488</v>
      </c>
      <c r="H136" s="52" t="s">
        <v>55</v>
      </c>
    </row>
    <row r="137" spans="1:10" x14ac:dyDescent="0.25">
      <c r="A137" t="s">
        <v>91</v>
      </c>
      <c r="B137" s="49">
        <v>28</v>
      </c>
      <c r="C137" s="51">
        <v>65306.9</v>
      </c>
      <c r="D137" s="52" t="s">
        <v>1996</v>
      </c>
      <c r="E137" s="52" t="s">
        <v>1997</v>
      </c>
      <c r="F137" s="52" t="s">
        <v>120</v>
      </c>
      <c r="G137" s="53">
        <v>43493</v>
      </c>
      <c r="H137" s="52" t="s">
        <v>55</v>
      </c>
    </row>
    <row r="138" spans="1:10" x14ac:dyDescent="0.25">
      <c r="A138" t="s">
        <v>91</v>
      </c>
      <c r="B138" s="49">
        <v>28</v>
      </c>
      <c r="C138" s="51">
        <f>390500+10774.08</f>
        <v>401274.08</v>
      </c>
      <c r="D138" s="52" t="s">
        <v>1879</v>
      </c>
      <c r="E138" s="52" t="s">
        <v>1878</v>
      </c>
      <c r="F138" s="52" t="s">
        <v>52</v>
      </c>
      <c r="G138" s="53">
        <v>43493</v>
      </c>
      <c r="H138" s="52" t="s">
        <v>55</v>
      </c>
    </row>
    <row r="139" spans="1:10" x14ac:dyDescent="0.25">
      <c r="A139" t="s">
        <v>91</v>
      </c>
      <c r="B139" s="49">
        <v>28</v>
      </c>
      <c r="C139" s="51">
        <f>596062.5+16704</f>
        <v>612766.5</v>
      </c>
      <c r="D139" s="52" t="s">
        <v>1880</v>
      </c>
      <c r="E139" s="52" t="s">
        <v>1881</v>
      </c>
      <c r="F139" s="52" t="s">
        <v>52</v>
      </c>
      <c r="G139" s="53">
        <v>43493</v>
      </c>
      <c r="H139" s="52" t="s">
        <v>55</v>
      </c>
    </row>
    <row r="140" spans="1:10" x14ac:dyDescent="0.25">
      <c r="A140" t="s">
        <v>91</v>
      </c>
      <c r="B140" s="49">
        <v>28</v>
      </c>
      <c r="C140" s="51">
        <f>157712.5+4176</f>
        <v>161888.5</v>
      </c>
      <c r="D140" s="52" t="s">
        <v>1883</v>
      </c>
      <c r="E140" s="52" t="s">
        <v>1882</v>
      </c>
      <c r="F140" s="52" t="s">
        <v>52</v>
      </c>
      <c r="G140" s="53">
        <v>43493</v>
      </c>
      <c r="H140" s="52" t="s">
        <v>55</v>
      </c>
    </row>
    <row r="141" spans="1:10" x14ac:dyDescent="0.25">
      <c r="A141" t="s">
        <v>122</v>
      </c>
      <c r="B141" s="49">
        <v>29</v>
      </c>
      <c r="C141" s="51">
        <f>23381.56*G141</f>
        <v>446237.07260000007</v>
      </c>
      <c r="D141" s="52" t="s">
        <v>1981</v>
      </c>
      <c r="E141" s="52" t="s">
        <v>1987</v>
      </c>
      <c r="F141" s="52" t="s">
        <v>1988</v>
      </c>
      <c r="G141" s="58">
        <v>19.085000000000001</v>
      </c>
      <c r="H141" s="52">
        <v>30.79</v>
      </c>
      <c r="I141" s="53">
        <v>43494</v>
      </c>
      <c r="J141" s="52" t="s">
        <v>62</v>
      </c>
    </row>
    <row r="142" spans="1:10" x14ac:dyDescent="0.25">
      <c r="A142" t="s">
        <v>122</v>
      </c>
      <c r="B142" s="49">
        <v>29</v>
      </c>
      <c r="C142" s="51">
        <f>22249.4*G142</f>
        <v>424585.3002</v>
      </c>
      <c r="D142" s="52" t="s">
        <v>1982</v>
      </c>
      <c r="E142" s="52" t="s">
        <v>1983</v>
      </c>
      <c r="F142" s="52" t="s">
        <v>1984</v>
      </c>
      <c r="G142" s="58">
        <v>19.082999999999998</v>
      </c>
      <c r="H142" s="52">
        <v>30.45</v>
      </c>
      <c r="I142" s="53">
        <v>43494</v>
      </c>
      <c r="J142" s="52" t="s">
        <v>62</v>
      </c>
    </row>
    <row r="143" spans="1:10" x14ac:dyDescent="0.25">
      <c r="A143" t="s">
        <v>122</v>
      </c>
      <c r="B143" s="49">
        <v>29</v>
      </c>
      <c r="C143" s="51">
        <v>640273.4</v>
      </c>
      <c r="D143" s="52" t="s">
        <v>1995</v>
      </c>
      <c r="E143" s="52" t="s">
        <v>1994</v>
      </c>
      <c r="F143" s="52" t="s">
        <v>73</v>
      </c>
      <c r="G143" s="53">
        <v>43493</v>
      </c>
      <c r="H143" s="52" t="s">
        <v>55</v>
      </c>
      <c r="I143" s="72"/>
    </row>
    <row r="144" spans="1:10" x14ac:dyDescent="0.25">
      <c r="A144" t="s">
        <v>122</v>
      </c>
      <c r="B144" s="49">
        <v>29</v>
      </c>
      <c r="C144" s="51">
        <f>577912.5+16704</f>
        <v>594616.5</v>
      </c>
      <c r="D144" s="52" t="s">
        <v>1884</v>
      </c>
      <c r="E144" s="52" t="s">
        <v>1885</v>
      </c>
      <c r="F144" s="52" t="s">
        <v>52</v>
      </c>
      <c r="G144" s="53">
        <v>43494</v>
      </c>
      <c r="H144" s="52" t="s">
        <v>55</v>
      </c>
    </row>
    <row r="145" spans="1:10" x14ac:dyDescent="0.25">
      <c r="A145" t="s">
        <v>122</v>
      </c>
      <c r="B145" s="49">
        <v>29</v>
      </c>
      <c r="C145" s="51">
        <f>151387.5+4176</f>
        <v>155563.5</v>
      </c>
      <c r="D145" s="52" t="s">
        <v>1884</v>
      </c>
      <c r="E145" s="52" t="s">
        <v>1891</v>
      </c>
      <c r="F145" s="52" t="s">
        <v>52</v>
      </c>
      <c r="G145" s="53">
        <v>43494</v>
      </c>
      <c r="H145" s="52" t="s">
        <v>55</v>
      </c>
    </row>
    <row r="146" spans="1:10" x14ac:dyDescent="0.25">
      <c r="A146" t="s">
        <v>122</v>
      </c>
      <c r="B146" s="49">
        <v>29</v>
      </c>
      <c r="C146" s="51">
        <f>637335+16704</f>
        <v>654039</v>
      </c>
      <c r="D146" s="52" t="s">
        <v>1886</v>
      </c>
      <c r="E146" s="52" t="s">
        <v>1887</v>
      </c>
      <c r="F146" s="52" t="s">
        <v>52</v>
      </c>
      <c r="G146" s="53">
        <v>43494</v>
      </c>
      <c r="H146" s="52" t="s">
        <v>55</v>
      </c>
    </row>
    <row r="147" spans="1:10" x14ac:dyDescent="0.25">
      <c r="A147" t="s">
        <v>122</v>
      </c>
      <c r="B147" s="49">
        <v>29</v>
      </c>
      <c r="C147" s="51">
        <f>142425+4176</f>
        <v>146601</v>
      </c>
      <c r="D147" s="52" t="s">
        <v>1889</v>
      </c>
      <c r="E147" s="52" t="s">
        <v>1888</v>
      </c>
      <c r="F147" s="52" t="s">
        <v>52</v>
      </c>
      <c r="G147" s="53">
        <v>43494</v>
      </c>
      <c r="H147" s="52" t="s">
        <v>55</v>
      </c>
    </row>
    <row r="148" spans="1:10" x14ac:dyDescent="0.25">
      <c r="A148" t="s">
        <v>43</v>
      </c>
      <c r="B148" s="49">
        <v>30</v>
      </c>
      <c r="C148" s="54">
        <f>22000*G148</f>
        <v>420552</v>
      </c>
      <c r="D148" s="55" t="s">
        <v>1978</v>
      </c>
      <c r="E148" s="55" t="s">
        <v>2189</v>
      </c>
      <c r="F148" s="55" t="s">
        <v>1659</v>
      </c>
      <c r="G148" s="56">
        <v>19.116</v>
      </c>
      <c r="H148" s="55">
        <v>30.89</v>
      </c>
      <c r="I148" s="57">
        <v>43495</v>
      </c>
      <c r="J148" s="55" t="s">
        <v>62</v>
      </c>
    </row>
    <row r="149" spans="1:10" x14ac:dyDescent="0.25">
      <c r="A149" t="s">
        <v>43</v>
      </c>
      <c r="B149" s="49">
        <v>30</v>
      </c>
      <c r="C149" s="54">
        <f>22000*G149</f>
        <v>420552</v>
      </c>
      <c r="D149" s="55" t="s">
        <v>1979</v>
      </c>
      <c r="E149" s="55" t="s">
        <v>2190</v>
      </c>
      <c r="F149" s="55" t="s">
        <v>1659</v>
      </c>
      <c r="G149" s="56">
        <v>19.116</v>
      </c>
      <c r="H149" s="55">
        <v>30.83</v>
      </c>
      <c r="I149" s="57">
        <v>43495</v>
      </c>
      <c r="J149" s="55" t="s">
        <v>62</v>
      </c>
    </row>
    <row r="150" spans="1:10" x14ac:dyDescent="0.25">
      <c r="A150" t="s">
        <v>43</v>
      </c>
      <c r="B150" s="49">
        <v>30</v>
      </c>
      <c r="C150" s="51">
        <f>23443.69*G150</f>
        <v>451056.59559999994</v>
      </c>
      <c r="D150" s="52" t="s">
        <v>1986</v>
      </c>
      <c r="E150" s="52" t="s">
        <v>2003</v>
      </c>
      <c r="F150" s="52" t="s">
        <v>2004</v>
      </c>
      <c r="G150" s="58">
        <v>19.239999999999998</v>
      </c>
      <c r="H150" s="52">
        <v>30.33</v>
      </c>
      <c r="I150" s="53">
        <v>43495</v>
      </c>
      <c r="J150" s="52" t="s">
        <v>62</v>
      </c>
    </row>
    <row r="151" spans="1:10" x14ac:dyDescent="0.25">
      <c r="A151" t="s">
        <v>43</v>
      </c>
      <c r="B151" s="49">
        <v>30</v>
      </c>
      <c r="C151" s="51">
        <v>73345</v>
      </c>
      <c r="D151" s="52" t="s">
        <v>2041</v>
      </c>
      <c r="E151" s="52" t="s">
        <v>2042</v>
      </c>
      <c r="F151" s="52" t="s">
        <v>2043</v>
      </c>
      <c r="G151" s="58"/>
      <c r="H151" s="53">
        <v>43495</v>
      </c>
      <c r="I151" s="52" t="s">
        <v>62</v>
      </c>
    </row>
    <row r="152" spans="1:10" x14ac:dyDescent="0.25">
      <c r="A152" t="s">
        <v>43</v>
      </c>
      <c r="B152" s="49">
        <v>30</v>
      </c>
      <c r="C152" s="51">
        <v>482432.45</v>
      </c>
      <c r="D152" s="52" t="s">
        <v>1803</v>
      </c>
      <c r="E152" s="52" t="s">
        <v>1802</v>
      </c>
      <c r="F152" s="52" t="s">
        <v>1804</v>
      </c>
      <c r="G152" s="52">
        <v>96.5</v>
      </c>
      <c r="H152" s="53">
        <v>43494</v>
      </c>
      <c r="I152" s="52" t="s">
        <v>62</v>
      </c>
    </row>
    <row r="153" spans="1:10" x14ac:dyDescent="0.25">
      <c r="A153" t="s">
        <v>43</v>
      </c>
      <c r="B153" s="49">
        <v>30</v>
      </c>
      <c r="C153" s="51">
        <f>802170+20880</f>
        <v>823050</v>
      </c>
      <c r="D153" s="52" t="s">
        <v>1893</v>
      </c>
      <c r="E153" s="52" t="s">
        <v>1872</v>
      </c>
      <c r="F153" s="52" t="s">
        <v>52</v>
      </c>
      <c r="G153" s="53">
        <v>43495</v>
      </c>
      <c r="H153" s="52" t="s">
        <v>55</v>
      </c>
    </row>
    <row r="154" spans="1:10" x14ac:dyDescent="0.25">
      <c r="A154" t="s">
        <v>43</v>
      </c>
      <c r="B154" s="49">
        <v>30</v>
      </c>
      <c r="C154" s="51">
        <f>355725+10690.56</f>
        <v>366415.56</v>
      </c>
      <c r="D154" s="52" t="s">
        <v>1892</v>
      </c>
      <c r="E154" s="52" t="s">
        <v>1890</v>
      </c>
      <c r="F154" s="52" t="s">
        <v>52</v>
      </c>
      <c r="G154" s="53">
        <v>43495</v>
      </c>
      <c r="H154" s="52" t="s">
        <v>55</v>
      </c>
    </row>
    <row r="155" spans="1:10" x14ac:dyDescent="0.25">
      <c r="A155" t="s">
        <v>59</v>
      </c>
      <c r="B155" s="49">
        <v>31</v>
      </c>
      <c r="C155" s="51">
        <f>642600+17539.2</f>
        <v>660139.19999999995</v>
      </c>
      <c r="D155" s="52" t="s">
        <v>1896</v>
      </c>
      <c r="E155" s="52" t="s">
        <v>1894</v>
      </c>
      <c r="F155" s="52" t="s">
        <v>52</v>
      </c>
      <c r="G155" s="53">
        <v>43495</v>
      </c>
      <c r="H155" s="52" t="s">
        <v>55</v>
      </c>
    </row>
    <row r="156" spans="1:10" x14ac:dyDescent="0.25">
      <c r="A156" t="s">
        <v>59</v>
      </c>
      <c r="B156" s="49">
        <v>31</v>
      </c>
      <c r="C156" s="54">
        <f>22000*G156</f>
        <v>418836</v>
      </c>
      <c r="D156" s="55" t="s">
        <v>1980</v>
      </c>
      <c r="E156" s="55" t="s">
        <v>2211</v>
      </c>
      <c r="F156" s="55" t="s">
        <v>1659</v>
      </c>
      <c r="G156" s="56">
        <v>19.038</v>
      </c>
      <c r="H156" s="55">
        <v>30.58</v>
      </c>
      <c r="I156" s="57">
        <v>43496</v>
      </c>
      <c r="J156" s="55" t="s">
        <v>62</v>
      </c>
    </row>
    <row r="157" spans="1:10" x14ac:dyDescent="0.25">
      <c r="A157" t="s">
        <v>59</v>
      </c>
      <c r="B157" s="49">
        <v>31</v>
      </c>
      <c r="C157" s="51">
        <f>23089.82*G157</f>
        <v>440207.41830000002</v>
      </c>
      <c r="D157" s="52" t="s">
        <v>2046</v>
      </c>
      <c r="E157" s="52" t="s">
        <v>2047</v>
      </c>
      <c r="F157" s="52" t="s">
        <v>2048</v>
      </c>
      <c r="G157" s="58">
        <v>19.065000000000001</v>
      </c>
      <c r="H157" s="52">
        <v>30.58</v>
      </c>
      <c r="I157" s="53">
        <v>43496</v>
      </c>
      <c r="J157" s="52" t="s">
        <v>62</v>
      </c>
    </row>
    <row r="158" spans="1:10" x14ac:dyDescent="0.25">
      <c r="A158" t="s">
        <v>59</v>
      </c>
      <c r="B158" s="49">
        <v>31</v>
      </c>
      <c r="C158" s="51">
        <v>42588</v>
      </c>
      <c r="D158" s="52" t="s">
        <v>2055</v>
      </c>
      <c r="E158" s="52" t="s">
        <v>2056</v>
      </c>
      <c r="F158" s="52" t="s">
        <v>120</v>
      </c>
      <c r="G158" s="58">
        <v>70</v>
      </c>
      <c r="H158" s="53">
        <v>43496</v>
      </c>
      <c r="I158" s="52" t="s">
        <v>55</v>
      </c>
      <c r="J158" s="52"/>
    </row>
    <row r="159" spans="1:10" x14ac:dyDescent="0.25">
      <c r="A159" t="s">
        <v>59</v>
      </c>
      <c r="B159" s="49">
        <v>31</v>
      </c>
      <c r="C159" s="51">
        <v>31842</v>
      </c>
      <c r="D159" s="52" t="s">
        <v>2011</v>
      </c>
      <c r="E159" s="52" t="s">
        <v>2008</v>
      </c>
      <c r="F159" s="52" t="s">
        <v>87</v>
      </c>
      <c r="G159" s="58">
        <v>18.3</v>
      </c>
      <c r="H159" s="53">
        <v>43497</v>
      </c>
      <c r="I159" s="52" t="s">
        <v>62</v>
      </c>
    </row>
    <row r="160" spans="1:10" x14ac:dyDescent="0.25">
      <c r="A160" s="61" t="s">
        <v>1772</v>
      </c>
    </row>
    <row r="161" spans="1:10" x14ac:dyDescent="0.25">
      <c r="A161" t="s">
        <v>70</v>
      </c>
      <c r="B161" s="49">
        <v>1</v>
      </c>
      <c r="C161" s="51">
        <v>34023.360000000001</v>
      </c>
      <c r="D161" s="52" t="s">
        <v>2013</v>
      </c>
      <c r="E161" s="52" t="s">
        <v>2012</v>
      </c>
      <c r="F161" s="52" t="s">
        <v>87</v>
      </c>
      <c r="G161" s="52">
        <v>18.3</v>
      </c>
      <c r="H161" s="53">
        <v>43497</v>
      </c>
      <c r="I161" s="52" t="s">
        <v>62</v>
      </c>
    </row>
    <row r="162" spans="1:10" x14ac:dyDescent="0.25">
      <c r="A162" s="61" t="s">
        <v>70</v>
      </c>
      <c r="B162" s="49">
        <v>1</v>
      </c>
      <c r="C162" s="51">
        <v>141304.46</v>
      </c>
      <c r="D162" s="52" t="s">
        <v>2010</v>
      </c>
      <c r="E162" s="52" t="s">
        <v>2106</v>
      </c>
      <c r="F162" s="52" t="s">
        <v>1798</v>
      </c>
      <c r="G162" s="52">
        <v>61.8</v>
      </c>
      <c r="H162" s="53">
        <v>43497</v>
      </c>
      <c r="I162" s="52" t="s">
        <v>62</v>
      </c>
    </row>
    <row r="163" spans="1:10" x14ac:dyDescent="0.25">
      <c r="A163" s="61" t="s">
        <v>70</v>
      </c>
      <c r="B163" s="49">
        <v>1</v>
      </c>
      <c r="C163" s="51">
        <v>34166.1</v>
      </c>
      <c r="D163" s="52" t="s">
        <v>2013</v>
      </c>
      <c r="E163" s="52" t="s">
        <v>2014</v>
      </c>
      <c r="F163" s="52" t="s">
        <v>87</v>
      </c>
      <c r="G163" s="52">
        <v>18.3</v>
      </c>
      <c r="H163" s="53">
        <v>43497</v>
      </c>
      <c r="I163" s="52" t="s">
        <v>62</v>
      </c>
    </row>
    <row r="164" spans="1:10" x14ac:dyDescent="0.25">
      <c r="A164" s="37" t="s">
        <v>89</v>
      </c>
      <c r="B164" s="49">
        <v>2</v>
      </c>
    </row>
    <row r="165" spans="1:10" x14ac:dyDescent="0.25">
      <c r="A165" s="37" t="s">
        <v>90</v>
      </c>
      <c r="B165" s="49">
        <v>3</v>
      </c>
    </row>
    <row r="166" spans="1:10" x14ac:dyDescent="0.25">
      <c r="A166" t="s">
        <v>91</v>
      </c>
      <c r="B166" s="49">
        <v>4</v>
      </c>
      <c r="C166" s="51">
        <f>698490+18374.4</f>
        <v>716864.4</v>
      </c>
      <c r="D166" s="52" t="s">
        <v>1966</v>
      </c>
      <c r="E166" s="52" t="s">
        <v>1967</v>
      </c>
      <c r="F166" s="52" t="s">
        <v>52</v>
      </c>
      <c r="G166" s="53">
        <v>43496</v>
      </c>
      <c r="H166" s="52" t="s">
        <v>55</v>
      </c>
    </row>
    <row r="167" spans="1:10" x14ac:dyDescent="0.25">
      <c r="A167" t="s">
        <v>91</v>
      </c>
      <c r="B167" s="49">
        <v>4</v>
      </c>
      <c r="C167" s="51">
        <f>520830+13363.2</f>
        <v>534193.19999999995</v>
      </c>
      <c r="D167" s="52" t="s">
        <v>1966</v>
      </c>
      <c r="E167" s="52" t="s">
        <v>1908</v>
      </c>
      <c r="F167" s="52" t="s">
        <v>52</v>
      </c>
      <c r="G167" s="53">
        <v>43495</v>
      </c>
      <c r="H167" s="52" t="s">
        <v>55</v>
      </c>
    </row>
    <row r="168" spans="1:10" x14ac:dyDescent="0.25">
      <c r="A168" t="s">
        <v>91</v>
      </c>
      <c r="B168" s="49">
        <v>4</v>
      </c>
      <c r="C168" s="51">
        <f>567135+16620.48</f>
        <v>583755.48</v>
      </c>
      <c r="D168" s="52" t="s">
        <v>2018</v>
      </c>
      <c r="E168" s="52" t="s">
        <v>2019</v>
      </c>
      <c r="F168" s="52" t="s">
        <v>52</v>
      </c>
      <c r="G168" s="53">
        <v>43496</v>
      </c>
      <c r="H168" s="52" t="s">
        <v>55</v>
      </c>
    </row>
    <row r="169" spans="1:10" x14ac:dyDescent="0.25">
      <c r="A169" t="s">
        <v>122</v>
      </c>
      <c r="B169" s="49">
        <v>5</v>
      </c>
      <c r="C169" s="54">
        <f>24500*G169</f>
        <v>468685</v>
      </c>
      <c r="D169" s="55" t="s">
        <v>2080</v>
      </c>
      <c r="E169" s="55" t="s">
        <v>2232</v>
      </c>
      <c r="F169" s="55" t="s">
        <v>1622</v>
      </c>
      <c r="G169" s="56">
        <v>19.13</v>
      </c>
      <c r="H169" s="55">
        <v>29.26</v>
      </c>
      <c r="I169" s="57">
        <v>43501</v>
      </c>
      <c r="J169" s="55" t="s">
        <v>62</v>
      </c>
    </row>
    <row r="170" spans="1:10" x14ac:dyDescent="0.25">
      <c r="A170" t="s">
        <v>122</v>
      </c>
      <c r="B170" s="49">
        <v>5</v>
      </c>
      <c r="C170" s="51">
        <f>378945+10857.6</f>
        <v>389802.6</v>
      </c>
      <c r="D170" s="52" t="s">
        <v>2021</v>
      </c>
      <c r="E170" s="52" t="s">
        <v>2020</v>
      </c>
      <c r="F170" s="52" t="s">
        <v>52</v>
      </c>
      <c r="G170" s="53">
        <v>43501</v>
      </c>
      <c r="H170" s="52" t="s">
        <v>55</v>
      </c>
    </row>
    <row r="171" spans="1:10" x14ac:dyDescent="0.25">
      <c r="A171" t="s">
        <v>122</v>
      </c>
      <c r="B171" s="49">
        <v>5</v>
      </c>
      <c r="C171" s="51">
        <v>45115</v>
      </c>
      <c r="D171" s="52" t="s">
        <v>2146</v>
      </c>
      <c r="E171" s="52" t="s">
        <v>2147</v>
      </c>
      <c r="F171" s="52" t="s">
        <v>120</v>
      </c>
      <c r="G171" s="53">
        <v>43501</v>
      </c>
      <c r="H171" s="52" t="s">
        <v>55</v>
      </c>
    </row>
    <row r="172" spans="1:10" x14ac:dyDescent="0.25">
      <c r="A172" t="s">
        <v>122</v>
      </c>
      <c r="B172" s="49">
        <v>5</v>
      </c>
      <c r="C172" s="51">
        <v>193512.95999999999</v>
      </c>
      <c r="D172" s="52" t="s">
        <v>2017</v>
      </c>
      <c r="E172" s="52" t="s">
        <v>2016</v>
      </c>
      <c r="F172" s="52" t="s">
        <v>1798</v>
      </c>
      <c r="G172" s="52">
        <v>64</v>
      </c>
      <c r="H172" s="53">
        <v>43497</v>
      </c>
      <c r="I172" s="52" t="s">
        <v>62</v>
      </c>
    </row>
    <row r="173" spans="1:10" x14ac:dyDescent="0.25">
      <c r="A173" t="s">
        <v>122</v>
      </c>
      <c r="B173" s="49">
        <v>5</v>
      </c>
      <c r="C173" s="51">
        <f>573345+16704</f>
        <v>590049</v>
      </c>
      <c r="D173" s="52" t="s">
        <v>2022</v>
      </c>
      <c r="E173" s="52" t="s">
        <v>1947</v>
      </c>
      <c r="F173" s="52" t="s">
        <v>52</v>
      </c>
      <c r="G173" s="53">
        <v>43501</v>
      </c>
      <c r="H173" s="52" t="s">
        <v>55</v>
      </c>
    </row>
    <row r="174" spans="1:10" x14ac:dyDescent="0.25">
      <c r="A174" t="s">
        <v>122</v>
      </c>
      <c r="B174" s="49">
        <v>5</v>
      </c>
      <c r="C174" s="51">
        <f>710910+18290.88</f>
        <v>729200.88</v>
      </c>
      <c r="D174" s="52" t="s">
        <v>2023</v>
      </c>
      <c r="E174" s="52" t="s">
        <v>2024</v>
      </c>
      <c r="F174" s="52" t="s">
        <v>52</v>
      </c>
      <c r="G174" s="53">
        <v>43496</v>
      </c>
      <c r="H174" s="52" t="s">
        <v>55</v>
      </c>
    </row>
    <row r="175" spans="1:10" x14ac:dyDescent="0.25">
      <c r="A175" t="s">
        <v>122</v>
      </c>
      <c r="B175" s="49">
        <v>5</v>
      </c>
      <c r="C175" s="51">
        <f>96525+2505.6</f>
        <v>99030.6</v>
      </c>
      <c r="D175" s="52" t="s">
        <v>2023</v>
      </c>
      <c r="E175" s="52" t="s">
        <v>2025</v>
      </c>
      <c r="F175" s="52" t="s">
        <v>52</v>
      </c>
      <c r="G175" s="53">
        <v>43496</v>
      </c>
      <c r="H175" s="52" t="s">
        <v>55</v>
      </c>
    </row>
    <row r="176" spans="1:10" x14ac:dyDescent="0.25">
      <c r="A176" t="s">
        <v>43</v>
      </c>
      <c r="B176" s="49">
        <v>6</v>
      </c>
      <c r="C176" s="51">
        <f>536490+16704</f>
        <v>553194</v>
      </c>
      <c r="D176" s="52" t="s">
        <v>2026</v>
      </c>
      <c r="E176" s="52" t="s">
        <v>1957</v>
      </c>
      <c r="F176" s="52" t="s">
        <v>52</v>
      </c>
      <c r="G176" s="53">
        <v>43501</v>
      </c>
      <c r="H176" s="52" t="s">
        <v>55</v>
      </c>
    </row>
    <row r="177" spans="1:10" x14ac:dyDescent="0.25">
      <c r="A177" t="s">
        <v>43</v>
      </c>
      <c r="B177" s="49">
        <v>6</v>
      </c>
      <c r="C177" s="51">
        <f>560655+15033.6</f>
        <v>575688.6</v>
      </c>
      <c r="D177" s="52" t="s">
        <v>2027</v>
      </c>
      <c r="E177" s="52" t="s">
        <v>1958</v>
      </c>
      <c r="F177" s="52" t="s">
        <v>52</v>
      </c>
      <c r="G177" s="53">
        <v>43501</v>
      </c>
      <c r="H177" s="52" t="s">
        <v>55</v>
      </c>
    </row>
    <row r="178" spans="1:10" x14ac:dyDescent="0.25">
      <c r="A178" t="s">
        <v>43</v>
      </c>
      <c r="B178" s="49">
        <v>6</v>
      </c>
      <c r="C178" s="54">
        <f>20000*G178</f>
        <v>382320</v>
      </c>
      <c r="D178" s="55" t="s">
        <v>2124</v>
      </c>
      <c r="E178" s="55" t="s">
        <v>2299</v>
      </c>
      <c r="F178" s="55" t="s">
        <v>2161</v>
      </c>
      <c r="G178" s="56">
        <v>19.116</v>
      </c>
      <c r="H178" s="55">
        <v>28.86</v>
      </c>
      <c r="I178" s="57">
        <v>43502</v>
      </c>
      <c r="J178" s="55" t="s">
        <v>62</v>
      </c>
    </row>
    <row r="179" spans="1:10" x14ac:dyDescent="0.25">
      <c r="A179" t="s">
        <v>43</v>
      </c>
      <c r="B179" s="49">
        <v>6</v>
      </c>
      <c r="C179" s="51">
        <f>23558.66*G179</f>
        <v>449734.81939999998</v>
      </c>
      <c r="D179" s="52" t="s">
        <v>1985</v>
      </c>
      <c r="E179" s="52" t="s">
        <v>2195</v>
      </c>
      <c r="F179" s="52" t="s">
        <v>2196</v>
      </c>
      <c r="G179" s="58">
        <v>19.09</v>
      </c>
      <c r="H179" s="52">
        <v>31</v>
      </c>
      <c r="I179" s="53">
        <v>43502</v>
      </c>
      <c r="J179" s="52" t="s">
        <v>62</v>
      </c>
    </row>
    <row r="180" spans="1:10" x14ac:dyDescent="0.25">
      <c r="A180" t="s">
        <v>59</v>
      </c>
      <c r="B180" s="49">
        <v>7</v>
      </c>
      <c r="C180" s="51">
        <f>20719*34.2</f>
        <v>708589.8</v>
      </c>
      <c r="D180" s="52" t="s">
        <v>2123</v>
      </c>
      <c r="E180" s="52" t="s">
        <v>2215</v>
      </c>
      <c r="F180" s="52" t="s">
        <v>73</v>
      </c>
      <c r="G180" s="53">
        <v>43502</v>
      </c>
      <c r="H180" s="52" t="s">
        <v>55</v>
      </c>
    </row>
    <row r="181" spans="1:10" x14ac:dyDescent="0.25">
      <c r="A181" t="s">
        <v>59</v>
      </c>
      <c r="B181" s="49">
        <v>7</v>
      </c>
      <c r="C181" s="51">
        <v>23116.080000000002</v>
      </c>
      <c r="D181" s="52" t="s">
        <v>2100</v>
      </c>
      <c r="E181" s="52" t="s">
        <v>2099</v>
      </c>
      <c r="F181" s="52" t="s">
        <v>2101</v>
      </c>
      <c r="G181" s="58">
        <v>186</v>
      </c>
      <c r="H181" s="53">
        <v>43497</v>
      </c>
      <c r="I181" s="52" t="s">
        <v>62</v>
      </c>
    </row>
    <row r="182" spans="1:10" x14ac:dyDescent="0.25">
      <c r="A182" t="s">
        <v>59</v>
      </c>
      <c r="B182" s="49">
        <v>7</v>
      </c>
      <c r="C182" s="54">
        <f>21000*G182</f>
        <v>402129</v>
      </c>
      <c r="D182" s="55" t="s">
        <v>2125</v>
      </c>
      <c r="E182" s="55" t="s">
        <v>2306</v>
      </c>
      <c r="F182" s="55" t="s">
        <v>61</v>
      </c>
      <c r="G182" s="56">
        <v>19.149000000000001</v>
      </c>
      <c r="H182" s="55">
        <v>19.16</v>
      </c>
      <c r="I182" s="57">
        <v>43503</v>
      </c>
      <c r="J182" s="55" t="s">
        <v>62</v>
      </c>
    </row>
    <row r="183" spans="1:10" x14ac:dyDescent="0.25">
      <c r="A183" t="s">
        <v>59</v>
      </c>
      <c r="B183" s="49">
        <v>7</v>
      </c>
      <c r="C183" s="51">
        <f>23417.77*G183</f>
        <v>447794.59794000001</v>
      </c>
      <c r="D183" s="52" t="s">
        <v>2045</v>
      </c>
      <c r="E183" s="52" t="s">
        <v>2198</v>
      </c>
      <c r="F183" s="52" t="s">
        <v>2197</v>
      </c>
      <c r="G183" s="58">
        <v>19.122</v>
      </c>
      <c r="H183" s="53">
        <v>43503</v>
      </c>
      <c r="I183" s="53">
        <v>43503</v>
      </c>
      <c r="J183" s="52" t="s">
        <v>62</v>
      </c>
    </row>
    <row r="184" spans="1:10" x14ac:dyDescent="0.25">
      <c r="A184" t="s">
        <v>59</v>
      </c>
      <c r="B184" s="49">
        <v>7</v>
      </c>
      <c r="C184" s="51">
        <f>378810+10857.6</f>
        <v>389667.6</v>
      </c>
      <c r="D184" s="52" t="s">
        <v>2028</v>
      </c>
      <c r="E184" s="52" t="s">
        <v>1961</v>
      </c>
      <c r="F184" s="52" t="s">
        <v>52</v>
      </c>
      <c r="G184" s="53">
        <v>43502</v>
      </c>
      <c r="H184" s="52" t="s">
        <v>55</v>
      </c>
    </row>
    <row r="185" spans="1:10" x14ac:dyDescent="0.25">
      <c r="A185" t="s">
        <v>70</v>
      </c>
      <c r="B185" s="49">
        <v>8</v>
      </c>
      <c r="C185" s="51">
        <v>1578776.13</v>
      </c>
      <c r="D185" s="52" t="s">
        <v>1924</v>
      </c>
      <c r="E185" s="52" t="s">
        <v>1923</v>
      </c>
      <c r="F185" s="52" t="s">
        <v>1925</v>
      </c>
      <c r="G185" s="52">
        <v>92.5</v>
      </c>
      <c r="H185" s="53">
        <v>43503</v>
      </c>
      <c r="I185" s="52" t="s">
        <v>62</v>
      </c>
    </row>
    <row r="186" spans="1:10" x14ac:dyDescent="0.25">
      <c r="A186" t="s">
        <v>70</v>
      </c>
      <c r="B186" s="49">
        <v>8</v>
      </c>
      <c r="C186" s="51">
        <v>5665.92</v>
      </c>
      <c r="D186" s="52" t="s">
        <v>2229</v>
      </c>
      <c r="E186" s="52" t="s">
        <v>2228</v>
      </c>
      <c r="F186" s="52" t="s">
        <v>2230</v>
      </c>
      <c r="G186" s="52">
        <v>26</v>
      </c>
      <c r="H186" s="53">
        <v>43508</v>
      </c>
      <c r="I186" s="52" t="s">
        <v>62</v>
      </c>
    </row>
    <row r="187" spans="1:10" x14ac:dyDescent="0.25">
      <c r="A187" t="s">
        <v>70</v>
      </c>
      <c r="B187" s="49">
        <v>8</v>
      </c>
      <c r="C187" s="51">
        <f>23672.13*G187</f>
        <v>452966.20755000005</v>
      </c>
      <c r="D187" s="52" t="s">
        <v>2127</v>
      </c>
      <c r="E187" s="52" t="s">
        <v>2209</v>
      </c>
      <c r="F187" s="52" t="s">
        <v>2210</v>
      </c>
      <c r="G187" s="58">
        <v>19.135000000000002</v>
      </c>
      <c r="H187" s="52">
        <v>30.2</v>
      </c>
      <c r="I187" s="53">
        <v>43504</v>
      </c>
      <c r="J187" s="52" t="s">
        <v>62</v>
      </c>
    </row>
    <row r="188" spans="1:10" x14ac:dyDescent="0.25">
      <c r="A188" s="37" t="s">
        <v>89</v>
      </c>
      <c r="B188" s="49">
        <v>9</v>
      </c>
    </row>
    <row r="189" spans="1:10" x14ac:dyDescent="0.25">
      <c r="A189" s="37" t="s">
        <v>90</v>
      </c>
      <c r="B189" s="49">
        <v>10</v>
      </c>
    </row>
    <row r="190" spans="1:10" x14ac:dyDescent="0.25">
      <c r="A190" t="s">
        <v>91</v>
      </c>
      <c r="B190" s="49">
        <v>11</v>
      </c>
      <c r="C190" s="54">
        <f>22000*G190</f>
        <v>420684</v>
      </c>
      <c r="D190" s="55" t="s">
        <v>2126</v>
      </c>
      <c r="E190" s="55" t="s">
        <v>2327</v>
      </c>
      <c r="F190" s="55" t="s">
        <v>1659</v>
      </c>
      <c r="G190" s="56">
        <v>19.122</v>
      </c>
      <c r="H190" s="55">
        <v>30.04</v>
      </c>
      <c r="I190" s="57">
        <v>43507</v>
      </c>
      <c r="J190" s="55" t="s">
        <v>62</v>
      </c>
    </row>
    <row r="191" spans="1:10" x14ac:dyDescent="0.25">
      <c r="A191" t="s">
        <v>91</v>
      </c>
      <c r="B191" s="49">
        <v>11</v>
      </c>
      <c r="C191" s="51">
        <f>23353.99*G191</f>
        <v>446014.50102000003</v>
      </c>
      <c r="D191" s="52" t="s">
        <v>2128</v>
      </c>
      <c r="E191" s="52" t="s">
        <v>2217</v>
      </c>
      <c r="F191" s="52" t="s">
        <v>2218</v>
      </c>
      <c r="G191" s="58">
        <v>19.097999999999999</v>
      </c>
      <c r="H191" s="52">
        <v>30.2</v>
      </c>
      <c r="I191" s="53">
        <v>43507</v>
      </c>
      <c r="J191" s="52" t="s">
        <v>62</v>
      </c>
    </row>
    <row r="192" spans="1:10" x14ac:dyDescent="0.25">
      <c r="A192" t="s">
        <v>91</v>
      </c>
      <c r="B192" s="49">
        <v>11</v>
      </c>
      <c r="C192" s="54">
        <f>25000*G192</f>
        <v>477525</v>
      </c>
      <c r="D192" s="55" t="s">
        <v>2141</v>
      </c>
      <c r="E192" s="55" t="s">
        <v>2374</v>
      </c>
      <c r="F192" s="55" t="s">
        <v>2240</v>
      </c>
      <c r="G192" s="56">
        <v>19.100999999999999</v>
      </c>
      <c r="H192" s="55">
        <v>28.57</v>
      </c>
      <c r="I192" s="57">
        <v>43507</v>
      </c>
      <c r="J192" s="55" t="s">
        <v>62</v>
      </c>
    </row>
    <row r="193" spans="1:10" x14ac:dyDescent="0.25">
      <c r="A193" t="s">
        <v>91</v>
      </c>
      <c r="B193" s="49">
        <v>11</v>
      </c>
      <c r="C193" s="51">
        <f>654020+16704</f>
        <v>670724</v>
      </c>
      <c r="D193" s="52" t="s">
        <v>2029</v>
      </c>
      <c r="E193" s="52" t="s">
        <v>1990</v>
      </c>
      <c r="F193" s="52" t="s">
        <v>52</v>
      </c>
      <c r="G193" s="53">
        <v>43503</v>
      </c>
      <c r="H193" s="52" t="s">
        <v>55</v>
      </c>
    </row>
    <row r="194" spans="1:10" x14ac:dyDescent="0.25">
      <c r="A194" t="s">
        <v>91</v>
      </c>
      <c r="B194" s="49">
        <v>11</v>
      </c>
      <c r="C194" s="51">
        <f>366627.5+10857.6</f>
        <v>377485.1</v>
      </c>
      <c r="D194" s="52" t="s">
        <v>2030</v>
      </c>
      <c r="E194" s="52" t="s">
        <v>1991</v>
      </c>
      <c r="F194" s="52" t="s">
        <v>52</v>
      </c>
      <c r="G194" s="53">
        <v>43507</v>
      </c>
      <c r="H194" s="52" t="s">
        <v>55</v>
      </c>
    </row>
    <row r="195" spans="1:10" x14ac:dyDescent="0.25">
      <c r="A195" t="s">
        <v>91</v>
      </c>
      <c r="B195" s="49">
        <v>11</v>
      </c>
      <c r="C195" s="51">
        <f>665150+16704</f>
        <v>681854</v>
      </c>
      <c r="D195" s="52" t="s">
        <v>2031</v>
      </c>
      <c r="E195" s="52" t="s">
        <v>2032</v>
      </c>
      <c r="F195" s="52" t="s">
        <v>52</v>
      </c>
      <c r="G195" s="53">
        <v>43504</v>
      </c>
      <c r="H195" s="52" t="s">
        <v>55</v>
      </c>
    </row>
    <row r="196" spans="1:10" x14ac:dyDescent="0.25">
      <c r="A196" t="s">
        <v>91</v>
      </c>
      <c r="B196" s="49">
        <v>11</v>
      </c>
      <c r="C196" s="51">
        <f>134885+4176</f>
        <v>139061</v>
      </c>
      <c r="D196" s="52" t="s">
        <v>2034</v>
      </c>
      <c r="E196" s="52" t="s">
        <v>2033</v>
      </c>
      <c r="F196" s="52" t="s">
        <v>52</v>
      </c>
      <c r="G196" s="53">
        <v>43504</v>
      </c>
      <c r="H196" s="52" t="s">
        <v>55</v>
      </c>
    </row>
    <row r="197" spans="1:10" x14ac:dyDescent="0.25">
      <c r="A197" t="s">
        <v>91</v>
      </c>
      <c r="B197" s="49">
        <v>11</v>
      </c>
      <c r="C197" s="51">
        <v>52108</v>
      </c>
      <c r="D197" s="52" t="s">
        <v>2288</v>
      </c>
      <c r="E197" s="52" t="s">
        <v>2290</v>
      </c>
      <c r="F197" s="52" t="s">
        <v>120</v>
      </c>
      <c r="G197" s="53">
        <v>43507</v>
      </c>
      <c r="H197" s="52" t="s">
        <v>55</v>
      </c>
    </row>
    <row r="198" spans="1:10" x14ac:dyDescent="0.25">
      <c r="A198" t="s">
        <v>91</v>
      </c>
      <c r="B198" s="49">
        <v>11</v>
      </c>
      <c r="C198" s="51">
        <v>69888</v>
      </c>
      <c r="D198" s="52" t="s">
        <v>2289</v>
      </c>
      <c r="E198" s="52" t="s">
        <v>2291</v>
      </c>
      <c r="F198" s="52" t="s">
        <v>120</v>
      </c>
      <c r="G198" s="53">
        <v>43507</v>
      </c>
      <c r="H198" s="52" t="s">
        <v>55</v>
      </c>
    </row>
    <row r="199" spans="1:10" x14ac:dyDescent="0.25">
      <c r="A199" t="s">
        <v>122</v>
      </c>
      <c r="B199" s="49">
        <v>12</v>
      </c>
      <c r="C199" s="51">
        <f>20956.63*G199</f>
        <v>404525.82889000006</v>
      </c>
      <c r="D199" s="52" t="s">
        <v>2130</v>
      </c>
      <c r="E199" s="52" t="s">
        <v>2279</v>
      </c>
      <c r="F199" s="52" t="s">
        <v>2280</v>
      </c>
      <c r="G199" s="58">
        <v>19.303000000000001</v>
      </c>
      <c r="H199" s="52"/>
      <c r="I199" s="53">
        <v>43508</v>
      </c>
      <c r="J199" s="52" t="s">
        <v>62</v>
      </c>
    </row>
    <row r="200" spans="1:10" x14ac:dyDescent="0.25">
      <c r="A200" t="s">
        <v>122</v>
      </c>
      <c r="B200" s="49">
        <v>12</v>
      </c>
      <c r="C200" s="54">
        <f>23000*G200</f>
        <v>444820</v>
      </c>
      <c r="D200" s="55" t="s">
        <v>2143</v>
      </c>
      <c r="E200" s="55" t="s">
        <v>2390</v>
      </c>
      <c r="F200" s="55" t="s">
        <v>93</v>
      </c>
      <c r="G200" s="56">
        <v>19.34</v>
      </c>
      <c r="H200" s="55">
        <v>28.27</v>
      </c>
      <c r="I200" s="57">
        <v>43508</v>
      </c>
      <c r="J200" s="55" t="s">
        <v>62</v>
      </c>
    </row>
    <row r="201" spans="1:10" x14ac:dyDescent="0.25">
      <c r="A201" t="s">
        <v>122</v>
      </c>
      <c r="B201" s="49">
        <v>12</v>
      </c>
      <c r="C201" s="51">
        <f>614800+16620.48</f>
        <v>631420.48</v>
      </c>
      <c r="D201" s="52" t="s">
        <v>2072</v>
      </c>
      <c r="E201" s="52" t="s">
        <v>2069</v>
      </c>
      <c r="F201" s="52" t="s">
        <v>52</v>
      </c>
      <c r="G201" s="53">
        <v>43507</v>
      </c>
      <c r="H201" s="52" t="s">
        <v>55</v>
      </c>
    </row>
    <row r="202" spans="1:10" x14ac:dyDescent="0.25">
      <c r="A202" t="s">
        <v>122</v>
      </c>
      <c r="B202" s="49">
        <v>12</v>
      </c>
      <c r="C202" s="51">
        <f>144557.5+4176</f>
        <v>148733.5</v>
      </c>
      <c r="D202" s="52" t="s">
        <v>2071</v>
      </c>
      <c r="E202" s="52" t="s">
        <v>2070</v>
      </c>
      <c r="F202" s="52" t="s">
        <v>52</v>
      </c>
      <c r="G202" s="53">
        <v>43507</v>
      </c>
      <c r="H202" s="52" t="s">
        <v>55</v>
      </c>
    </row>
    <row r="203" spans="1:10" x14ac:dyDescent="0.25">
      <c r="A203" t="s">
        <v>122</v>
      </c>
      <c r="B203" s="49">
        <v>12</v>
      </c>
      <c r="C203" s="51">
        <f>607380+16704</f>
        <v>624084</v>
      </c>
      <c r="D203" s="52" t="s">
        <v>2073</v>
      </c>
      <c r="E203" s="52" t="s">
        <v>2051</v>
      </c>
      <c r="F203" s="52" t="s">
        <v>52</v>
      </c>
      <c r="G203" s="53">
        <v>43508</v>
      </c>
      <c r="H203" s="52" t="s">
        <v>55</v>
      </c>
    </row>
    <row r="204" spans="1:10" x14ac:dyDescent="0.25">
      <c r="A204" t="s">
        <v>122</v>
      </c>
      <c r="B204" s="49">
        <v>12</v>
      </c>
      <c r="C204" s="51">
        <f>369807.5+10857.6</f>
        <v>380665.1</v>
      </c>
      <c r="D204" s="52" t="s">
        <v>2074</v>
      </c>
      <c r="E204" s="52" t="s">
        <v>2052</v>
      </c>
      <c r="F204" s="52" t="s">
        <v>52</v>
      </c>
      <c r="G204" s="53">
        <v>43508</v>
      </c>
      <c r="H204" s="52" t="s">
        <v>55</v>
      </c>
    </row>
    <row r="205" spans="1:10" x14ac:dyDescent="0.25">
      <c r="A205" t="s">
        <v>43</v>
      </c>
      <c r="B205" s="49">
        <v>13</v>
      </c>
      <c r="C205" s="51">
        <v>212316</v>
      </c>
      <c r="D205" s="52" t="s">
        <v>2224</v>
      </c>
      <c r="E205" s="52" t="s">
        <v>2223</v>
      </c>
      <c r="F205" s="52" t="s">
        <v>1798</v>
      </c>
      <c r="G205" s="52">
        <v>65</v>
      </c>
      <c r="H205" s="53">
        <v>43508</v>
      </c>
      <c r="I205" s="52" t="s">
        <v>62</v>
      </c>
    </row>
    <row r="206" spans="1:10" x14ac:dyDescent="0.25">
      <c r="A206" t="s">
        <v>43</v>
      </c>
      <c r="B206" s="49">
        <v>13</v>
      </c>
      <c r="C206" s="54">
        <f>20000*G206</f>
        <v>386440</v>
      </c>
      <c r="D206" s="55" t="s">
        <v>2129</v>
      </c>
      <c r="E206" s="55" t="s">
        <v>2389</v>
      </c>
      <c r="F206" s="55" t="s">
        <v>2161</v>
      </c>
      <c r="G206" s="56">
        <v>19.321999999999999</v>
      </c>
      <c r="H206" s="55">
        <v>29.04</v>
      </c>
      <c r="I206" s="57">
        <v>43509</v>
      </c>
      <c r="J206" s="55" t="s">
        <v>62</v>
      </c>
    </row>
    <row r="207" spans="1:10" x14ac:dyDescent="0.25">
      <c r="A207" t="s">
        <v>43</v>
      </c>
      <c r="B207" s="49">
        <v>13</v>
      </c>
      <c r="C207" s="54">
        <f>23000*G207</f>
        <v>444406</v>
      </c>
      <c r="D207" s="55" t="s">
        <v>2131</v>
      </c>
      <c r="E207" s="55" t="s">
        <v>2378</v>
      </c>
      <c r="F207" s="55" t="s">
        <v>93</v>
      </c>
      <c r="G207" s="56">
        <v>19.321999999999999</v>
      </c>
      <c r="H207" s="55">
        <v>28.77</v>
      </c>
      <c r="I207" s="57">
        <v>43509</v>
      </c>
      <c r="J207" s="55" t="s">
        <v>62</v>
      </c>
    </row>
    <row r="208" spans="1:10" x14ac:dyDescent="0.25">
      <c r="A208" t="s">
        <v>43</v>
      </c>
      <c r="B208" s="49">
        <v>13</v>
      </c>
      <c r="C208" s="51">
        <f>22080*34.2</f>
        <v>755136.00000000012</v>
      </c>
      <c r="D208" s="52" t="s">
        <v>2278</v>
      </c>
      <c r="E208" s="52" t="s">
        <v>2328</v>
      </c>
      <c r="F208" s="52" t="s">
        <v>73</v>
      </c>
      <c r="G208" s="53">
        <v>43514</v>
      </c>
      <c r="H208" s="52" t="s">
        <v>55</v>
      </c>
    </row>
    <row r="209" spans="1:10" x14ac:dyDescent="0.25">
      <c r="A209" t="s">
        <v>43</v>
      </c>
      <c r="B209" s="49">
        <v>13</v>
      </c>
      <c r="C209" s="51">
        <f>643155+16620.48</f>
        <v>659775.48</v>
      </c>
      <c r="D209" s="52" t="s">
        <v>2077</v>
      </c>
      <c r="E209" s="52" t="s">
        <v>2078</v>
      </c>
      <c r="F209" s="52" t="s">
        <v>52</v>
      </c>
      <c r="G209" s="53">
        <v>43509</v>
      </c>
      <c r="H209" s="52" t="s">
        <v>55</v>
      </c>
    </row>
    <row r="210" spans="1:10" x14ac:dyDescent="0.25">
      <c r="A210" t="s">
        <v>43</v>
      </c>
      <c r="B210" s="49">
        <v>13</v>
      </c>
      <c r="C210" s="51">
        <f>458052.5+15033.6</f>
        <v>473086.1</v>
      </c>
      <c r="D210" s="52" t="s">
        <v>2079</v>
      </c>
      <c r="E210" s="52" t="s">
        <v>2075</v>
      </c>
      <c r="F210" s="52" t="s">
        <v>52</v>
      </c>
      <c r="G210" s="53">
        <v>43510</v>
      </c>
      <c r="H210" s="52" t="s">
        <v>55</v>
      </c>
    </row>
    <row r="211" spans="1:10" x14ac:dyDescent="0.25">
      <c r="A211" t="s">
        <v>59</v>
      </c>
      <c r="B211" s="49">
        <v>14</v>
      </c>
      <c r="C211" s="54">
        <f>23000*G211</f>
        <v>446430</v>
      </c>
      <c r="D211" s="55" t="s">
        <v>2132</v>
      </c>
      <c r="E211" s="55" t="s">
        <v>2388</v>
      </c>
      <c r="F211" s="55" t="s">
        <v>93</v>
      </c>
      <c r="G211" s="56">
        <v>19.41</v>
      </c>
      <c r="H211" s="55">
        <v>28.83</v>
      </c>
      <c r="I211" s="57">
        <v>43510</v>
      </c>
      <c r="J211" s="55" t="s">
        <v>62</v>
      </c>
    </row>
    <row r="212" spans="1:10" x14ac:dyDescent="0.25">
      <c r="A212" t="s">
        <v>59</v>
      </c>
      <c r="B212" s="49">
        <v>14</v>
      </c>
      <c r="C212" s="51">
        <f>21612.85*G212</f>
        <v>419829.61124999996</v>
      </c>
      <c r="D212" s="52" t="s">
        <v>2137</v>
      </c>
      <c r="E212" s="52" t="s">
        <v>2294</v>
      </c>
      <c r="F212" s="52" t="s">
        <v>2295</v>
      </c>
      <c r="G212" s="58">
        <v>19.425000000000001</v>
      </c>
      <c r="H212" s="52">
        <v>29.15</v>
      </c>
      <c r="I212" s="53">
        <v>43510</v>
      </c>
      <c r="J212" s="52" t="s">
        <v>62</v>
      </c>
    </row>
    <row r="213" spans="1:10" x14ac:dyDescent="0.25">
      <c r="A213" t="s">
        <v>59</v>
      </c>
      <c r="B213" s="49">
        <v>14</v>
      </c>
      <c r="C213" s="51">
        <f>359870+10857.6</f>
        <v>370727.6</v>
      </c>
      <c r="D213" s="52" t="s">
        <v>2096</v>
      </c>
      <c r="E213" s="52" t="s">
        <v>2089</v>
      </c>
      <c r="F213" s="52" t="s">
        <v>52</v>
      </c>
      <c r="G213" s="53">
        <v>43510</v>
      </c>
      <c r="H213" s="52" t="s">
        <v>55</v>
      </c>
    </row>
    <row r="214" spans="1:10" x14ac:dyDescent="0.25">
      <c r="A214" t="s">
        <v>59</v>
      </c>
      <c r="B214" s="49">
        <v>14</v>
      </c>
      <c r="C214" s="51">
        <v>53177.02</v>
      </c>
      <c r="D214" s="52" t="s">
        <v>2317</v>
      </c>
      <c r="E214" s="52" t="s">
        <v>2318</v>
      </c>
      <c r="F214" s="52" t="s">
        <v>2319</v>
      </c>
      <c r="G214" s="53">
        <v>43510</v>
      </c>
      <c r="H214" s="52" t="s">
        <v>62</v>
      </c>
    </row>
    <row r="215" spans="1:10" x14ac:dyDescent="0.25">
      <c r="A215" t="s">
        <v>59</v>
      </c>
      <c r="B215" s="49">
        <v>14</v>
      </c>
      <c r="C215" s="51">
        <v>10623.8</v>
      </c>
      <c r="D215" s="52" t="s">
        <v>2355</v>
      </c>
      <c r="E215" s="52" t="s">
        <v>2312</v>
      </c>
      <c r="F215" s="52" t="s">
        <v>2230</v>
      </c>
      <c r="G215" s="51">
        <v>26</v>
      </c>
      <c r="H215" s="53">
        <v>43515</v>
      </c>
      <c r="I215" s="52" t="s">
        <v>62</v>
      </c>
    </row>
    <row r="216" spans="1:10" x14ac:dyDescent="0.25">
      <c r="A216" t="s">
        <v>59</v>
      </c>
      <c r="B216" s="49">
        <v>14</v>
      </c>
      <c r="C216" s="51">
        <v>47927.7</v>
      </c>
      <c r="D216" s="52" t="s">
        <v>2355</v>
      </c>
      <c r="E216" s="52" t="s">
        <v>2354</v>
      </c>
      <c r="F216" s="52" t="s">
        <v>87</v>
      </c>
      <c r="G216" s="51">
        <v>18.3</v>
      </c>
      <c r="H216" s="53">
        <v>43515</v>
      </c>
      <c r="I216" s="52" t="s">
        <v>62</v>
      </c>
    </row>
    <row r="217" spans="1:10" x14ac:dyDescent="0.25">
      <c r="A217" t="s">
        <v>70</v>
      </c>
      <c r="B217" s="49">
        <v>15</v>
      </c>
      <c r="C217" s="51">
        <f>20962.41*G217</f>
        <v>406230.54339000001</v>
      </c>
      <c r="D217" s="52" t="s">
        <v>2138</v>
      </c>
      <c r="E217" s="52" t="s">
        <v>2296</v>
      </c>
      <c r="F217" s="52" t="s">
        <v>2297</v>
      </c>
      <c r="G217" s="58">
        <v>19.379000000000001</v>
      </c>
      <c r="H217" s="52">
        <v>28.97</v>
      </c>
      <c r="I217" s="53">
        <v>43511</v>
      </c>
    </row>
    <row r="218" spans="1:10" x14ac:dyDescent="0.25">
      <c r="A218" t="s">
        <v>70</v>
      </c>
      <c r="B218" s="49">
        <v>15</v>
      </c>
      <c r="C218" s="54">
        <f>22000*G218</f>
        <v>425040</v>
      </c>
      <c r="D218" s="55" t="s">
        <v>2153</v>
      </c>
      <c r="E218" s="55" t="s">
        <v>2462</v>
      </c>
      <c r="F218" s="55" t="s">
        <v>1659</v>
      </c>
      <c r="G218" s="56">
        <v>19.32</v>
      </c>
      <c r="H218" s="55">
        <v>28.53</v>
      </c>
      <c r="I218" s="57">
        <v>43511</v>
      </c>
      <c r="J218" s="55" t="s">
        <v>62</v>
      </c>
    </row>
    <row r="219" spans="1:10" x14ac:dyDescent="0.25">
      <c r="A219" t="s">
        <v>70</v>
      </c>
      <c r="B219" s="49">
        <v>15</v>
      </c>
      <c r="C219" s="54">
        <f>22000*G219</f>
        <v>425040</v>
      </c>
      <c r="D219" s="55" t="s">
        <v>2242</v>
      </c>
      <c r="E219" s="55" t="s">
        <v>2463</v>
      </c>
      <c r="F219" s="55" t="s">
        <v>1659</v>
      </c>
      <c r="G219" s="56">
        <v>19.32</v>
      </c>
      <c r="H219" s="55">
        <v>28.8</v>
      </c>
      <c r="I219" s="57">
        <v>43511</v>
      </c>
      <c r="J219" s="55" t="s">
        <v>62</v>
      </c>
    </row>
    <row r="220" spans="1:10" x14ac:dyDescent="0.25">
      <c r="A220" s="37" t="s">
        <v>89</v>
      </c>
      <c r="B220" s="49">
        <v>16</v>
      </c>
    </row>
    <row r="221" spans="1:10" x14ac:dyDescent="0.25">
      <c r="A221" s="37" t="s">
        <v>90</v>
      </c>
      <c r="B221" s="49">
        <v>17</v>
      </c>
    </row>
    <row r="222" spans="1:10" x14ac:dyDescent="0.25">
      <c r="A222" t="s">
        <v>91</v>
      </c>
      <c r="B222" s="49">
        <v>18</v>
      </c>
      <c r="C222" s="51">
        <f>581675+16369.92</f>
        <v>598044.92000000004</v>
      </c>
      <c r="D222" s="52" t="s">
        <v>2247</v>
      </c>
      <c r="E222" s="52" t="s">
        <v>2191</v>
      </c>
      <c r="F222" s="52" t="s">
        <v>52</v>
      </c>
      <c r="G222" s="53">
        <v>43511</v>
      </c>
      <c r="H222" s="52" t="s">
        <v>55</v>
      </c>
    </row>
    <row r="223" spans="1:10" x14ac:dyDescent="0.25">
      <c r="A223" t="s">
        <v>91</v>
      </c>
      <c r="B223" s="49">
        <v>18</v>
      </c>
      <c r="C223" s="51">
        <f>402800+10774.08</f>
        <v>413574.08</v>
      </c>
      <c r="D223" s="52" t="s">
        <v>2246</v>
      </c>
      <c r="E223" s="52" t="s">
        <v>2192</v>
      </c>
      <c r="F223" s="52" t="s">
        <v>52</v>
      </c>
      <c r="G223" s="53">
        <v>43511</v>
      </c>
      <c r="H223" s="52" t="s">
        <v>55</v>
      </c>
    </row>
    <row r="224" spans="1:10" x14ac:dyDescent="0.25">
      <c r="A224" t="s">
        <v>91</v>
      </c>
      <c r="B224" s="49">
        <v>18</v>
      </c>
      <c r="C224" s="51">
        <f>595455+18374.4</f>
        <v>613829.4</v>
      </c>
      <c r="D224" s="52" t="s">
        <v>2251</v>
      </c>
      <c r="E224" s="52" t="s">
        <v>2248</v>
      </c>
      <c r="F224" s="52" t="s">
        <v>52</v>
      </c>
      <c r="G224" s="53">
        <v>43511</v>
      </c>
      <c r="H224" s="52" t="s">
        <v>55</v>
      </c>
    </row>
    <row r="225" spans="1:10" x14ac:dyDescent="0.25">
      <c r="A225" t="s">
        <v>91</v>
      </c>
      <c r="B225" s="49">
        <v>18</v>
      </c>
      <c r="C225" s="51">
        <f>94075+2505.6</f>
        <v>96580.6</v>
      </c>
      <c r="D225" s="52" t="s">
        <v>2250</v>
      </c>
      <c r="E225" s="52" t="s">
        <v>2249</v>
      </c>
      <c r="F225" s="52" t="s">
        <v>52</v>
      </c>
      <c r="G225" s="53">
        <v>43511</v>
      </c>
      <c r="H225" s="52" t="s">
        <v>55</v>
      </c>
    </row>
    <row r="226" spans="1:10" x14ac:dyDescent="0.25">
      <c r="A226" t="s">
        <v>91</v>
      </c>
      <c r="B226" s="49">
        <v>18</v>
      </c>
      <c r="C226" s="51">
        <v>31549.200000000001</v>
      </c>
      <c r="D226" s="52" t="s">
        <v>2357</v>
      </c>
      <c r="E226" s="52" t="s">
        <v>2356</v>
      </c>
      <c r="F226" s="52" t="s">
        <v>87</v>
      </c>
      <c r="G226" s="51">
        <v>18.3</v>
      </c>
      <c r="H226" s="53">
        <v>43515</v>
      </c>
      <c r="I226" s="52" t="s">
        <v>62</v>
      </c>
    </row>
    <row r="227" spans="1:10" x14ac:dyDescent="0.25">
      <c r="A227" t="s">
        <v>122</v>
      </c>
      <c r="B227" s="49">
        <v>19</v>
      </c>
      <c r="C227" s="54">
        <f>23500*G227</f>
        <v>453996.5</v>
      </c>
      <c r="D227" s="55" t="s">
        <v>2133</v>
      </c>
      <c r="E227" s="55" t="s">
        <v>2398</v>
      </c>
      <c r="F227" s="55" t="s">
        <v>2324</v>
      </c>
      <c r="G227" s="56">
        <v>19.318999999999999</v>
      </c>
      <c r="H227" s="55"/>
      <c r="I227" s="57">
        <v>43515</v>
      </c>
      <c r="J227" s="55" t="s">
        <v>62</v>
      </c>
    </row>
    <row r="228" spans="1:10" x14ac:dyDescent="0.25">
      <c r="A228" t="s">
        <v>122</v>
      </c>
      <c r="B228" s="49">
        <v>19</v>
      </c>
      <c r="C228" s="51">
        <f>22046.28*G228</f>
        <v>425338.88003999996</v>
      </c>
      <c r="D228" s="52" t="s">
        <v>2140</v>
      </c>
      <c r="E228" s="52" t="s">
        <v>2304</v>
      </c>
      <c r="F228" s="52" t="s">
        <v>2305</v>
      </c>
      <c r="G228" s="58">
        <v>19.292999999999999</v>
      </c>
      <c r="H228" s="52">
        <v>28.8</v>
      </c>
      <c r="I228" s="53">
        <v>43515</v>
      </c>
      <c r="J228" s="52" t="s">
        <v>62</v>
      </c>
    </row>
    <row r="229" spans="1:10" x14ac:dyDescent="0.25">
      <c r="A229" t="s">
        <v>122</v>
      </c>
      <c r="B229" s="49">
        <v>19</v>
      </c>
      <c r="C229" s="54">
        <f>22000*G229</f>
        <v>425018</v>
      </c>
      <c r="D229" s="55" t="s">
        <v>2241</v>
      </c>
      <c r="E229" s="55" t="s">
        <v>2476</v>
      </c>
      <c r="F229" s="55" t="s">
        <v>1659</v>
      </c>
      <c r="G229" s="56">
        <v>19.318999999999999</v>
      </c>
      <c r="H229" s="55">
        <v>28.79</v>
      </c>
      <c r="I229" s="57">
        <v>43515</v>
      </c>
      <c r="J229" s="55" t="s">
        <v>62</v>
      </c>
    </row>
    <row r="230" spans="1:10" x14ac:dyDescent="0.25">
      <c r="A230" t="s">
        <v>122</v>
      </c>
      <c r="B230" s="49">
        <v>19</v>
      </c>
      <c r="C230" s="51">
        <f>777112.5+20796.48</f>
        <v>797908.98</v>
      </c>
      <c r="D230" s="52" t="s">
        <v>2268</v>
      </c>
      <c r="E230" s="52" t="s">
        <v>2212</v>
      </c>
      <c r="F230" s="52" t="s">
        <v>52</v>
      </c>
      <c r="G230" s="53">
        <v>43514</v>
      </c>
      <c r="H230" s="52" t="s">
        <v>55</v>
      </c>
    </row>
    <row r="231" spans="1:10" x14ac:dyDescent="0.25">
      <c r="A231" t="s">
        <v>122</v>
      </c>
      <c r="B231" s="49">
        <v>19</v>
      </c>
      <c r="C231" s="134">
        <f>669655+18374.4-3043.79</f>
        <v>684985.61</v>
      </c>
      <c r="D231" s="52" t="s">
        <v>2271</v>
      </c>
      <c r="E231" s="52" t="s">
        <v>2269</v>
      </c>
      <c r="F231" s="52" t="s">
        <v>52</v>
      </c>
      <c r="G231" s="53">
        <v>43514</v>
      </c>
      <c r="H231" s="52" t="s">
        <v>55</v>
      </c>
    </row>
    <row r="232" spans="1:10" x14ac:dyDescent="0.25">
      <c r="A232" t="s">
        <v>122</v>
      </c>
      <c r="B232" s="49">
        <v>19</v>
      </c>
      <c r="C232" s="51">
        <f>89967.5+2505.6</f>
        <v>92473.1</v>
      </c>
      <c r="D232" s="52" t="s">
        <v>2272</v>
      </c>
      <c r="E232" s="52" t="s">
        <v>2270</v>
      </c>
      <c r="F232" s="52" t="s">
        <v>52</v>
      </c>
      <c r="G232" s="53">
        <v>43514</v>
      </c>
      <c r="H232" s="52" t="s">
        <v>55</v>
      </c>
    </row>
    <row r="233" spans="1:10" x14ac:dyDescent="0.25">
      <c r="A233" t="s">
        <v>122</v>
      </c>
      <c r="B233" s="49">
        <v>19</v>
      </c>
      <c r="C233" s="51">
        <v>39519.4</v>
      </c>
      <c r="D233" s="52" t="s">
        <v>2363</v>
      </c>
      <c r="E233" s="52" t="s">
        <v>2386</v>
      </c>
      <c r="F233" s="52" t="s">
        <v>2364</v>
      </c>
      <c r="G233" s="52" t="s">
        <v>2365</v>
      </c>
      <c r="H233" s="53">
        <v>43515</v>
      </c>
      <c r="I233" s="52" t="s">
        <v>62</v>
      </c>
    </row>
    <row r="234" spans="1:10" x14ac:dyDescent="0.25">
      <c r="A234" t="s">
        <v>43</v>
      </c>
      <c r="B234" s="49">
        <v>20</v>
      </c>
      <c r="C234" s="54">
        <f>22500*G234</f>
        <v>433147.5</v>
      </c>
      <c r="D234" s="55" t="s">
        <v>2134</v>
      </c>
      <c r="E234" s="55" t="s">
        <v>2464</v>
      </c>
      <c r="F234" s="55" t="s">
        <v>125</v>
      </c>
      <c r="G234" s="56">
        <v>19.251000000000001</v>
      </c>
      <c r="H234" s="55">
        <v>29</v>
      </c>
      <c r="I234" s="57">
        <v>43516</v>
      </c>
      <c r="J234" s="55" t="s">
        <v>62</v>
      </c>
    </row>
    <row r="235" spans="1:10" x14ac:dyDescent="0.25">
      <c r="A235" t="s">
        <v>43</v>
      </c>
      <c r="B235" s="49">
        <v>20</v>
      </c>
      <c r="C235" s="51">
        <f>(21932.35-994.18)*G235</f>
        <v>403646.04125999991</v>
      </c>
      <c r="D235" s="52" t="s">
        <v>2139</v>
      </c>
      <c r="E235" s="52" t="s">
        <v>2323</v>
      </c>
      <c r="F235" s="52" t="s">
        <v>2344</v>
      </c>
      <c r="G235" s="58">
        <v>19.277999999999999</v>
      </c>
      <c r="H235" s="52">
        <v>29.51</v>
      </c>
      <c r="I235" s="53">
        <v>43516</v>
      </c>
      <c r="J235" s="52" t="s">
        <v>62</v>
      </c>
    </row>
    <row r="236" spans="1:10" x14ac:dyDescent="0.25">
      <c r="A236" t="s">
        <v>43</v>
      </c>
      <c r="B236" s="49">
        <v>20</v>
      </c>
      <c r="C236" s="51">
        <v>52187.6</v>
      </c>
      <c r="D236" s="52" t="s">
        <v>2395</v>
      </c>
      <c r="E236" s="52" t="s">
        <v>2396</v>
      </c>
      <c r="F236" s="52" t="s">
        <v>120</v>
      </c>
      <c r="G236" s="53">
        <v>43516</v>
      </c>
      <c r="H236" s="52" t="s">
        <v>55</v>
      </c>
      <c r="I236" s="72"/>
    </row>
    <row r="237" spans="1:10" x14ac:dyDescent="0.25">
      <c r="A237" t="s">
        <v>43</v>
      </c>
      <c r="B237" s="49">
        <v>20</v>
      </c>
      <c r="C237" s="51">
        <v>755663.27</v>
      </c>
      <c r="D237" s="52" t="s">
        <v>2315</v>
      </c>
      <c r="E237" s="52" t="s">
        <v>2397</v>
      </c>
      <c r="F237" s="52" t="s">
        <v>73</v>
      </c>
      <c r="G237" s="53">
        <v>43517</v>
      </c>
      <c r="H237" s="52" t="s">
        <v>55</v>
      </c>
    </row>
    <row r="238" spans="1:10" x14ac:dyDescent="0.25">
      <c r="A238" t="s">
        <v>43</v>
      </c>
      <c r="B238" s="49">
        <v>20</v>
      </c>
      <c r="C238" s="51">
        <f>745047.5+20963.52</f>
        <v>766011.02</v>
      </c>
      <c r="D238" s="52" t="s">
        <v>2273</v>
      </c>
      <c r="E238" s="52" t="s">
        <v>2220</v>
      </c>
      <c r="F238" s="52" t="s">
        <v>52</v>
      </c>
      <c r="G238" s="53">
        <v>43514</v>
      </c>
      <c r="H238" s="52" t="s">
        <v>55</v>
      </c>
    </row>
    <row r="239" spans="1:10" x14ac:dyDescent="0.25">
      <c r="A239" t="s">
        <v>43</v>
      </c>
      <c r="B239" s="49">
        <v>20</v>
      </c>
      <c r="C239" s="51">
        <f>435395+10857.6</f>
        <v>446252.6</v>
      </c>
      <c r="D239" s="52" t="s">
        <v>2275</v>
      </c>
      <c r="E239" s="52" t="s">
        <v>2274</v>
      </c>
      <c r="F239" s="52" t="s">
        <v>52</v>
      </c>
      <c r="G239" s="53">
        <v>43514</v>
      </c>
      <c r="H239" s="52" t="s">
        <v>55</v>
      </c>
    </row>
    <row r="240" spans="1:10" x14ac:dyDescent="0.25">
      <c r="A240" t="s">
        <v>59</v>
      </c>
      <c r="B240" s="49">
        <v>21</v>
      </c>
      <c r="C240" s="54">
        <f>21000*G240</f>
        <v>403641</v>
      </c>
      <c r="D240" s="55" t="s">
        <v>2135</v>
      </c>
      <c r="E240" s="55" t="s">
        <v>2475</v>
      </c>
      <c r="F240" s="55" t="s">
        <v>2392</v>
      </c>
      <c r="G240" s="56">
        <v>19.221</v>
      </c>
      <c r="H240" s="55">
        <v>29.22</v>
      </c>
      <c r="I240" s="57">
        <v>43517</v>
      </c>
      <c r="J240" s="55" t="s">
        <v>62</v>
      </c>
    </row>
    <row r="241" spans="1:11" x14ac:dyDescent="0.25">
      <c r="A241" t="s">
        <v>59</v>
      </c>
      <c r="B241" s="49">
        <v>21</v>
      </c>
      <c r="C241" s="51">
        <f>376167.5+10774.08-2915</f>
        <v>384026.58</v>
      </c>
      <c r="D241" s="52" t="s">
        <v>2276</v>
      </c>
      <c r="E241" s="52" t="s">
        <v>2277</v>
      </c>
      <c r="F241" s="52" t="s">
        <v>52</v>
      </c>
      <c r="G241" s="53">
        <v>43521</v>
      </c>
      <c r="H241" s="52" t="s">
        <v>55</v>
      </c>
    </row>
    <row r="242" spans="1:11" x14ac:dyDescent="0.25">
      <c r="A242" t="s">
        <v>70</v>
      </c>
      <c r="B242" s="49">
        <v>22</v>
      </c>
      <c r="C242" s="51">
        <f>21728.41*G242</f>
        <v>417315.84246000001</v>
      </c>
      <c r="D242" s="52" t="s">
        <v>2142</v>
      </c>
      <c r="E242" s="52" t="s">
        <v>2380</v>
      </c>
      <c r="F242" s="52" t="s">
        <v>2381</v>
      </c>
      <c r="G242" s="58">
        <v>19.206</v>
      </c>
      <c r="H242" s="52">
        <v>29.2</v>
      </c>
      <c r="I242" s="53">
        <v>43518</v>
      </c>
      <c r="J242" s="52" t="s">
        <v>62</v>
      </c>
    </row>
    <row r="243" spans="1:11" x14ac:dyDescent="0.25">
      <c r="A243" t="s">
        <v>70</v>
      </c>
      <c r="B243" s="49">
        <v>22</v>
      </c>
    </row>
    <row r="244" spans="1:11" x14ac:dyDescent="0.25">
      <c r="A244" s="37" t="s">
        <v>89</v>
      </c>
      <c r="B244" s="49">
        <v>23</v>
      </c>
    </row>
    <row r="245" spans="1:11" x14ac:dyDescent="0.25">
      <c r="A245" s="37" t="s">
        <v>90</v>
      </c>
      <c r="B245" s="49">
        <v>24</v>
      </c>
    </row>
    <row r="246" spans="1:11" x14ac:dyDescent="0.25">
      <c r="A246" t="s">
        <v>91</v>
      </c>
      <c r="B246" s="49">
        <v>25</v>
      </c>
      <c r="C246" s="54">
        <f>22000*G246</f>
        <v>421542.00000000006</v>
      </c>
      <c r="D246" s="55" t="s">
        <v>2136</v>
      </c>
      <c r="E246" s="55" t="s">
        <v>2517</v>
      </c>
      <c r="F246" s="55" t="s">
        <v>1659</v>
      </c>
      <c r="G246" s="56">
        <v>19.161000000000001</v>
      </c>
      <c r="H246" s="55">
        <v>30.42</v>
      </c>
      <c r="I246" s="57">
        <v>43521</v>
      </c>
      <c r="J246" s="55" t="s">
        <v>62</v>
      </c>
    </row>
    <row r="247" spans="1:11" x14ac:dyDescent="0.25">
      <c r="A247" t="s">
        <v>91</v>
      </c>
      <c r="B247" s="49">
        <v>25</v>
      </c>
      <c r="C247" s="54">
        <f>22000*G247</f>
        <v>421542.00000000006</v>
      </c>
      <c r="D247" s="55" t="s">
        <v>2243</v>
      </c>
      <c r="E247" s="55" t="s">
        <v>2573</v>
      </c>
      <c r="F247" s="55" t="s">
        <v>1659</v>
      </c>
      <c r="G247" s="56">
        <v>19.161000000000001</v>
      </c>
      <c r="H247" s="55">
        <v>30.21</v>
      </c>
      <c r="I247" s="57">
        <v>39869</v>
      </c>
      <c r="J247" s="55" t="s">
        <v>62</v>
      </c>
    </row>
    <row r="248" spans="1:11" x14ac:dyDescent="0.25">
      <c r="A248" t="s">
        <v>91</v>
      </c>
      <c r="B248" s="49">
        <v>25</v>
      </c>
      <c r="C248" s="51">
        <f>21205.1*G248</f>
        <v>405865.614</v>
      </c>
      <c r="D248" s="52" t="s">
        <v>2144</v>
      </c>
      <c r="E248" s="52" t="s">
        <v>2399</v>
      </c>
      <c r="F248" s="52" t="s">
        <v>2400</v>
      </c>
      <c r="G248" s="58">
        <v>19.14</v>
      </c>
      <c r="H248" s="52"/>
      <c r="I248" s="53">
        <v>43521</v>
      </c>
      <c r="J248" s="52" t="s">
        <v>62</v>
      </c>
      <c r="K248" t="s">
        <v>2401</v>
      </c>
    </row>
    <row r="249" spans="1:11" x14ac:dyDescent="0.25">
      <c r="A249" t="s">
        <v>91</v>
      </c>
      <c r="B249" s="49">
        <v>25</v>
      </c>
      <c r="C249" s="51">
        <f>820307.5+20880</f>
        <v>841187.5</v>
      </c>
      <c r="D249" s="52" t="s">
        <v>2309</v>
      </c>
      <c r="E249" s="52" t="s">
        <v>2281</v>
      </c>
      <c r="F249" s="52" t="s">
        <v>52</v>
      </c>
      <c r="G249" s="53">
        <v>43515</v>
      </c>
      <c r="H249" s="52" t="s">
        <v>55</v>
      </c>
    </row>
    <row r="250" spans="1:11" x14ac:dyDescent="0.25">
      <c r="A250" t="s">
        <v>91</v>
      </c>
      <c r="B250" s="49">
        <v>25</v>
      </c>
      <c r="C250" s="51">
        <f>422277.5+10857.6</f>
        <v>433135.1</v>
      </c>
      <c r="D250" s="52" t="s">
        <v>2308</v>
      </c>
      <c r="E250" s="52" t="s">
        <v>2310</v>
      </c>
      <c r="F250" s="52" t="s">
        <v>52</v>
      </c>
      <c r="G250" s="53">
        <v>43516</v>
      </c>
      <c r="H250" s="52" t="s">
        <v>55</v>
      </c>
    </row>
    <row r="251" spans="1:11" x14ac:dyDescent="0.25">
      <c r="A251" t="s">
        <v>91</v>
      </c>
      <c r="B251" s="49">
        <v>25</v>
      </c>
      <c r="C251" s="51">
        <f>732195+20796.48</f>
        <v>752991.48</v>
      </c>
      <c r="D251" s="52" t="s">
        <v>2334</v>
      </c>
      <c r="E251" s="52" t="s">
        <v>2330</v>
      </c>
      <c r="F251" s="52" t="s">
        <v>52</v>
      </c>
      <c r="G251" s="53">
        <v>43517</v>
      </c>
      <c r="H251" s="52" t="s">
        <v>55</v>
      </c>
    </row>
    <row r="252" spans="1:11" x14ac:dyDescent="0.25">
      <c r="A252" t="s">
        <v>91</v>
      </c>
      <c r="B252" s="49">
        <v>25</v>
      </c>
      <c r="C252" s="51">
        <v>53585.599999999999</v>
      </c>
      <c r="D252" s="52" t="s">
        <v>2466</v>
      </c>
      <c r="E252" s="52" t="s">
        <v>2467</v>
      </c>
      <c r="F252" s="52" t="s">
        <v>120</v>
      </c>
      <c r="G252" s="53">
        <v>43521</v>
      </c>
      <c r="H252" s="52" t="s">
        <v>55</v>
      </c>
    </row>
    <row r="253" spans="1:11" x14ac:dyDescent="0.25">
      <c r="A253" t="s">
        <v>122</v>
      </c>
      <c r="B253" s="49">
        <v>26</v>
      </c>
      <c r="C253" s="54">
        <f>22000*G253</f>
        <v>421190</v>
      </c>
      <c r="D253" s="55" t="s">
        <v>2244</v>
      </c>
      <c r="E253" s="55" t="s">
        <v>2618</v>
      </c>
      <c r="F253" s="55" t="s">
        <v>2424</v>
      </c>
      <c r="G253" s="56">
        <v>19.145</v>
      </c>
      <c r="H253" s="55">
        <v>30.5</v>
      </c>
      <c r="I253" s="57">
        <v>43522</v>
      </c>
      <c r="J253" s="55" t="s">
        <v>62</v>
      </c>
    </row>
    <row r="254" spans="1:11" x14ac:dyDescent="0.25">
      <c r="A254" t="s">
        <v>122</v>
      </c>
      <c r="B254" s="49">
        <v>26</v>
      </c>
      <c r="C254" s="51">
        <f>629640+16704</f>
        <v>646344</v>
      </c>
      <c r="D254" s="52" t="s">
        <v>2335</v>
      </c>
      <c r="E254" s="52" t="s">
        <v>2336</v>
      </c>
      <c r="F254" s="52" t="s">
        <v>52</v>
      </c>
      <c r="G254" s="53">
        <v>43518</v>
      </c>
      <c r="H254" s="52" t="s">
        <v>55</v>
      </c>
    </row>
    <row r="255" spans="1:11" x14ac:dyDescent="0.25">
      <c r="A255" t="s">
        <v>122</v>
      </c>
      <c r="B255" s="49">
        <v>26</v>
      </c>
      <c r="C255" s="51">
        <f>377890+10857.6</f>
        <v>388747.6</v>
      </c>
      <c r="D255" s="52" t="s">
        <v>2338</v>
      </c>
      <c r="E255" s="52" t="s">
        <v>2337</v>
      </c>
      <c r="F255" s="52" t="s">
        <v>52</v>
      </c>
      <c r="G255" s="53">
        <v>43521</v>
      </c>
      <c r="H255" s="52" t="s">
        <v>55</v>
      </c>
    </row>
    <row r="256" spans="1:11" x14ac:dyDescent="0.25">
      <c r="A256" t="s">
        <v>43</v>
      </c>
      <c r="B256" s="49">
        <v>27</v>
      </c>
      <c r="C256" s="54">
        <f t="shared" ref="C256:C257" si="1">22000*G256</f>
        <v>421190</v>
      </c>
      <c r="D256" s="55" t="s">
        <v>2149</v>
      </c>
      <c r="E256" s="55" t="s">
        <v>2569</v>
      </c>
      <c r="F256" s="55" t="s">
        <v>1659</v>
      </c>
      <c r="G256" s="56">
        <v>19.145</v>
      </c>
      <c r="H256" s="55">
        <v>20.46</v>
      </c>
      <c r="I256" s="57">
        <v>43523</v>
      </c>
      <c r="J256" s="55" t="s">
        <v>62</v>
      </c>
    </row>
    <row r="257" spans="1:14" x14ac:dyDescent="0.25">
      <c r="A257" t="s">
        <v>43</v>
      </c>
      <c r="B257" s="49">
        <v>27</v>
      </c>
      <c r="C257" s="54">
        <f t="shared" si="1"/>
        <v>421190</v>
      </c>
      <c r="D257" s="55" t="s">
        <v>2150</v>
      </c>
      <c r="E257" s="55" t="s">
        <v>2568</v>
      </c>
      <c r="F257" s="55" t="s">
        <v>1659</v>
      </c>
      <c r="G257" s="56">
        <v>19.145</v>
      </c>
      <c r="H257" s="55">
        <v>30.44</v>
      </c>
      <c r="I257" s="57">
        <v>43523</v>
      </c>
      <c r="J257" s="55" t="s">
        <v>62</v>
      </c>
    </row>
    <row r="258" spans="1:14" x14ac:dyDescent="0.25">
      <c r="A258" t="s">
        <v>43</v>
      </c>
      <c r="B258" s="49">
        <v>27</v>
      </c>
      <c r="C258" s="51">
        <v>742338</v>
      </c>
      <c r="D258" s="52" t="s">
        <v>2347</v>
      </c>
      <c r="E258" s="52" t="s">
        <v>2411</v>
      </c>
      <c r="F258" s="52" t="s">
        <v>73</v>
      </c>
      <c r="G258" s="53">
        <v>43521</v>
      </c>
      <c r="H258" s="52" t="s">
        <v>55</v>
      </c>
    </row>
    <row r="259" spans="1:14" x14ac:dyDescent="0.25">
      <c r="A259" t="s">
        <v>43</v>
      </c>
      <c r="B259" s="49">
        <v>27</v>
      </c>
      <c r="C259" s="51">
        <f>785990+20796.48</f>
        <v>806786.48</v>
      </c>
      <c r="D259" s="52" t="s">
        <v>2339</v>
      </c>
      <c r="E259" s="52" t="s">
        <v>2332</v>
      </c>
      <c r="F259" s="52" t="s">
        <v>52</v>
      </c>
      <c r="G259" s="53">
        <v>43521</v>
      </c>
      <c r="H259" s="52" t="s">
        <v>55</v>
      </c>
    </row>
    <row r="260" spans="1:14" x14ac:dyDescent="0.25">
      <c r="A260" t="s">
        <v>43</v>
      </c>
      <c r="B260" s="49">
        <v>27</v>
      </c>
      <c r="C260" s="51">
        <f>763200+20796.48</f>
        <v>783996.48</v>
      </c>
      <c r="D260" s="52" t="s">
        <v>2342</v>
      </c>
      <c r="E260" s="52" t="s">
        <v>2343</v>
      </c>
      <c r="F260" s="52" t="s">
        <v>52</v>
      </c>
      <c r="G260" s="53">
        <v>43523</v>
      </c>
      <c r="H260" s="52" t="s">
        <v>55</v>
      </c>
    </row>
    <row r="261" spans="1:14" x14ac:dyDescent="0.25">
      <c r="A261" t="s">
        <v>43</v>
      </c>
      <c r="B261" s="49">
        <v>27</v>
      </c>
      <c r="C261" s="51">
        <f>430227.5+10857.6</f>
        <v>441085.1</v>
      </c>
      <c r="D261" s="52" t="s">
        <v>2340</v>
      </c>
      <c r="E261" s="52" t="s">
        <v>2333</v>
      </c>
      <c r="F261" s="52" t="s">
        <v>52</v>
      </c>
      <c r="G261" s="53">
        <v>43523</v>
      </c>
      <c r="H261" s="52" t="s">
        <v>55</v>
      </c>
    </row>
    <row r="262" spans="1:14" x14ac:dyDescent="0.25">
      <c r="A262" t="s">
        <v>43</v>
      </c>
      <c r="B262" s="49">
        <v>27</v>
      </c>
      <c r="C262" s="51">
        <v>29500</v>
      </c>
      <c r="D262" s="52" t="s">
        <v>2452</v>
      </c>
      <c r="E262" s="52" t="s">
        <v>2453</v>
      </c>
      <c r="F262" s="52" t="s">
        <v>1918</v>
      </c>
      <c r="G262" s="52">
        <v>29.5</v>
      </c>
      <c r="H262" s="53">
        <v>43523</v>
      </c>
      <c r="I262" s="52" t="s">
        <v>62</v>
      </c>
    </row>
    <row r="263" spans="1:14" x14ac:dyDescent="0.25">
      <c r="A263" t="s">
        <v>43</v>
      </c>
      <c r="B263" s="49">
        <v>27</v>
      </c>
      <c r="C263" s="51">
        <v>44370</v>
      </c>
      <c r="D263" s="52" t="s">
        <v>2454</v>
      </c>
      <c r="E263" s="52" t="s">
        <v>2451</v>
      </c>
      <c r="F263" s="52" t="s">
        <v>87</v>
      </c>
      <c r="G263" s="52">
        <v>17</v>
      </c>
      <c r="H263" s="53">
        <v>43523</v>
      </c>
      <c r="I263" s="52" t="s">
        <v>62</v>
      </c>
    </row>
    <row r="264" spans="1:14" x14ac:dyDescent="0.25">
      <c r="A264" t="s">
        <v>59</v>
      </c>
      <c r="B264" s="49">
        <v>28</v>
      </c>
      <c r="C264" s="54">
        <f>22000*G264</f>
        <v>421190</v>
      </c>
      <c r="D264" s="55" t="s">
        <v>2151</v>
      </c>
      <c r="E264" s="55" t="s">
        <v>2574</v>
      </c>
      <c r="F264" s="55" t="s">
        <v>1659</v>
      </c>
      <c r="G264" s="56">
        <v>19.145</v>
      </c>
      <c r="H264" s="55">
        <v>30.91</v>
      </c>
      <c r="I264" s="57">
        <v>43524</v>
      </c>
      <c r="J264" s="55" t="s">
        <v>62</v>
      </c>
    </row>
    <row r="265" spans="1:14" x14ac:dyDescent="0.25">
      <c r="A265" t="s">
        <v>59</v>
      </c>
      <c r="B265" s="49">
        <v>28</v>
      </c>
      <c r="C265" s="51">
        <f>437515+12444.48</f>
        <v>449959.48</v>
      </c>
      <c r="D265" s="52" t="s">
        <v>2348</v>
      </c>
      <c r="E265" s="52" t="s">
        <v>2349</v>
      </c>
      <c r="F265" s="52" t="s">
        <v>52</v>
      </c>
      <c r="G265" s="53">
        <v>43524</v>
      </c>
      <c r="H265" s="53" t="s">
        <v>55</v>
      </c>
      <c r="I265" s="52"/>
      <c r="K265" s="48" t="s">
        <v>2488</v>
      </c>
      <c r="L265" s="48"/>
      <c r="M265" s="48"/>
      <c r="N265" s="48"/>
    </row>
    <row r="266" spans="1:14" x14ac:dyDescent="0.25">
      <c r="A266" t="s">
        <v>59</v>
      </c>
      <c r="B266" s="49">
        <v>28</v>
      </c>
      <c r="C266" s="51">
        <f>309520+9187.2</f>
        <v>318707.20000000001</v>
      </c>
      <c r="D266" s="52" t="s">
        <v>2351</v>
      </c>
      <c r="E266" s="52" t="s">
        <v>2350</v>
      </c>
      <c r="F266" s="52" t="s">
        <v>52</v>
      </c>
      <c r="G266" s="53">
        <v>43524</v>
      </c>
      <c r="H266" s="53" t="s">
        <v>55</v>
      </c>
      <c r="I266" s="52"/>
    </row>
    <row r="267" spans="1:14" x14ac:dyDescent="0.25">
      <c r="A267" t="s">
        <v>59</v>
      </c>
      <c r="B267" s="49">
        <v>28</v>
      </c>
      <c r="C267" s="51">
        <v>269165.88</v>
      </c>
      <c r="D267" s="52" t="s">
        <v>2445</v>
      </c>
      <c r="E267" s="52" t="s">
        <v>2461</v>
      </c>
      <c r="F267" s="52" t="s">
        <v>1925</v>
      </c>
      <c r="G267" s="52">
        <v>89.5</v>
      </c>
      <c r="H267" s="53">
        <v>43524</v>
      </c>
      <c r="I267" s="52" t="s">
        <v>2487</v>
      </c>
    </row>
    <row r="268" spans="1:14" x14ac:dyDescent="0.25">
      <c r="A268" s="61" t="s">
        <v>2148</v>
      </c>
    </row>
    <row r="269" spans="1:14" x14ac:dyDescent="0.25">
      <c r="A269" t="s">
        <v>70</v>
      </c>
      <c r="B269" s="49">
        <v>1</v>
      </c>
      <c r="C269" s="51">
        <f>21839.39*G269</f>
        <v>421543.90577999997</v>
      </c>
      <c r="D269" s="52" t="s">
        <v>2154</v>
      </c>
      <c r="E269" s="52" t="s">
        <v>2414</v>
      </c>
      <c r="F269" s="52" t="s">
        <v>2415</v>
      </c>
      <c r="G269" s="52">
        <v>19.302</v>
      </c>
      <c r="H269" s="52">
        <v>28.32</v>
      </c>
      <c r="I269" s="53">
        <v>43524</v>
      </c>
      <c r="J269" s="52" t="s">
        <v>62</v>
      </c>
    </row>
    <row r="270" spans="1:14" x14ac:dyDescent="0.25">
      <c r="A270" t="s">
        <v>70</v>
      </c>
      <c r="B270" s="49">
        <v>1</v>
      </c>
      <c r="G270" s="67"/>
    </row>
    <row r="271" spans="1:14" x14ac:dyDescent="0.25">
      <c r="A271" s="37" t="s">
        <v>89</v>
      </c>
      <c r="B271" s="49">
        <v>2</v>
      </c>
    </row>
    <row r="272" spans="1:14" x14ac:dyDescent="0.25">
      <c r="A272" s="37" t="s">
        <v>90</v>
      </c>
      <c r="B272" s="49">
        <v>3</v>
      </c>
    </row>
    <row r="273" spans="1:15" x14ac:dyDescent="0.25">
      <c r="A273" t="s">
        <v>91</v>
      </c>
      <c r="B273" s="49">
        <v>4</v>
      </c>
      <c r="C273" s="54">
        <f>27000*G273</f>
        <v>522180</v>
      </c>
      <c r="D273" s="55" t="s">
        <v>2152</v>
      </c>
      <c r="E273" s="55" t="s">
        <v>2664</v>
      </c>
      <c r="F273" s="55" t="s">
        <v>2516</v>
      </c>
      <c r="G273" s="56">
        <v>19.34</v>
      </c>
      <c r="H273" s="55">
        <v>31.47</v>
      </c>
      <c r="I273" s="57">
        <v>43528</v>
      </c>
      <c r="J273" s="55" t="s">
        <v>62</v>
      </c>
    </row>
    <row r="274" spans="1:15" x14ac:dyDescent="0.25">
      <c r="A274" t="s">
        <v>91</v>
      </c>
      <c r="B274" s="49">
        <v>4</v>
      </c>
      <c r="C274" s="51">
        <f>21926.29*G274</f>
        <v>423221.24958</v>
      </c>
      <c r="D274" s="52" t="s">
        <v>2155</v>
      </c>
      <c r="E274" s="52" t="s">
        <v>2481</v>
      </c>
      <c r="F274" s="52" t="s">
        <v>2482</v>
      </c>
      <c r="G274" s="58">
        <v>19.302</v>
      </c>
      <c r="H274" s="52">
        <v>29.28</v>
      </c>
      <c r="I274" s="53">
        <v>43524</v>
      </c>
      <c r="J274" s="52" t="s">
        <v>62</v>
      </c>
    </row>
    <row r="275" spans="1:15" x14ac:dyDescent="0.25">
      <c r="A275" t="s">
        <v>91</v>
      </c>
      <c r="B275" s="49">
        <v>4</v>
      </c>
      <c r="C275" s="54">
        <f>24000*G275</f>
        <v>464160</v>
      </c>
      <c r="D275" s="55" t="s">
        <v>2534</v>
      </c>
      <c r="E275" s="55" t="s">
        <v>2663</v>
      </c>
      <c r="F275" s="55" t="s">
        <v>1660</v>
      </c>
      <c r="G275" s="56">
        <v>19.34</v>
      </c>
      <c r="H275" s="55">
        <v>33.07</v>
      </c>
      <c r="I275" s="57">
        <v>43528</v>
      </c>
      <c r="J275" s="55" t="s">
        <v>62</v>
      </c>
    </row>
    <row r="276" spans="1:15" x14ac:dyDescent="0.25">
      <c r="A276" t="s">
        <v>91</v>
      </c>
      <c r="B276" s="49">
        <v>4</v>
      </c>
      <c r="C276" s="51">
        <v>1106691.93</v>
      </c>
      <c r="D276" s="52" t="s">
        <v>2369</v>
      </c>
      <c r="E276" s="52" t="s">
        <v>2366</v>
      </c>
      <c r="F276" s="52" t="s">
        <v>1798</v>
      </c>
      <c r="G276" s="58">
        <v>59.8</v>
      </c>
      <c r="H276" s="53">
        <v>43528</v>
      </c>
      <c r="I276" s="52" t="s">
        <v>62</v>
      </c>
    </row>
    <row r="277" spans="1:15" x14ac:dyDescent="0.25">
      <c r="A277" t="s">
        <v>91</v>
      </c>
      <c r="B277" s="49">
        <v>4</v>
      </c>
      <c r="C277" s="51">
        <f>602610+16704-3013.05</f>
        <v>616300.94999999995</v>
      </c>
      <c r="D277" s="52" t="s">
        <v>2427</v>
      </c>
      <c r="E277" s="52" t="s">
        <v>2428</v>
      </c>
      <c r="F277" s="52" t="s">
        <v>52</v>
      </c>
      <c r="G277" s="53">
        <v>43524</v>
      </c>
      <c r="H277" s="52" t="s">
        <v>55</v>
      </c>
    </row>
    <row r="278" spans="1:15" x14ac:dyDescent="0.25">
      <c r="A278" t="s">
        <v>91</v>
      </c>
      <c r="B278" s="49">
        <v>4</v>
      </c>
      <c r="C278" s="51">
        <f>417905+10857.6</f>
        <v>428762.6</v>
      </c>
      <c r="D278" s="52" t="s">
        <v>2429</v>
      </c>
      <c r="E278" s="52" t="s">
        <v>2376</v>
      </c>
      <c r="F278" s="52" t="s">
        <v>52</v>
      </c>
      <c r="G278" s="53">
        <v>43524</v>
      </c>
      <c r="H278" s="52" t="s">
        <v>55</v>
      </c>
      <c r="I278" s="52"/>
      <c r="K278" s="48" t="s">
        <v>2489</v>
      </c>
      <c r="L278" s="48"/>
      <c r="M278" s="48"/>
      <c r="N278" s="48"/>
      <c r="O278" s="48"/>
    </row>
    <row r="279" spans="1:15" x14ac:dyDescent="0.25">
      <c r="A279" t="s">
        <v>91</v>
      </c>
      <c r="B279" s="49">
        <v>4</v>
      </c>
      <c r="C279" s="51">
        <f>647262.5+18374.4</f>
        <v>665636.9</v>
      </c>
      <c r="D279" s="52" t="s">
        <v>2430</v>
      </c>
      <c r="E279" s="52" t="s">
        <v>2431</v>
      </c>
      <c r="F279" s="52" t="s">
        <v>52</v>
      </c>
      <c r="G279" s="53">
        <v>43524</v>
      </c>
      <c r="H279" s="52" t="s">
        <v>55</v>
      </c>
    </row>
    <row r="280" spans="1:15" x14ac:dyDescent="0.25">
      <c r="A280" t="s">
        <v>91</v>
      </c>
      <c r="B280" s="49">
        <v>4</v>
      </c>
      <c r="C280" s="51">
        <f>92220+2505.6</f>
        <v>94725.6</v>
      </c>
      <c r="D280" s="52" t="s">
        <v>2433</v>
      </c>
      <c r="E280" s="52" t="s">
        <v>2432</v>
      </c>
      <c r="F280" s="52" t="s">
        <v>52</v>
      </c>
      <c r="G280" s="53">
        <v>43524</v>
      </c>
      <c r="H280" s="52" t="s">
        <v>55</v>
      </c>
    </row>
    <row r="281" spans="1:15" x14ac:dyDescent="0.25">
      <c r="A281" t="s">
        <v>91</v>
      </c>
      <c r="B281" s="49">
        <v>4</v>
      </c>
      <c r="C281" s="51">
        <v>54142.8</v>
      </c>
      <c r="D281" s="52" t="s">
        <v>2575</v>
      </c>
      <c r="E281" s="52" t="s">
        <v>2576</v>
      </c>
      <c r="F281" s="52" t="s">
        <v>120</v>
      </c>
      <c r="G281" s="53">
        <v>43528</v>
      </c>
      <c r="H281" s="52" t="s">
        <v>55</v>
      </c>
    </row>
    <row r="282" spans="1:15" x14ac:dyDescent="0.25">
      <c r="A282" t="s">
        <v>91</v>
      </c>
      <c r="B282" s="49">
        <v>4</v>
      </c>
      <c r="C282" s="51">
        <v>116077.02</v>
      </c>
      <c r="D282" s="52" t="s">
        <v>2577</v>
      </c>
      <c r="E282" s="52" t="s">
        <v>2578</v>
      </c>
      <c r="F282" s="52" t="s">
        <v>2579</v>
      </c>
      <c r="G282" s="53" t="s">
        <v>2580</v>
      </c>
      <c r="H282" s="53">
        <v>43529</v>
      </c>
      <c r="I282" s="52" t="s">
        <v>62</v>
      </c>
    </row>
    <row r="283" spans="1:15" x14ac:dyDescent="0.25">
      <c r="A283" t="s">
        <v>91</v>
      </c>
      <c r="B283" s="49">
        <v>4</v>
      </c>
      <c r="C283" s="51">
        <v>59058</v>
      </c>
      <c r="D283" s="52" t="s">
        <v>2456</v>
      </c>
      <c r="E283" s="52" t="s">
        <v>2457</v>
      </c>
      <c r="F283" s="52" t="s">
        <v>87</v>
      </c>
      <c r="G283" s="53">
        <v>43529</v>
      </c>
      <c r="H283" s="52" t="s">
        <v>62</v>
      </c>
    </row>
    <row r="284" spans="1:15" x14ac:dyDescent="0.25">
      <c r="A284" t="s">
        <v>122</v>
      </c>
      <c r="B284" s="49">
        <v>5</v>
      </c>
      <c r="C284" s="54">
        <f>24000*G284</f>
        <v>463680</v>
      </c>
      <c r="D284" s="55" t="s">
        <v>2537</v>
      </c>
      <c r="E284" s="55" t="s">
        <v>2727</v>
      </c>
      <c r="F284" s="55" t="s">
        <v>1660</v>
      </c>
      <c r="G284" s="56">
        <v>19.32</v>
      </c>
      <c r="H284" s="55">
        <v>34.130000000000003</v>
      </c>
      <c r="I284" s="57">
        <v>43529</v>
      </c>
      <c r="J284" s="55" t="s">
        <v>62</v>
      </c>
    </row>
    <row r="285" spans="1:15" x14ac:dyDescent="0.25">
      <c r="A285" t="s">
        <v>122</v>
      </c>
      <c r="B285" s="49">
        <v>5</v>
      </c>
      <c r="C285" s="51">
        <f>605525+16704</f>
        <v>622229</v>
      </c>
      <c r="D285" s="52" t="s">
        <v>2434</v>
      </c>
      <c r="E285" s="52" t="s">
        <v>2435</v>
      </c>
      <c r="F285" s="52" t="s">
        <v>52</v>
      </c>
      <c r="G285" s="53">
        <v>43528</v>
      </c>
      <c r="H285" s="52" t="s">
        <v>55</v>
      </c>
    </row>
    <row r="286" spans="1:15" x14ac:dyDescent="0.25">
      <c r="A286" t="s">
        <v>122</v>
      </c>
      <c r="B286" s="49">
        <v>5</v>
      </c>
      <c r="C286" s="51">
        <f>662235+18374.4-3007.75</f>
        <v>677601.65</v>
      </c>
      <c r="D286" s="52" t="s">
        <v>2437</v>
      </c>
      <c r="E286" s="52" t="s">
        <v>2436</v>
      </c>
      <c r="F286" s="52" t="s">
        <v>52</v>
      </c>
      <c r="G286" s="53">
        <v>43627</v>
      </c>
      <c r="H286" s="52" t="s">
        <v>55</v>
      </c>
    </row>
    <row r="287" spans="1:15" x14ac:dyDescent="0.25">
      <c r="A287" t="s">
        <v>122</v>
      </c>
      <c r="B287" s="49">
        <v>5</v>
      </c>
      <c r="C287" s="51">
        <f>102820+2505.6-3418.5</f>
        <v>101907.1</v>
      </c>
      <c r="D287" s="52" t="s">
        <v>2438</v>
      </c>
      <c r="E287" s="52" t="s">
        <v>2439</v>
      </c>
      <c r="F287" s="52" t="s">
        <v>52</v>
      </c>
      <c r="G287" s="53">
        <v>43528</v>
      </c>
      <c r="H287" s="52" t="s">
        <v>55</v>
      </c>
    </row>
    <row r="288" spans="1:15" x14ac:dyDescent="0.25">
      <c r="A288" t="s">
        <v>43</v>
      </c>
      <c r="B288" s="49">
        <v>6</v>
      </c>
      <c r="C288" s="51">
        <f>23115.98*G288</f>
        <v>445213.77480000001</v>
      </c>
      <c r="D288" s="52" t="s">
        <v>2547</v>
      </c>
      <c r="E288" s="52" t="s">
        <v>2548</v>
      </c>
      <c r="F288" s="52" t="s">
        <v>2549</v>
      </c>
      <c r="G288" s="58">
        <v>19.260000000000002</v>
      </c>
      <c r="H288" s="52">
        <v>30.77</v>
      </c>
      <c r="I288" s="53">
        <v>43530</v>
      </c>
      <c r="J288" s="52" t="s">
        <v>62</v>
      </c>
    </row>
    <row r="289" spans="1:10" x14ac:dyDescent="0.25">
      <c r="A289" t="s">
        <v>43</v>
      </c>
      <c r="B289" s="49">
        <v>6</v>
      </c>
      <c r="C289" s="54">
        <f>25500*G289</f>
        <v>491946.00000000006</v>
      </c>
      <c r="D289" s="55" t="s">
        <v>2538</v>
      </c>
      <c r="E289" s="55" t="s">
        <v>2672</v>
      </c>
      <c r="F289" s="55" t="s">
        <v>2540</v>
      </c>
      <c r="G289" s="56">
        <v>19.292000000000002</v>
      </c>
      <c r="H289" s="55">
        <v>33.33</v>
      </c>
      <c r="I289" s="57">
        <v>43530</v>
      </c>
      <c r="J289" s="55" t="s">
        <v>62</v>
      </c>
    </row>
    <row r="290" spans="1:10" x14ac:dyDescent="0.25">
      <c r="A290" t="s">
        <v>43</v>
      </c>
      <c r="B290" s="49">
        <v>6</v>
      </c>
      <c r="C290" s="51">
        <f>22039.5*34.2</f>
        <v>753750.9</v>
      </c>
      <c r="D290" s="52" t="s">
        <v>2518</v>
      </c>
      <c r="E290" s="52" t="s">
        <v>2572</v>
      </c>
      <c r="F290" s="52" t="s">
        <v>73</v>
      </c>
      <c r="G290" s="53">
        <v>43529</v>
      </c>
      <c r="H290" s="52" t="s">
        <v>55</v>
      </c>
    </row>
    <row r="291" spans="1:10" x14ac:dyDescent="0.25">
      <c r="A291" t="s">
        <v>43</v>
      </c>
      <c r="B291" s="49">
        <v>6</v>
      </c>
      <c r="C291" s="51">
        <f>599430+16787.52-2981.25</f>
        <v>613236.27</v>
      </c>
      <c r="D291" s="52" t="s">
        <v>2440</v>
      </c>
      <c r="E291" s="52" t="s">
        <v>2403</v>
      </c>
      <c r="F291" s="52" t="s">
        <v>52</v>
      </c>
      <c r="G291" s="53">
        <v>43543</v>
      </c>
      <c r="H291" s="52" t="s">
        <v>55</v>
      </c>
    </row>
    <row r="292" spans="1:10" x14ac:dyDescent="0.25">
      <c r="A292" t="s">
        <v>43</v>
      </c>
      <c r="B292" s="49">
        <v>6</v>
      </c>
      <c r="C292" s="51">
        <f>446657.5+10857.6</f>
        <v>457515.1</v>
      </c>
      <c r="D292" s="52" t="s">
        <v>2441</v>
      </c>
      <c r="E292" s="52" t="s">
        <v>2404</v>
      </c>
      <c r="F292" s="52" t="s">
        <v>52</v>
      </c>
      <c r="G292" s="53">
        <v>43528</v>
      </c>
      <c r="H292" s="52" t="s">
        <v>55</v>
      </c>
    </row>
    <row r="293" spans="1:10" x14ac:dyDescent="0.25">
      <c r="A293" t="s">
        <v>59</v>
      </c>
      <c r="B293" s="49">
        <v>7</v>
      </c>
      <c r="C293" s="54">
        <f>26000*G293</f>
        <v>510354.00000000006</v>
      </c>
      <c r="D293" s="55" t="s">
        <v>2541</v>
      </c>
      <c r="E293" s="55" t="s">
        <v>2703</v>
      </c>
      <c r="F293" s="55" t="s">
        <v>1764</v>
      </c>
      <c r="G293" s="56">
        <v>19.629000000000001</v>
      </c>
      <c r="H293" s="55">
        <v>34.9</v>
      </c>
      <c r="I293" s="57">
        <v>43531</v>
      </c>
      <c r="J293" s="55" t="s">
        <v>62</v>
      </c>
    </row>
    <row r="294" spans="1:10" x14ac:dyDescent="0.25">
      <c r="A294" t="s">
        <v>59</v>
      </c>
      <c r="B294" s="49">
        <v>7</v>
      </c>
      <c r="C294" s="51">
        <f>407967.5+10857.6</f>
        <v>418825.1</v>
      </c>
      <c r="D294" s="52" t="s">
        <v>2442</v>
      </c>
      <c r="E294" s="52" t="s">
        <v>2405</v>
      </c>
      <c r="F294" s="52" t="s">
        <v>52</v>
      </c>
      <c r="G294" s="53">
        <v>43528</v>
      </c>
      <c r="H294" s="52" t="s">
        <v>55</v>
      </c>
    </row>
    <row r="295" spans="1:10" x14ac:dyDescent="0.25">
      <c r="A295" t="s">
        <v>59</v>
      </c>
      <c r="B295" s="49">
        <v>7</v>
      </c>
      <c r="C295" s="51">
        <v>56511</v>
      </c>
      <c r="D295" s="52" t="s">
        <v>2622</v>
      </c>
      <c r="E295" s="52" t="s">
        <v>2623</v>
      </c>
      <c r="F295" s="52" t="s">
        <v>120</v>
      </c>
      <c r="G295" s="53">
        <v>43531</v>
      </c>
      <c r="H295" s="52" t="s">
        <v>55</v>
      </c>
    </row>
    <row r="296" spans="1:10" x14ac:dyDescent="0.25">
      <c r="A296" t="s">
        <v>59</v>
      </c>
      <c r="B296" s="49">
        <v>7</v>
      </c>
      <c r="C296" s="51">
        <v>44200</v>
      </c>
      <c r="D296" s="52" t="s">
        <v>2550</v>
      </c>
      <c r="E296" s="52" t="s">
        <v>2562</v>
      </c>
      <c r="F296" s="52" t="s">
        <v>87</v>
      </c>
      <c r="G296" s="58">
        <v>17</v>
      </c>
      <c r="H296" s="53">
        <v>43535</v>
      </c>
      <c r="I296" s="52" t="s">
        <v>62</v>
      </c>
    </row>
    <row r="297" spans="1:10" x14ac:dyDescent="0.25">
      <c r="A297" t="s">
        <v>59</v>
      </c>
      <c r="B297" s="49">
        <v>7</v>
      </c>
      <c r="C297" s="51">
        <v>673297.92000000004</v>
      </c>
      <c r="D297" s="52" t="s">
        <v>2560</v>
      </c>
      <c r="E297" s="52" t="s">
        <v>2561</v>
      </c>
      <c r="F297" s="52" t="s">
        <v>1804</v>
      </c>
      <c r="G297" s="52">
        <v>96</v>
      </c>
      <c r="H297" s="53">
        <v>43543</v>
      </c>
      <c r="I297" s="52" t="s">
        <v>62</v>
      </c>
    </row>
    <row r="298" spans="1:10" x14ac:dyDescent="0.25">
      <c r="A298" t="s">
        <v>70</v>
      </c>
      <c r="B298" s="49">
        <v>8</v>
      </c>
      <c r="C298" s="54">
        <f>25500*G298</f>
        <v>499009.5</v>
      </c>
      <c r="D298" s="55" t="s">
        <v>2539</v>
      </c>
      <c r="E298" s="55" t="s">
        <v>2728</v>
      </c>
      <c r="F298" s="55" t="s">
        <v>2540</v>
      </c>
      <c r="G298" s="56">
        <v>19.568999999999999</v>
      </c>
      <c r="H298" s="55">
        <v>35.56</v>
      </c>
      <c r="I298" s="57">
        <v>43532</v>
      </c>
      <c r="J298" s="55" t="s">
        <v>62</v>
      </c>
    </row>
    <row r="299" spans="1:10" x14ac:dyDescent="0.25">
      <c r="A299" t="s">
        <v>70</v>
      </c>
      <c r="B299" s="49">
        <v>8</v>
      </c>
      <c r="C299" s="51">
        <v>807938.68</v>
      </c>
      <c r="D299" s="52" t="s">
        <v>2590</v>
      </c>
      <c r="E299" s="52" t="s">
        <v>2621</v>
      </c>
      <c r="F299" s="52" t="s">
        <v>1925</v>
      </c>
      <c r="G299" s="58">
        <v>89.8</v>
      </c>
      <c r="H299" s="53">
        <v>43536</v>
      </c>
      <c r="I299" s="52" t="s">
        <v>62</v>
      </c>
    </row>
    <row r="300" spans="1:10" x14ac:dyDescent="0.25">
      <c r="A300" s="37" t="s">
        <v>89</v>
      </c>
      <c r="B300" s="49">
        <v>9</v>
      </c>
    </row>
    <row r="301" spans="1:10" x14ac:dyDescent="0.25">
      <c r="A301" s="37" t="s">
        <v>90</v>
      </c>
      <c r="B301" s="49">
        <v>10</v>
      </c>
    </row>
    <row r="302" spans="1:10" x14ac:dyDescent="0.25">
      <c r="A302" t="s">
        <v>91</v>
      </c>
      <c r="B302" s="49">
        <v>11</v>
      </c>
      <c r="C302" s="54">
        <f>29000*G302</f>
        <v>564630</v>
      </c>
      <c r="D302" s="55" t="s">
        <v>2542</v>
      </c>
      <c r="E302" s="55" t="s">
        <v>2729</v>
      </c>
      <c r="F302" s="55" t="s">
        <v>2659</v>
      </c>
      <c r="G302" s="56">
        <v>19.47</v>
      </c>
      <c r="H302" s="55">
        <v>36.08</v>
      </c>
      <c r="I302" s="57">
        <v>43535</v>
      </c>
      <c r="J302" s="55" t="s">
        <v>62</v>
      </c>
    </row>
    <row r="303" spans="1:10" x14ac:dyDescent="0.25">
      <c r="A303" t="s">
        <v>91</v>
      </c>
      <c r="B303" s="49">
        <v>11</v>
      </c>
      <c r="C303" s="51">
        <v>29500</v>
      </c>
      <c r="D303" s="52" t="s">
        <v>2593</v>
      </c>
      <c r="E303" s="52" t="s">
        <v>2591</v>
      </c>
      <c r="F303" s="52" t="s">
        <v>1918</v>
      </c>
      <c r="G303" s="58">
        <v>29.5</v>
      </c>
      <c r="H303" s="53">
        <v>43535</v>
      </c>
      <c r="I303" s="52" t="s">
        <v>62</v>
      </c>
    </row>
    <row r="304" spans="1:10" x14ac:dyDescent="0.25">
      <c r="A304" t="s">
        <v>91</v>
      </c>
      <c r="B304" s="49">
        <v>11</v>
      </c>
      <c r="C304" s="51">
        <v>30612.75</v>
      </c>
      <c r="D304" s="52" t="s">
        <v>2594</v>
      </c>
      <c r="E304" s="52" t="s">
        <v>2592</v>
      </c>
      <c r="F304" s="52" t="s">
        <v>87</v>
      </c>
      <c r="G304" s="58">
        <v>17</v>
      </c>
      <c r="H304" s="53">
        <v>43535</v>
      </c>
      <c r="I304" s="52" t="s">
        <v>62</v>
      </c>
    </row>
    <row r="305" spans="1:14" x14ac:dyDescent="0.25">
      <c r="A305" t="s">
        <v>91</v>
      </c>
      <c r="B305" s="49">
        <v>11</v>
      </c>
      <c r="C305" s="51">
        <v>49000</v>
      </c>
      <c r="D305" s="52" t="s">
        <v>2666</v>
      </c>
      <c r="E305" s="52" t="s">
        <v>2667</v>
      </c>
      <c r="F305" s="52" t="s">
        <v>2668</v>
      </c>
      <c r="G305" s="53">
        <v>43535</v>
      </c>
      <c r="H305" s="52" t="s">
        <v>62</v>
      </c>
    </row>
    <row r="306" spans="1:14" x14ac:dyDescent="0.25">
      <c r="A306" t="s">
        <v>91</v>
      </c>
      <c r="B306" s="49">
        <v>11</v>
      </c>
      <c r="C306" s="51">
        <v>66283</v>
      </c>
      <c r="D306" s="52" t="s">
        <v>2683</v>
      </c>
      <c r="E306" s="52" t="s">
        <v>2684</v>
      </c>
      <c r="F306" s="52" t="s">
        <v>120</v>
      </c>
      <c r="G306" s="53">
        <v>43535</v>
      </c>
      <c r="H306" s="52" t="s">
        <v>55</v>
      </c>
    </row>
    <row r="307" spans="1:14" x14ac:dyDescent="0.25">
      <c r="A307" t="s">
        <v>91</v>
      </c>
      <c r="B307" s="49">
        <v>11</v>
      </c>
      <c r="C307" s="51">
        <f>603007.5+16620.48</f>
        <v>619627.98</v>
      </c>
      <c r="D307" s="52" t="s">
        <v>2470</v>
      </c>
      <c r="E307" s="52" t="s">
        <v>2469</v>
      </c>
      <c r="F307" s="52" t="s">
        <v>52</v>
      </c>
      <c r="G307" s="53">
        <v>43529</v>
      </c>
      <c r="H307" s="52" t="s">
        <v>55</v>
      </c>
    </row>
    <row r="308" spans="1:14" x14ac:dyDescent="0.25">
      <c r="A308" t="s">
        <v>91</v>
      </c>
      <c r="B308" s="49">
        <v>11</v>
      </c>
      <c r="C308" s="51">
        <f>155687.5+4176</f>
        <v>159863.5</v>
      </c>
      <c r="D308" s="52" t="s">
        <v>2471</v>
      </c>
      <c r="E308" s="52" t="s">
        <v>2472</v>
      </c>
      <c r="F308" s="52" t="s">
        <v>52</v>
      </c>
      <c r="G308" s="53">
        <v>43529</v>
      </c>
      <c r="H308" s="52" t="s">
        <v>55</v>
      </c>
    </row>
    <row r="309" spans="1:14" x14ac:dyDescent="0.25">
      <c r="A309" t="s">
        <v>91</v>
      </c>
      <c r="B309" s="49">
        <v>11</v>
      </c>
      <c r="C309" s="51">
        <f>617317.5+16620.48</f>
        <v>633937.98</v>
      </c>
      <c r="D309" s="52" t="s">
        <v>2473</v>
      </c>
      <c r="E309" s="52" t="s">
        <v>2468</v>
      </c>
      <c r="F309" s="52" t="s">
        <v>52</v>
      </c>
      <c r="G309" s="53">
        <v>43531</v>
      </c>
      <c r="H309" s="52" t="s">
        <v>55</v>
      </c>
    </row>
    <row r="310" spans="1:14" x14ac:dyDescent="0.25">
      <c r="A310" t="s">
        <v>122</v>
      </c>
      <c r="B310" s="49">
        <v>12</v>
      </c>
      <c r="C310" s="51">
        <f>(25210.37-337.59)*G310</f>
        <v>484273.02659999992</v>
      </c>
      <c r="D310" s="52" t="s">
        <v>2660</v>
      </c>
      <c r="E310" s="52" t="s">
        <v>2661</v>
      </c>
      <c r="F310" s="52" t="s">
        <v>2662</v>
      </c>
      <c r="G310" s="58">
        <v>19.47</v>
      </c>
      <c r="H310" s="52">
        <v>33.19</v>
      </c>
      <c r="I310" s="53">
        <v>43536</v>
      </c>
      <c r="J310" s="52" t="s">
        <v>62</v>
      </c>
      <c r="K310" s="98" t="s">
        <v>2665</v>
      </c>
      <c r="L310" s="98"/>
      <c r="M310" s="98"/>
      <c r="N310" s="98"/>
    </row>
    <row r="311" spans="1:14" x14ac:dyDescent="0.25">
      <c r="A311" t="s">
        <v>122</v>
      </c>
      <c r="B311" s="49">
        <v>12</v>
      </c>
      <c r="C311" s="51">
        <f>575315+16704</f>
        <v>592019</v>
      </c>
      <c r="D311" s="52" t="s">
        <v>2478</v>
      </c>
      <c r="E311" s="52" t="s">
        <v>2520</v>
      </c>
      <c r="F311" s="52" t="s">
        <v>52</v>
      </c>
      <c r="G311" s="53">
        <v>43531</v>
      </c>
      <c r="H311" s="52" t="s">
        <v>55</v>
      </c>
    </row>
    <row r="312" spans="1:14" x14ac:dyDescent="0.25">
      <c r="A312" t="s">
        <v>43</v>
      </c>
      <c r="B312" s="49">
        <v>13</v>
      </c>
      <c r="C312" s="54">
        <f>29000*G312</f>
        <v>562020</v>
      </c>
      <c r="D312" s="55" t="s">
        <v>2543</v>
      </c>
      <c r="E312" s="164" t="s">
        <v>2779</v>
      </c>
      <c r="F312" s="55" t="s">
        <v>2659</v>
      </c>
      <c r="G312" s="56">
        <v>19.38</v>
      </c>
      <c r="H312" s="55">
        <v>38.18</v>
      </c>
      <c r="I312" s="57">
        <v>43537</v>
      </c>
      <c r="J312" s="55" t="s">
        <v>62</v>
      </c>
    </row>
    <row r="313" spans="1:14" x14ac:dyDescent="0.25">
      <c r="A313" t="s">
        <v>43</v>
      </c>
      <c r="B313" s="49">
        <v>13</v>
      </c>
      <c r="C313" s="51">
        <f>616757.5+16704</f>
        <v>633461.5</v>
      </c>
      <c r="D313" s="52" t="s">
        <v>2479</v>
      </c>
      <c r="E313" s="52" t="s">
        <v>2477</v>
      </c>
      <c r="F313" s="52" t="s">
        <v>52</v>
      </c>
      <c r="G313" s="53">
        <v>43531</v>
      </c>
      <c r="H313" s="52" t="s">
        <v>55</v>
      </c>
    </row>
    <row r="314" spans="1:14" x14ac:dyDescent="0.25">
      <c r="A314" t="s">
        <v>43</v>
      </c>
      <c r="B314" s="49">
        <v>13</v>
      </c>
      <c r="C314" s="51">
        <f>21750*34.2</f>
        <v>743850.00000000012</v>
      </c>
      <c r="D314" s="52" t="s">
        <v>2624</v>
      </c>
      <c r="E314" s="52" t="s">
        <v>2686</v>
      </c>
      <c r="F314" s="52" t="s">
        <v>73</v>
      </c>
      <c r="G314" s="53">
        <v>43537</v>
      </c>
      <c r="H314" s="52" t="s">
        <v>55</v>
      </c>
    </row>
    <row r="315" spans="1:14" x14ac:dyDescent="0.25">
      <c r="A315" t="s">
        <v>43</v>
      </c>
      <c r="B315" s="49">
        <v>13</v>
      </c>
      <c r="C315" s="51">
        <v>40306</v>
      </c>
      <c r="D315" s="52" t="s">
        <v>2708</v>
      </c>
      <c r="E315" s="52" t="s">
        <v>2706</v>
      </c>
      <c r="F315" s="52" t="s">
        <v>120</v>
      </c>
      <c r="G315" s="53">
        <v>43537</v>
      </c>
      <c r="H315" s="52" t="s">
        <v>55</v>
      </c>
    </row>
    <row r="316" spans="1:14" x14ac:dyDescent="0.25">
      <c r="A316" t="s">
        <v>43</v>
      </c>
      <c r="B316" s="49">
        <v>13</v>
      </c>
      <c r="C316" s="51">
        <v>59948</v>
      </c>
      <c r="D316" s="52" t="s">
        <v>2709</v>
      </c>
      <c r="E316" s="52" t="s">
        <v>2707</v>
      </c>
      <c r="F316" s="52" t="s">
        <v>120</v>
      </c>
      <c r="G316" s="53">
        <v>43537</v>
      </c>
      <c r="H316" s="52" t="s">
        <v>55</v>
      </c>
    </row>
    <row r="317" spans="1:14" x14ac:dyDescent="0.25">
      <c r="A317" t="s">
        <v>59</v>
      </c>
      <c r="B317" s="49">
        <v>14</v>
      </c>
      <c r="C317" s="54">
        <f>30000*G317</f>
        <v>580200</v>
      </c>
      <c r="D317" s="55" t="s">
        <v>2545</v>
      </c>
      <c r="E317" s="55" t="s">
        <v>2754</v>
      </c>
      <c r="F317" s="55" t="s">
        <v>2685</v>
      </c>
      <c r="G317" s="56">
        <v>19.34</v>
      </c>
      <c r="H317" s="55">
        <v>40.58</v>
      </c>
      <c r="I317" s="57">
        <v>43538</v>
      </c>
      <c r="J317" s="55" t="s">
        <v>62</v>
      </c>
    </row>
    <row r="318" spans="1:14" x14ac:dyDescent="0.25">
      <c r="A318" t="s">
        <v>59</v>
      </c>
      <c r="B318" s="49">
        <v>14</v>
      </c>
      <c r="C318" s="51">
        <f>567232.5+16620.48</f>
        <v>583852.98</v>
      </c>
      <c r="D318" s="52" t="s">
        <v>2484</v>
      </c>
      <c r="E318" s="52" t="s">
        <v>2483</v>
      </c>
      <c r="F318" s="52" t="s">
        <v>52</v>
      </c>
      <c r="G318" s="53">
        <v>43538</v>
      </c>
      <c r="H318" s="52" t="s">
        <v>55</v>
      </c>
    </row>
    <row r="319" spans="1:14" x14ac:dyDescent="0.25">
      <c r="A319" t="s">
        <v>59</v>
      </c>
      <c r="B319" s="49">
        <v>14</v>
      </c>
      <c r="C319" s="51">
        <f>401607.5+10774.08-6201</f>
        <v>406180.58</v>
      </c>
      <c r="D319" s="52" t="s">
        <v>2486</v>
      </c>
      <c r="E319" s="52" t="s">
        <v>2485</v>
      </c>
      <c r="F319" s="52" t="s">
        <v>52</v>
      </c>
      <c r="G319" s="53">
        <v>43539</v>
      </c>
      <c r="H319" s="52" t="s">
        <v>55</v>
      </c>
    </row>
    <row r="320" spans="1:14" x14ac:dyDescent="0.25">
      <c r="A320" t="s">
        <v>59</v>
      </c>
      <c r="B320" s="49">
        <v>14</v>
      </c>
      <c r="C320" s="51">
        <f>158072.5+4176</f>
        <v>162248.5</v>
      </c>
      <c r="D320" s="52" t="s">
        <v>2521</v>
      </c>
      <c r="E320" s="52" t="s">
        <v>2526</v>
      </c>
      <c r="F320" s="52" t="s">
        <v>52</v>
      </c>
      <c r="G320" s="53">
        <v>43537</v>
      </c>
      <c r="H320" s="52" t="s">
        <v>55</v>
      </c>
    </row>
    <row r="321" spans="1:10" x14ac:dyDescent="0.25">
      <c r="A321" t="s">
        <v>70</v>
      </c>
      <c r="B321" s="49">
        <v>15</v>
      </c>
      <c r="C321" s="54">
        <f>31000*G321</f>
        <v>600098</v>
      </c>
      <c r="D321" s="55" t="s">
        <v>2544</v>
      </c>
      <c r="E321" s="164" t="s">
        <v>2778</v>
      </c>
      <c r="F321" s="55" t="s">
        <v>2711</v>
      </c>
      <c r="G321" s="56">
        <v>19.358000000000001</v>
      </c>
      <c r="H321" s="55">
        <v>41.5</v>
      </c>
      <c r="I321" s="57">
        <v>43539</v>
      </c>
      <c r="J321" s="55" t="s">
        <v>62</v>
      </c>
    </row>
    <row r="322" spans="1:10" x14ac:dyDescent="0.25">
      <c r="A322" t="s">
        <v>70</v>
      </c>
      <c r="B322" s="49">
        <v>15</v>
      </c>
      <c r="C322" s="51">
        <f>396042.5+10774.08</f>
        <v>406816.58</v>
      </c>
      <c r="D322" s="52" t="s">
        <v>2524</v>
      </c>
      <c r="E322" s="52" t="s">
        <v>2525</v>
      </c>
      <c r="F322" s="52" t="s">
        <v>52</v>
      </c>
      <c r="G322" s="53">
        <v>43627</v>
      </c>
      <c r="H322" s="52" t="s">
        <v>55</v>
      </c>
    </row>
    <row r="323" spans="1:10" x14ac:dyDescent="0.25">
      <c r="A323" t="s">
        <v>70</v>
      </c>
      <c r="B323" s="49">
        <v>15</v>
      </c>
      <c r="C323" s="51">
        <f>(27025.33-844.7)*G323</f>
        <v>506569.00987000001</v>
      </c>
      <c r="D323" s="52" t="s">
        <v>2631</v>
      </c>
      <c r="E323" s="52" t="s">
        <v>2700</v>
      </c>
      <c r="F323" s="52" t="s">
        <v>2701</v>
      </c>
      <c r="G323" s="58">
        <v>19.349</v>
      </c>
      <c r="H323" s="52">
        <v>34.89</v>
      </c>
      <c r="I323" s="53">
        <v>43539</v>
      </c>
      <c r="J323" s="52" t="s">
        <v>62</v>
      </c>
    </row>
    <row r="324" spans="1:10" x14ac:dyDescent="0.25">
      <c r="A324" t="s">
        <v>70</v>
      </c>
      <c r="B324" s="49">
        <v>15</v>
      </c>
      <c r="C324" s="51">
        <v>58204</v>
      </c>
      <c r="D324" s="52" t="s">
        <v>2724</v>
      </c>
      <c r="E324" s="52" t="s">
        <v>2725</v>
      </c>
      <c r="F324" s="52" t="s">
        <v>120</v>
      </c>
      <c r="G324" s="58">
        <v>43539</v>
      </c>
      <c r="H324" s="52" t="s">
        <v>55</v>
      </c>
      <c r="I324" s="72"/>
    </row>
    <row r="325" spans="1:10" x14ac:dyDescent="0.25">
      <c r="A325" t="s">
        <v>70</v>
      </c>
      <c r="B325" s="49">
        <v>15</v>
      </c>
      <c r="C325" s="51">
        <v>58174</v>
      </c>
      <c r="D325" s="52" t="s">
        <v>2804</v>
      </c>
      <c r="E325" s="52" t="s">
        <v>2803</v>
      </c>
      <c r="F325" s="52" t="s">
        <v>87</v>
      </c>
      <c r="G325" s="58">
        <v>17</v>
      </c>
      <c r="H325" s="53">
        <v>43545</v>
      </c>
      <c r="I325" s="52" t="s">
        <v>62</v>
      </c>
    </row>
    <row r="326" spans="1:10" x14ac:dyDescent="0.25">
      <c r="A326" s="37" t="s">
        <v>89</v>
      </c>
      <c r="B326" s="49">
        <v>16</v>
      </c>
    </row>
    <row r="327" spans="1:10" x14ac:dyDescent="0.25">
      <c r="A327" s="37" t="s">
        <v>90</v>
      </c>
      <c r="B327" s="49">
        <v>17</v>
      </c>
    </row>
    <row r="328" spans="1:10" x14ac:dyDescent="0.25">
      <c r="A328" t="s">
        <v>91</v>
      </c>
      <c r="B328" s="49">
        <v>18</v>
      </c>
      <c r="C328" s="3" t="s">
        <v>2552</v>
      </c>
    </row>
    <row r="329" spans="1:10" x14ac:dyDescent="0.25">
      <c r="A329" t="s">
        <v>122</v>
      </c>
      <c r="B329" s="49">
        <v>19</v>
      </c>
      <c r="C329" s="51">
        <f>24528.85*G329</f>
        <v>466784.01549999998</v>
      </c>
      <c r="D329" s="52" t="s">
        <v>2735</v>
      </c>
      <c r="E329" s="52" t="s">
        <v>2730</v>
      </c>
      <c r="F329" s="52" t="s">
        <v>2731</v>
      </c>
      <c r="G329" s="58">
        <v>19.03</v>
      </c>
      <c r="H329" s="52">
        <v>33.81</v>
      </c>
      <c r="I329" s="53">
        <v>43543</v>
      </c>
      <c r="J329" s="52" t="s">
        <v>62</v>
      </c>
    </row>
    <row r="330" spans="1:10" x14ac:dyDescent="0.25">
      <c r="A330" t="s">
        <v>122</v>
      </c>
      <c r="B330" s="49">
        <v>19</v>
      </c>
      <c r="C330" s="54">
        <f>35000*G330</f>
        <v>666925</v>
      </c>
      <c r="D330" s="55" t="s">
        <v>2546</v>
      </c>
      <c r="E330" s="55" t="s">
        <v>2816</v>
      </c>
      <c r="F330" s="55" t="s">
        <v>2738</v>
      </c>
      <c r="G330" s="56">
        <v>19.055</v>
      </c>
      <c r="H330" s="55">
        <v>41.48</v>
      </c>
      <c r="I330" s="57">
        <v>43543</v>
      </c>
      <c r="J330" s="55" t="s">
        <v>62</v>
      </c>
    </row>
    <row r="331" spans="1:10" x14ac:dyDescent="0.25">
      <c r="A331" t="s">
        <v>122</v>
      </c>
      <c r="B331" s="49">
        <v>19</v>
      </c>
      <c r="C331" s="54">
        <f>35000*G331</f>
        <v>667100</v>
      </c>
      <c r="D331" s="55" t="s">
        <v>2743</v>
      </c>
      <c r="E331" s="55" t="s">
        <v>2854</v>
      </c>
      <c r="F331" s="55" t="s">
        <v>2738</v>
      </c>
      <c r="G331" s="56">
        <v>19.059999999999999</v>
      </c>
      <c r="H331" s="55">
        <v>42.01</v>
      </c>
      <c r="I331" s="57">
        <v>43543</v>
      </c>
      <c r="J331" s="55" t="s">
        <v>62</v>
      </c>
    </row>
    <row r="332" spans="1:10" x14ac:dyDescent="0.25">
      <c r="A332" t="s">
        <v>122</v>
      </c>
      <c r="B332" s="49">
        <v>19</v>
      </c>
      <c r="C332" s="51">
        <f>643552.5+16704</f>
        <v>660256.5</v>
      </c>
      <c r="D332" s="52" t="s">
        <v>2553</v>
      </c>
      <c r="E332" s="52" t="s">
        <v>2551</v>
      </c>
      <c r="F332" s="52" t="s">
        <v>52</v>
      </c>
      <c r="G332" s="53">
        <v>43532</v>
      </c>
      <c r="H332" s="52" t="s">
        <v>55</v>
      </c>
    </row>
    <row r="333" spans="1:10" x14ac:dyDescent="0.25">
      <c r="A333" t="s">
        <v>122</v>
      </c>
      <c r="B333" s="49">
        <v>19</v>
      </c>
      <c r="C333" s="51">
        <f>579290+16620.48</f>
        <v>595910.48</v>
      </c>
      <c r="D333" s="52" t="s">
        <v>2564</v>
      </c>
      <c r="E333" s="52" t="s">
        <v>2563</v>
      </c>
      <c r="F333" s="52" t="s">
        <v>52</v>
      </c>
      <c r="G333" s="53">
        <v>43536</v>
      </c>
      <c r="H333" s="52" t="s">
        <v>55</v>
      </c>
    </row>
    <row r="334" spans="1:10" x14ac:dyDescent="0.25">
      <c r="A334" t="s">
        <v>122</v>
      </c>
      <c r="B334" s="49">
        <v>19</v>
      </c>
      <c r="C334" s="51">
        <f>627785+17504.4</f>
        <v>645289.4</v>
      </c>
      <c r="D334" s="52" t="s">
        <v>2596</v>
      </c>
      <c r="E334" s="52" t="s">
        <v>2597</v>
      </c>
      <c r="F334" s="52" t="s">
        <v>52</v>
      </c>
      <c r="G334" s="53">
        <v>43539</v>
      </c>
      <c r="H334" s="52" t="s">
        <v>55</v>
      </c>
    </row>
    <row r="335" spans="1:10" x14ac:dyDescent="0.25">
      <c r="A335" t="s">
        <v>122</v>
      </c>
      <c r="B335" s="49">
        <v>19</v>
      </c>
      <c r="C335" s="51">
        <v>74269.600000000006</v>
      </c>
      <c r="D335" s="52" t="s">
        <v>2806</v>
      </c>
      <c r="E335" s="52" t="s">
        <v>2805</v>
      </c>
      <c r="F335" s="52" t="s">
        <v>87</v>
      </c>
      <c r="G335" s="58">
        <v>17.2</v>
      </c>
      <c r="H335" s="53">
        <v>43546</v>
      </c>
      <c r="I335" s="52" t="s">
        <v>62</v>
      </c>
    </row>
    <row r="336" spans="1:10" x14ac:dyDescent="0.25">
      <c r="A336" t="s">
        <v>43</v>
      </c>
      <c r="B336" s="49">
        <v>20</v>
      </c>
      <c r="C336" s="54">
        <f>35500*G336</f>
        <v>675387.5</v>
      </c>
      <c r="D336" s="55" t="s">
        <v>2741</v>
      </c>
      <c r="E336" s="55" t="s">
        <v>2959</v>
      </c>
      <c r="F336" s="55" t="s">
        <v>2732</v>
      </c>
      <c r="G336" s="56">
        <v>19.024999999999999</v>
      </c>
      <c r="H336" s="55"/>
      <c r="I336" s="57">
        <v>43544</v>
      </c>
      <c r="J336" s="55" t="s">
        <v>62</v>
      </c>
    </row>
    <row r="337" spans="1:12" x14ac:dyDescent="0.25">
      <c r="A337" t="s">
        <v>43</v>
      </c>
      <c r="B337" s="49">
        <v>20</v>
      </c>
      <c r="C337" s="54">
        <f>33000*G337</f>
        <v>628419</v>
      </c>
      <c r="D337" s="55" t="s">
        <v>2736</v>
      </c>
      <c r="E337" s="55" t="s">
        <v>2865</v>
      </c>
      <c r="F337" s="55" t="s">
        <v>2739</v>
      </c>
      <c r="G337" s="56">
        <v>19.042999999999999</v>
      </c>
      <c r="H337" s="55">
        <v>44</v>
      </c>
      <c r="I337" s="57">
        <v>43543</v>
      </c>
      <c r="J337" s="55" t="s">
        <v>62</v>
      </c>
    </row>
    <row r="338" spans="1:12" x14ac:dyDescent="0.25">
      <c r="A338" t="s">
        <v>43</v>
      </c>
      <c r="B338" s="49">
        <v>20</v>
      </c>
      <c r="C338" s="51">
        <v>728172</v>
      </c>
      <c r="D338" s="52" t="s">
        <v>2714</v>
      </c>
      <c r="E338" s="52" t="s">
        <v>2758</v>
      </c>
      <c r="F338" s="52" t="s">
        <v>73</v>
      </c>
      <c r="G338" s="53">
        <v>43544</v>
      </c>
      <c r="H338" s="52" t="s">
        <v>55</v>
      </c>
    </row>
    <row r="339" spans="1:12" x14ac:dyDescent="0.25">
      <c r="A339" t="s">
        <v>43</v>
      </c>
      <c r="B339" s="49">
        <v>20</v>
      </c>
      <c r="C339" s="51">
        <f>622750+17504.4</f>
        <v>640254.4</v>
      </c>
      <c r="D339" s="52" t="s">
        <v>2673</v>
      </c>
      <c r="E339" s="52" t="s">
        <v>2619</v>
      </c>
      <c r="F339" s="52" t="s">
        <v>52</v>
      </c>
      <c r="G339" s="53">
        <v>43543</v>
      </c>
      <c r="H339" s="52" t="s">
        <v>55</v>
      </c>
    </row>
    <row r="340" spans="1:12" x14ac:dyDescent="0.25">
      <c r="A340" t="s">
        <v>43</v>
      </c>
      <c r="B340" s="49">
        <v>20</v>
      </c>
      <c r="C340" s="51">
        <f>681447.5+18992.27</f>
        <v>700439.77</v>
      </c>
      <c r="D340" s="52" t="s">
        <v>2674</v>
      </c>
      <c r="E340" s="52" t="s">
        <v>2675</v>
      </c>
      <c r="F340" s="52" t="s">
        <v>52</v>
      </c>
      <c r="G340" s="53">
        <v>43544</v>
      </c>
      <c r="H340" s="52" t="s">
        <v>55</v>
      </c>
    </row>
    <row r="341" spans="1:12" x14ac:dyDescent="0.25">
      <c r="A341" t="s">
        <v>43</v>
      </c>
      <c r="B341" s="49">
        <v>20</v>
      </c>
      <c r="C341" s="51">
        <f>485877.5+14353.61</f>
        <v>500231.11</v>
      </c>
      <c r="D341" s="52" t="s">
        <v>2676</v>
      </c>
      <c r="E341" s="52" t="s">
        <v>2627</v>
      </c>
      <c r="F341" s="52" t="s">
        <v>52</v>
      </c>
      <c r="G341" s="53">
        <v>43545</v>
      </c>
      <c r="H341" s="52" t="s">
        <v>55</v>
      </c>
    </row>
    <row r="342" spans="1:12" x14ac:dyDescent="0.25">
      <c r="A342" t="s">
        <v>59</v>
      </c>
      <c r="B342" s="49">
        <v>21</v>
      </c>
      <c r="C342" s="54">
        <f>35000*G342</f>
        <v>660765</v>
      </c>
      <c r="D342" s="55" t="s">
        <v>2737</v>
      </c>
      <c r="E342" s="55" t="s">
        <v>2869</v>
      </c>
      <c r="F342" s="55" t="s">
        <v>2738</v>
      </c>
      <c r="G342" s="56">
        <v>18.879000000000001</v>
      </c>
      <c r="H342" s="55">
        <v>45.24</v>
      </c>
      <c r="I342" s="57">
        <v>43545</v>
      </c>
      <c r="J342" s="55" t="s">
        <v>62</v>
      </c>
    </row>
    <row r="343" spans="1:12" x14ac:dyDescent="0.25">
      <c r="A343" t="s">
        <v>59</v>
      </c>
      <c r="B343" s="49">
        <v>21</v>
      </c>
      <c r="C343" s="51">
        <v>211391.35999999999</v>
      </c>
      <c r="D343" s="52" t="s">
        <v>2789</v>
      </c>
      <c r="E343" s="52" t="s">
        <v>2781</v>
      </c>
      <c r="F343" s="52" t="s">
        <v>2790</v>
      </c>
      <c r="G343" s="52" t="s">
        <v>2791</v>
      </c>
      <c r="H343" s="53">
        <v>43545</v>
      </c>
      <c r="I343" s="52" t="s">
        <v>62</v>
      </c>
    </row>
    <row r="344" spans="1:12" x14ac:dyDescent="0.25">
      <c r="A344" t="s">
        <v>59</v>
      </c>
      <c r="B344" s="49">
        <v>21</v>
      </c>
      <c r="C344" s="51">
        <f>374400+11377.86</f>
        <v>385777.86</v>
      </c>
      <c r="D344" s="52" t="s">
        <v>2680</v>
      </c>
      <c r="E344" s="52" t="s">
        <v>2681</v>
      </c>
      <c r="F344" s="52" t="s">
        <v>52</v>
      </c>
      <c r="G344" s="53">
        <v>43545</v>
      </c>
      <c r="H344" s="52" t="s">
        <v>55</v>
      </c>
    </row>
    <row r="345" spans="1:12" x14ac:dyDescent="0.25">
      <c r="A345" t="s">
        <v>70</v>
      </c>
      <c r="B345" s="49">
        <v>22</v>
      </c>
      <c r="C345" s="51">
        <f>29488.73*G345</f>
        <v>556452.33510000003</v>
      </c>
      <c r="D345" s="52" t="s">
        <v>2745</v>
      </c>
      <c r="E345" s="52" t="s">
        <v>2746</v>
      </c>
      <c r="F345" s="52" t="s">
        <v>2747</v>
      </c>
      <c r="G345" s="58">
        <v>18.87</v>
      </c>
      <c r="H345" s="52">
        <v>37.61</v>
      </c>
      <c r="I345" s="53">
        <v>43546</v>
      </c>
    </row>
    <row r="346" spans="1:12" x14ac:dyDescent="0.25">
      <c r="A346" t="s">
        <v>70</v>
      </c>
      <c r="B346" s="49">
        <v>22</v>
      </c>
      <c r="C346" s="51">
        <f>29363.72*G346</f>
        <v>554357.66988000006</v>
      </c>
      <c r="D346" s="52" t="s">
        <v>2755</v>
      </c>
      <c r="E346" s="52" t="s">
        <v>2756</v>
      </c>
      <c r="F346" s="52" t="s">
        <v>2757</v>
      </c>
      <c r="G346" s="58">
        <v>18.879000000000001</v>
      </c>
      <c r="H346" s="52">
        <v>37.64</v>
      </c>
      <c r="I346" s="53">
        <v>43546</v>
      </c>
    </row>
    <row r="347" spans="1:12" x14ac:dyDescent="0.25">
      <c r="A347" t="s">
        <v>70</v>
      </c>
      <c r="B347" s="49">
        <v>22</v>
      </c>
      <c r="C347" s="51">
        <v>769145.56</v>
      </c>
      <c r="D347" s="52" t="s">
        <v>2801</v>
      </c>
      <c r="E347" s="52" t="s">
        <v>2800</v>
      </c>
      <c r="F347" s="52" t="s">
        <v>2802</v>
      </c>
      <c r="G347" s="58">
        <v>87.8</v>
      </c>
      <c r="H347" s="53">
        <v>43553</v>
      </c>
      <c r="I347" s="52" t="s">
        <v>62</v>
      </c>
    </row>
    <row r="348" spans="1:12" x14ac:dyDescent="0.25">
      <c r="A348" s="37" t="s">
        <v>89</v>
      </c>
      <c r="B348" s="49">
        <v>23</v>
      </c>
    </row>
    <row r="349" spans="1:12" x14ac:dyDescent="0.25">
      <c r="A349" s="37" t="s">
        <v>90</v>
      </c>
      <c r="B349" s="49">
        <v>24</v>
      </c>
    </row>
    <row r="350" spans="1:12" x14ac:dyDescent="0.25">
      <c r="A350" t="s">
        <v>91</v>
      </c>
      <c r="B350" s="49">
        <v>25</v>
      </c>
      <c r="C350" s="83">
        <f>37000*G350</f>
        <v>706330</v>
      </c>
      <c r="D350" s="46" t="s">
        <v>2829</v>
      </c>
      <c r="E350" s="46" t="s">
        <v>230</v>
      </c>
      <c r="F350" s="46" t="s">
        <v>2831</v>
      </c>
      <c r="G350" s="177">
        <v>19.09</v>
      </c>
      <c r="H350" s="46"/>
      <c r="I350" s="178">
        <v>43549</v>
      </c>
      <c r="J350" s="46" t="s">
        <v>62</v>
      </c>
      <c r="L350" t="s">
        <v>2968</v>
      </c>
    </row>
    <row r="351" spans="1:12" x14ac:dyDescent="0.25">
      <c r="A351" t="s">
        <v>91</v>
      </c>
      <c r="B351" s="49">
        <v>25</v>
      </c>
      <c r="C351" s="51">
        <f>29954.49*G351</f>
        <v>574497.16370999999</v>
      </c>
      <c r="D351" s="52" t="s">
        <v>2813</v>
      </c>
      <c r="E351" s="52" t="s">
        <v>2814</v>
      </c>
      <c r="F351" s="52" t="s">
        <v>2815</v>
      </c>
      <c r="G351" s="58">
        <v>19.178999999999998</v>
      </c>
      <c r="H351" s="52">
        <v>39.65</v>
      </c>
      <c r="I351" s="53">
        <v>43549</v>
      </c>
      <c r="J351" s="52" t="s">
        <v>62</v>
      </c>
      <c r="L351" t="s">
        <v>2969</v>
      </c>
    </row>
    <row r="352" spans="1:12" x14ac:dyDescent="0.25">
      <c r="A352" t="s">
        <v>91</v>
      </c>
      <c r="B352" s="49">
        <v>25</v>
      </c>
      <c r="C352" s="51">
        <v>15595.24</v>
      </c>
      <c r="D352" s="52" t="s">
        <v>2808</v>
      </c>
      <c r="E352" s="52" t="s">
        <v>2807</v>
      </c>
      <c r="F352" s="52" t="s">
        <v>87</v>
      </c>
      <c r="G352" s="58">
        <v>17.2</v>
      </c>
      <c r="H352" s="53">
        <v>43551</v>
      </c>
      <c r="I352" s="52" t="s">
        <v>62</v>
      </c>
    </row>
    <row r="353" spans="1:10" x14ac:dyDescent="0.25">
      <c r="A353" t="s">
        <v>91</v>
      </c>
      <c r="B353" s="49">
        <v>25</v>
      </c>
      <c r="C353" s="51">
        <f>647790+17504</f>
        <v>665294</v>
      </c>
      <c r="D353" s="52" t="s">
        <v>2688</v>
      </c>
      <c r="E353" s="52" t="s">
        <v>2689</v>
      </c>
      <c r="F353" s="52" t="s">
        <v>52</v>
      </c>
      <c r="G353" s="53">
        <v>43549</v>
      </c>
      <c r="H353" s="52" t="s">
        <v>55</v>
      </c>
    </row>
    <row r="354" spans="1:10" x14ac:dyDescent="0.25">
      <c r="A354" t="s">
        <v>91</v>
      </c>
      <c r="B354" s="49">
        <v>25</v>
      </c>
      <c r="C354" s="51">
        <f>144950+4376.1</f>
        <v>149326.1</v>
      </c>
      <c r="D354" s="52" t="s">
        <v>2691</v>
      </c>
      <c r="E354" s="52" t="s">
        <v>2690</v>
      </c>
      <c r="F354" s="52" t="s">
        <v>52</v>
      </c>
      <c r="G354" s="53">
        <v>43549</v>
      </c>
      <c r="H354" s="52" t="s">
        <v>55</v>
      </c>
    </row>
    <row r="355" spans="1:10" x14ac:dyDescent="0.25">
      <c r="A355" t="s">
        <v>91</v>
      </c>
      <c r="B355" s="49">
        <v>25</v>
      </c>
      <c r="C355" s="51">
        <v>5347.9</v>
      </c>
      <c r="D355" s="52" t="s">
        <v>2855</v>
      </c>
      <c r="E355" s="52" t="s">
        <v>2856</v>
      </c>
      <c r="F355" s="52" t="s">
        <v>2857</v>
      </c>
      <c r="G355" s="53">
        <v>43549</v>
      </c>
      <c r="H355" s="52" t="s">
        <v>55</v>
      </c>
    </row>
    <row r="356" spans="1:10" x14ac:dyDescent="0.25">
      <c r="A356" t="s">
        <v>91</v>
      </c>
      <c r="B356" s="49">
        <v>25</v>
      </c>
      <c r="C356" s="51">
        <v>49190.1</v>
      </c>
      <c r="D356" s="52" t="s">
        <v>2858</v>
      </c>
      <c r="E356" s="52" t="s">
        <v>2859</v>
      </c>
      <c r="F356" s="52" t="s">
        <v>120</v>
      </c>
      <c r="G356" s="53">
        <v>43549</v>
      </c>
      <c r="H356" s="52" t="s">
        <v>55</v>
      </c>
    </row>
    <row r="357" spans="1:10" x14ac:dyDescent="0.25">
      <c r="A357" t="s">
        <v>91</v>
      </c>
      <c r="B357" s="49">
        <v>25</v>
      </c>
      <c r="C357" s="51">
        <v>43572</v>
      </c>
      <c r="D357" s="52" t="s">
        <v>2860</v>
      </c>
      <c r="E357" s="52" t="s">
        <v>2861</v>
      </c>
      <c r="F357" s="52" t="s">
        <v>120</v>
      </c>
      <c r="G357" s="53">
        <v>43549</v>
      </c>
      <c r="H357" s="52" t="s">
        <v>55</v>
      </c>
    </row>
    <row r="358" spans="1:10" x14ac:dyDescent="0.25">
      <c r="A358" t="s">
        <v>91</v>
      </c>
      <c r="B358" s="49">
        <v>25</v>
      </c>
      <c r="C358" s="51">
        <f>583440+17416.88</f>
        <v>600856.88</v>
      </c>
      <c r="D358" s="52" t="s">
        <v>2692</v>
      </c>
      <c r="E358" s="52" t="s">
        <v>2687</v>
      </c>
      <c r="F358" s="52" t="s">
        <v>52</v>
      </c>
      <c r="G358" s="53">
        <v>43550</v>
      </c>
      <c r="H358" s="52" t="s">
        <v>55</v>
      </c>
    </row>
    <row r="359" spans="1:10" x14ac:dyDescent="0.25">
      <c r="A359" t="s">
        <v>122</v>
      </c>
      <c r="B359" s="49">
        <v>26</v>
      </c>
      <c r="C359" s="54">
        <f>37000*G359</f>
        <v>705442</v>
      </c>
      <c r="D359" s="55" t="s">
        <v>2830</v>
      </c>
      <c r="E359" s="55" t="s">
        <v>3016</v>
      </c>
      <c r="F359" s="55" t="s">
        <v>2831</v>
      </c>
      <c r="G359" s="56">
        <v>19.065999999999999</v>
      </c>
      <c r="H359" s="55">
        <v>44.46</v>
      </c>
      <c r="I359" s="57">
        <v>43550</v>
      </c>
      <c r="J359" s="55" t="s">
        <v>62</v>
      </c>
    </row>
    <row r="360" spans="1:10" x14ac:dyDescent="0.25">
      <c r="A360" t="s">
        <v>122</v>
      </c>
      <c r="B360" s="49">
        <v>26</v>
      </c>
      <c r="C360" s="51">
        <f>34506.43*G360</f>
        <v>657692.55579999997</v>
      </c>
      <c r="D360" s="52" t="s">
        <v>2840</v>
      </c>
      <c r="E360" s="52" t="s">
        <v>2849</v>
      </c>
      <c r="F360" s="52" t="s">
        <v>2850</v>
      </c>
      <c r="G360" s="58">
        <v>19.059999999999999</v>
      </c>
      <c r="H360" s="52">
        <v>43.84</v>
      </c>
      <c r="I360" s="53">
        <v>43550</v>
      </c>
      <c r="J360" s="52" t="s">
        <v>62</v>
      </c>
    </row>
    <row r="361" spans="1:10" x14ac:dyDescent="0.25">
      <c r="A361" t="s">
        <v>122</v>
      </c>
      <c r="B361" s="49">
        <v>26</v>
      </c>
      <c r="C361" s="51">
        <f>665990+17504.4</f>
        <v>683494.40000000002</v>
      </c>
      <c r="D361" s="52" t="s">
        <v>2771</v>
      </c>
      <c r="E361" s="52" t="s">
        <v>2699</v>
      </c>
      <c r="F361" s="52" t="s">
        <v>52</v>
      </c>
      <c r="G361" s="53">
        <v>43551</v>
      </c>
      <c r="H361" s="52" t="s">
        <v>55</v>
      </c>
    </row>
    <row r="362" spans="1:10" x14ac:dyDescent="0.25">
      <c r="A362" t="s">
        <v>122</v>
      </c>
      <c r="B362" s="49">
        <v>26</v>
      </c>
      <c r="C362" s="51">
        <f>637520+17504.4</f>
        <v>655024.4</v>
      </c>
      <c r="D362" s="52" t="s">
        <v>2772</v>
      </c>
      <c r="E362" s="52" t="s">
        <v>2710</v>
      </c>
      <c r="F362" s="52" t="s">
        <v>52</v>
      </c>
      <c r="G362" s="53">
        <v>43552</v>
      </c>
      <c r="H362" s="52" t="s">
        <v>55</v>
      </c>
    </row>
    <row r="363" spans="1:10" x14ac:dyDescent="0.25">
      <c r="A363" t="s">
        <v>43</v>
      </c>
      <c r="B363" s="49">
        <v>27</v>
      </c>
      <c r="C363" s="51">
        <f>35048.6*G363</f>
        <v>668411.85060000001</v>
      </c>
      <c r="D363" s="52" t="s">
        <v>2833</v>
      </c>
      <c r="E363" s="52" t="s">
        <v>2834</v>
      </c>
      <c r="F363" s="52" t="s">
        <v>2835</v>
      </c>
      <c r="G363" s="58">
        <v>19.071000000000002</v>
      </c>
      <c r="H363" s="52">
        <v>43.56</v>
      </c>
      <c r="I363" s="53">
        <v>43551</v>
      </c>
      <c r="J363" s="52" t="s">
        <v>62</v>
      </c>
    </row>
    <row r="364" spans="1:10" x14ac:dyDescent="0.25">
      <c r="A364" t="s">
        <v>43</v>
      </c>
      <c r="B364" s="49">
        <v>27</v>
      </c>
      <c r="C364" s="51">
        <f>21013.8*33.7</f>
        <v>708165.06</v>
      </c>
      <c r="D364" s="52" t="s">
        <v>2798</v>
      </c>
      <c r="E364" s="52" t="s">
        <v>2868</v>
      </c>
      <c r="F364" s="52" t="s">
        <v>73</v>
      </c>
      <c r="G364" s="53">
        <v>43551</v>
      </c>
      <c r="H364" s="52" t="s">
        <v>55</v>
      </c>
    </row>
    <row r="365" spans="1:10" x14ac:dyDescent="0.25">
      <c r="A365" t="s">
        <v>43</v>
      </c>
      <c r="B365" s="49">
        <v>27</v>
      </c>
      <c r="C365" s="51">
        <f>597740+17504.4</f>
        <v>615244.4</v>
      </c>
      <c r="D365" s="52" t="s">
        <v>2773</v>
      </c>
      <c r="E365" s="52" t="s">
        <v>2774</v>
      </c>
      <c r="F365" s="52" t="s">
        <v>52</v>
      </c>
      <c r="G365" s="53">
        <v>43556</v>
      </c>
      <c r="H365" s="52" t="s">
        <v>55</v>
      </c>
    </row>
    <row r="366" spans="1:10" x14ac:dyDescent="0.25">
      <c r="A366" t="s">
        <v>43</v>
      </c>
      <c r="B366" s="49">
        <v>27</v>
      </c>
      <c r="C366" s="51">
        <f>515450+15753.96</f>
        <v>531203.96</v>
      </c>
      <c r="D366" s="52" t="s">
        <v>2776</v>
      </c>
      <c r="E366" s="52" t="s">
        <v>2775</v>
      </c>
      <c r="F366" s="52" t="s">
        <v>52</v>
      </c>
      <c r="G366" s="53">
        <v>43556</v>
      </c>
      <c r="H366" s="52" t="s">
        <v>55</v>
      </c>
    </row>
    <row r="367" spans="1:10" x14ac:dyDescent="0.25">
      <c r="A367" t="s">
        <v>59</v>
      </c>
      <c r="B367" s="49">
        <v>28</v>
      </c>
      <c r="C367" s="54">
        <f>36000*G367</f>
        <v>698760</v>
      </c>
      <c r="D367" s="55" t="s">
        <v>2832</v>
      </c>
      <c r="E367" s="55" t="s">
        <v>3039</v>
      </c>
      <c r="F367" s="55" t="s">
        <v>2947</v>
      </c>
      <c r="G367" s="56">
        <v>19.41</v>
      </c>
      <c r="H367" s="55">
        <v>41.34</v>
      </c>
      <c r="I367" s="57">
        <v>43552</v>
      </c>
      <c r="J367" s="55" t="s">
        <v>62</v>
      </c>
    </row>
    <row r="368" spans="1:10" x14ac:dyDescent="0.25">
      <c r="A368" t="s">
        <v>59</v>
      </c>
      <c r="B368" s="49">
        <v>28</v>
      </c>
      <c r="C368" s="51">
        <f>387010+11290.34</f>
        <v>398300.34</v>
      </c>
      <c r="D368" s="52" t="s">
        <v>2777</v>
      </c>
      <c r="E368" s="52" t="s">
        <v>2733</v>
      </c>
      <c r="F368" s="52" t="s">
        <v>52</v>
      </c>
      <c r="G368" s="53">
        <v>43557</v>
      </c>
      <c r="H368" s="52" t="s">
        <v>55</v>
      </c>
    </row>
    <row r="369" spans="1:10" x14ac:dyDescent="0.25">
      <c r="A369" t="s">
        <v>70</v>
      </c>
      <c r="B369" s="49">
        <v>29</v>
      </c>
      <c r="C369" s="51">
        <v>62950.7</v>
      </c>
      <c r="D369" s="52" t="s">
        <v>2971</v>
      </c>
      <c r="E369" s="52" t="s">
        <v>2972</v>
      </c>
      <c r="F369" s="52" t="s">
        <v>120</v>
      </c>
      <c r="G369" s="53">
        <v>43553</v>
      </c>
      <c r="H369" s="52" t="s">
        <v>55</v>
      </c>
    </row>
    <row r="370" spans="1:10" x14ac:dyDescent="0.25">
      <c r="A370" t="s">
        <v>70</v>
      </c>
      <c r="B370" s="49">
        <v>29</v>
      </c>
      <c r="C370" s="54">
        <f>37000*G370</f>
        <v>706330</v>
      </c>
      <c r="D370" s="55" t="s">
        <v>2970</v>
      </c>
      <c r="E370" s="55" t="s">
        <v>3023</v>
      </c>
      <c r="F370" s="55" t="s">
        <v>2831</v>
      </c>
      <c r="G370" s="56">
        <v>19.09</v>
      </c>
      <c r="H370" s="55">
        <v>43.18</v>
      </c>
      <c r="I370" s="57">
        <v>43549</v>
      </c>
      <c r="J370" s="55" t="s">
        <v>62</v>
      </c>
    </row>
    <row r="371" spans="1:10" x14ac:dyDescent="0.25">
      <c r="A371" t="s">
        <v>70</v>
      </c>
      <c r="B371" s="49">
        <v>29</v>
      </c>
      <c r="C371" s="51">
        <f>33589.24*G371</f>
        <v>651967.14839999995</v>
      </c>
      <c r="D371" s="52" t="s">
        <v>2836</v>
      </c>
      <c r="E371" s="52" t="s">
        <v>2837</v>
      </c>
      <c r="F371" s="52" t="s">
        <v>2838</v>
      </c>
      <c r="G371" s="58">
        <v>19.41</v>
      </c>
      <c r="H371" s="52">
        <v>45.5</v>
      </c>
      <c r="I371" s="53">
        <v>43553</v>
      </c>
      <c r="J371" s="52" t="s">
        <v>62</v>
      </c>
    </row>
    <row r="372" spans="1:10" x14ac:dyDescent="0.25">
      <c r="A372" t="s">
        <v>70</v>
      </c>
      <c r="B372" s="49">
        <v>29</v>
      </c>
      <c r="C372" s="51">
        <f>35578.32*G372</f>
        <v>691108.86600000004</v>
      </c>
      <c r="D372" s="52" t="s">
        <v>2841</v>
      </c>
      <c r="E372" s="52" t="s">
        <v>2965</v>
      </c>
      <c r="F372" s="52" t="s">
        <v>2966</v>
      </c>
      <c r="G372" s="58">
        <v>19.425000000000001</v>
      </c>
      <c r="H372" s="52">
        <v>45.73</v>
      </c>
      <c r="I372" s="53">
        <v>43553</v>
      </c>
      <c r="J372" s="52" t="s">
        <v>62</v>
      </c>
    </row>
    <row r="373" spans="1:10" x14ac:dyDescent="0.25">
      <c r="A373" s="37" t="s">
        <v>89</v>
      </c>
      <c r="B373" s="49">
        <v>30</v>
      </c>
    </row>
    <row r="374" spans="1:10" x14ac:dyDescent="0.25">
      <c r="A374" s="37" t="s">
        <v>90</v>
      </c>
      <c r="B374" s="49">
        <v>31</v>
      </c>
    </row>
    <row r="375" spans="1:10" x14ac:dyDescent="0.25">
      <c r="A375" s="61" t="s">
        <v>2770</v>
      </c>
    </row>
    <row r="376" spans="1:10" x14ac:dyDescent="0.25">
      <c r="A376" t="s">
        <v>91</v>
      </c>
      <c r="B376" s="49">
        <v>1</v>
      </c>
      <c r="C376" s="54">
        <f>34000*G376</f>
        <v>660960</v>
      </c>
      <c r="D376" s="55" t="s">
        <v>2839</v>
      </c>
      <c r="E376" s="55" t="s">
        <v>3038</v>
      </c>
      <c r="F376" s="55" t="s">
        <v>2967</v>
      </c>
      <c r="G376" s="56">
        <v>19.440000000000001</v>
      </c>
      <c r="H376" s="55">
        <v>40.72</v>
      </c>
      <c r="I376" s="57">
        <v>43553</v>
      </c>
      <c r="J376" s="55" t="s">
        <v>62</v>
      </c>
    </row>
    <row r="377" spans="1:10" x14ac:dyDescent="0.25">
      <c r="A377" t="s">
        <v>91</v>
      </c>
      <c r="B377" s="49">
        <v>1</v>
      </c>
      <c r="C377" s="51">
        <f>35245.55*G377</f>
        <v>677419.47100000002</v>
      </c>
      <c r="D377" s="52" t="s">
        <v>2995</v>
      </c>
      <c r="E377" s="52" t="s">
        <v>2996</v>
      </c>
      <c r="F377" s="52" t="s">
        <v>2997</v>
      </c>
      <c r="G377" s="52">
        <v>19.22</v>
      </c>
      <c r="H377" s="52">
        <v>44.07</v>
      </c>
      <c r="I377" s="53">
        <v>43556</v>
      </c>
      <c r="J377" s="52" t="s">
        <v>62</v>
      </c>
    </row>
    <row r="378" spans="1:10" x14ac:dyDescent="0.25">
      <c r="A378" t="s">
        <v>91</v>
      </c>
      <c r="B378" s="49">
        <v>1</v>
      </c>
      <c r="C378" s="51">
        <f>34098.67*G378</f>
        <v>655990.21346</v>
      </c>
      <c r="D378" s="52" t="s">
        <v>3000</v>
      </c>
      <c r="E378" s="52" t="s">
        <v>2999</v>
      </c>
      <c r="F378" s="52" t="s">
        <v>2998</v>
      </c>
      <c r="G378" s="52">
        <v>19.238</v>
      </c>
      <c r="H378" s="52">
        <v>44.59</v>
      </c>
      <c r="I378" s="53">
        <v>43556</v>
      </c>
      <c r="J378" s="52" t="s">
        <v>62</v>
      </c>
    </row>
    <row r="379" spans="1:10" x14ac:dyDescent="0.25">
      <c r="A379" t="s">
        <v>91</v>
      </c>
      <c r="B379" s="49">
        <v>1</v>
      </c>
      <c r="C379" s="51">
        <v>47140.800000000003</v>
      </c>
      <c r="D379" s="52" t="s">
        <v>3019</v>
      </c>
      <c r="E379" s="52" t="s">
        <v>3020</v>
      </c>
      <c r="F379" s="52" t="s">
        <v>120</v>
      </c>
      <c r="G379" s="52">
        <v>69</v>
      </c>
      <c r="H379" s="53">
        <v>43559</v>
      </c>
      <c r="I379" s="52" t="s">
        <v>55</v>
      </c>
    </row>
    <row r="380" spans="1:10" x14ac:dyDescent="0.25">
      <c r="A380" t="s">
        <v>91</v>
      </c>
      <c r="B380" s="49">
        <v>1</v>
      </c>
      <c r="C380" s="51">
        <v>11002.1</v>
      </c>
      <c r="D380" s="52" t="s">
        <v>3021</v>
      </c>
      <c r="E380" s="52" t="s">
        <v>3022</v>
      </c>
      <c r="F380" s="52" t="s">
        <v>2857</v>
      </c>
      <c r="G380" s="53">
        <v>43556</v>
      </c>
      <c r="H380" s="52" t="s">
        <v>55</v>
      </c>
      <c r="I380" s="72"/>
    </row>
    <row r="381" spans="1:10" x14ac:dyDescent="0.25">
      <c r="A381" t="s">
        <v>91</v>
      </c>
      <c r="B381" s="49">
        <v>1</v>
      </c>
      <c r="C381" s="51">
        <f>620230+17329.36</f>
        <v>637559.36</v>
      </c>
      <c r="D381" s="52" t="s">
        <v>2792</v>
      </c>
      <c r="E381" s="52" t="s">
        <v>2793</v>
      </c>
      <c r="F381" s="52" t="s">
        <v>52</v>
      </c>
      <c r="G381" s="53">
        <v>43557</v>
      </c>
      <c r="H381" s="52" t="s">
        <v>55</v>
      </c>
    </row>
    <row r="382" spans="1:10" x14ac:dyDescent="0.25">
      <c r="A382" t="s">
        <v>91</v>
      </c>
      <c r="B382" s="49">
        <v>1</v>
      </c>
      <c r="C382" s="51">
        <v>41786.400000000001</v>
      </c>
      <c r="D382" s="52" t="s">
        <v>3031</v>
      </c>
      <c r="E382" s="52" t="s">
        <v>3032</v>
      </c>
      <c r="F382" s="52" t="s">
        <v>120</v>
      </c>
      <c r="G382" s="53">
        <v>43557</v>
      </c>
      <c r="H382" s="52" t="s">
        <v>55</v>
      </c>
    </row>
    <row r="383" spans="1:10" x14ac:dyDescent="0.25">
      <c r="A383" t="s">
        <v>91</v>
      </c>
      <c r="B383" s="49">
        <v>1</v>
      </c>
      <c r="C383" s="51">
        <f>390130+11552.9</f>
        <v>401682.9</v>
      </c>
      <c r="D383" s="52" t="s">
        <v>2794</v>
      </c>
      <c r="E383" s="52" t="s">
        <v>2750</v>
      </c>
      <c r="F383" s="52" t="s">
        <v>52</v>
      </c>
      <c r="G383" s="53">
        <v>43558</v>
      </c>
      <c r="H383" s="52" t="s">
        <v>55</v>
      </c>
    </row>
    <row r="384" spans="1:10" x14ac:dyDescent="0.25">
      <c r="A384" t="s">
        <v>91</v>
      </c>
      <c r="B384" s="49">
        <v>1</v>
      </c>
      <c r="C384" s="51">
        <f>587210+17504.4</f>
        <v>604714.4</v>
      </c>
      <c r="D384" s="52" t="s">
        <v>2795</v>
      </c>
      <c r="E384" s="52" t="s">
        <v>2751</v>
      </c>
      <c r="F384" s="52" t="s">
        <v>52</v>
      </c>
      <c r="G384" s="53">
        <v>43559</v>
      </c>
      <c r="H384" s="52" t="s">
        <v>55</v>
      </c>
    </row>
    <row r="385" spans="1:10" x14ac:dyDescent="0.25">
      <c r="A385" t="s">
        <v>122</v>
      </c>
      <c r="B385" s="49">
        <v>2</v>
      </c>
      <c r="C385" s="54">
        <f>35000*G385</f>
        <v>673330</v>
      </c>
      <c r="D385" s="55" t="s">
        <v>3007</v>
      </c>
      <c r="E385" s="55" t="s">
        <v>3091</v>
      </c>
      <c r="F385" s="55" t="s">
        <v>2738</v>
      </c>
      <c r="G385" s="55">
        <v>19.238</v>
      </c>
      <c r="H385" s="55">
        <v>38.32</v>
      </c>
      <c r="I385" s="57">
        <v>43557</v>
      </c>
      <c r="J385" s="55" t="s">
        <v>62</v>
      </c>
    </row>
    <row r="386" spans="1:10" x14ac:dyDescent="0.25">
      <c r="A386" t="s">
        <v>122</v>
      </c>
      <c r="B386" s="49">
        <v>2</v>
      </c>
      <c r="C386" s="51">
        <f>598650+17504.4</f>
        <v>616154.4</v>
      </c>
      <c r="D386" s="52" t="s">
        <v>2796</v>
      </c>
      <c r="E386" s="52" t="s">
        <v>2759</v>
      </c>
      <c r="F386" s="52" t="s">
        <v>52</v>
      </c>
      <c r="G386" s="53">
        <v>43560</v>
      </c>
      <c r="H386" s="52" t="s">
        <v>55</v>
      </c>
    </row>
    <row r="387" spans="1:10" x14ac:dyDescent="0.25">
      <c r="A387" s="191" t="s">
        <v>122</v>
      </c>
      <c r="B387" s="49">
        <v>2</v>
      </c>
      <c r="C387" s="51">
        <f>588380+17504.4-2938</f>
        <v>602946.4</v>
      </c>
      <c r="D387" s="52" t="s">
        <v>2797</v>
      </c>
      <c r="E387" s="52" t="s">
        <v>2760</v>
      </c>
      <c r="F387" s="52" t="s">
        <v>52</v>
      </c>
      <c r="G387" s="53">
        <v>43563</v>
      </c>
      <c r="H387" s="52" t="s">
        <v>55</v>
      </c>
    </row>
    <row r="388" spans="1:10" x14ac:dyDescent="0.25">
      <c r="A388" t="s">
        <v>43</v>
      </c>
      <c r="B388" s="49">
        <v>3</v>
      </c>
      <c r="C388" s="51">
        <f>649870+19342.36-8814</f>
        <v>660398.36</v>
      </c>
      <c r="D388" s="52" t="s">
        <v>2843</v>
      </c>
      <c r="E388" s="52" t="s">
        <v>2817</v>
      </c>
      <c r="F388" s="52" t="s">
        <v>52</v>
      </c>
      <c r="G388" s="53">
        <v>43563</v>
      </c>
      <c r="H388" s="52" t="s">
        <v>55</v>
      </c>
    </row>
    <row r="389" spans="1:10" x14ac:dyDescent="0.25">
      <c r="A389" t="s">
        <v>43</v>
      </c>
      <c r="B389" s="49">
        <v>3</v>
      </c>
      <c r="C389" s="51">
        <f>434850+14003.52</f>
        <v>448853.52</v>
      </c>
      <c r="D389" s="52" t="s">
        <v>2845</v>
      </c>
      <c r="E389" s="52" t="s">
        <v>2844</v>
      </c>
      <c r="F389" s="52" t="s">
        <v>52</v>
      </c>
      <c r="G389" s="53">
        <v>43560</v>
      </c>
      <c r="H389" s="52" t="s">
        <v>55</v>
      </c>
    </row>
    <row r="390" spans="1:10" x14ac:dyDescent="0.25">
      <c r="A390" t="s">
        <v>59</v>
      </c>
      <c r="B390" s="49">
        <v>4</v>
      </c>
      <c r="C390" s="54">
        <f>28000*G390</f>
        <v>539000</v>
      </c>
      <c r="D390" s="55" t="s">
        <v>3008</v>
      </c>
      <c r="E390" s="55" t="s">
        <v>3109</v>
      </c>
      <c r="F390" s="55" t="s">
        <v>3026</v>
      </c>
      <c r="G390" s="55">
        <v>19.25</v>
      </c>
      <c r="H390" s="55">
        <v>39.17</v>
      </c>
      <c r="I390" s="57">
        <v>43559</v>
      </c>
      <c r="J390" s="55" t="s">
        <v>62</v>
      </c>
    </row>
    <row r="391" spans="1:10" x14ac:dyDescent="0.25">
      <c r="A391" t="s">
        <v>59</v>
      </c>
      <c r="B391" s="49">
        <v>4</v>
      </c>
      <c r="C391" s="54">
        <f>29000*G391</f>
        <v>558540</v>
      </c>
      <c r="D391" s="55" t="s">
        <v>3009</v>
      </c>
      <c r="E391" s="55" t="s">
        <v>3095</v>
      </c>
      <c r="F391" s="55" t="s">
        <v>2659</v>
      </c>
      <c r="G391" s="55">
        <v>19.260000000000002</v>
      </c>
      <c r="H391" s="55">
        <v>38.15</v>
      </c>
      <c r="I391" s="57">
        <v>43559</v>
      </c>
      <c r="J391" s="55" t="s">
        <v>62</v>
      </c>
    </row>
    <row r="392" spans="1:10" x14ac:dyDescent="0.25">
      <c r="A392" s="191" t="s">
        <v>59</v>
      </c>
      <c r="B392" s="49">
        <v>4</v>
      </c>
      <c r="C392" s="51">
        <f>434265+11290.34</f>
        <v>445555.34</v>
      </c>
      <c r="D392" s="52" t="s">
        <v>2846</v>
      </c>
      <c r="E392" s="52" t="s">
        <v>2827</v>
      </c>
      <c r="F392" s="52" t="s">
        <v>52</v>
      </c>
      <c r="G392" s="53">
        <v>43564</v>
      </c>
      <c r="H392" s="52" t="s">
        <v>55</v>
      </c>
    </row>
    <row r="393" spans="1:10" x14ac:dyDescent="0.25">
      <c r="A393" t="s">
        <v>59</v>
      </c>
      <c r="B393" s="49">
        <v>4</v>
      </c>
      <c r="C393" s="51">
        <f>19670*33.7</f>
        <v>662879</v>
      </c>
      <c r="D393" s="52" t="s">
        <v>2988</v>
      </c>
      <c r="E393" s="52" t="s">
        <v>3033</v>
      </c>
      <c r="F393" s="52" t="s">
        <v>73</v>
      </c>
      <c r="G393" s="53">
        <v>43559</v>
      </c>
      <c r="H393" s="52" t="s">
        <v>55</v>
      </c>
    </row>
    <row r="394" spans="1:10" x14ac:dyDescent="0.25">
      <c r="A394" t="s">
        <v>70</v>
      </c>
      <c r="B394" s="49">
        <v>5</v>
      </c>
      <c r="C394" s="51">
        <f>33182.72*G394</f>
        <v>639862.38976000005</v>
      </c>
      <c r="D394" s="52" t="s">
        <v>3034</v>
      </c>
      <c r="E394" s="52" t="s">
        <v>3035</v>
      </c>
      <c r="F394" s="52" t="s">
        <v>3036</v>
      </c>
      <c r="G394" s="52">
        <v>19.283000000000001</v>
      </c>
      <c r="H394" s="52">
        <v>43.04</v>
      </c>
      <c r="I394" s="53">
        <v>43560</v>
      </c>
      <c r="J394" s="52" t="s">
        <v>62</v>
      </c>
    </row>
    <row r="395" spans="1:10" x14ac:dyDescent="0.25">
      <c r="A395" s="37" t="s">
        <v>89</v>
      </c>
      <c r="B395" s="49">
        <v>6</v>
      </c>
    </row>
    <row r="396" spans="1:10" x14ac:dyDescent="0.25">
      <c r="A396" s="37" t="s">
        <v>90</v>
      </c>
      <c r="B396" s="49">
        <v>7</v>
      </c>
    </row>
    <row r="397" spans="1:10" x14ac:dyDescent="0.25">
      <c r="A397" t="s">
        <v>91</v>
      </c>
      <c r="B397" s="49">
        <v>8</v>
      </c>
      <c r="C397" s="54">
        <f>27000*G397</f>
        <v>518238</v>
      </c>
      <c r="D397" s="55" t="s">
        <v>3041</v>
      </c>
      <c r="E397" s="55" t="s">
        <v>3117</v>
      </c>
      <c r="F397" s="55" t="s">
        <v>2516</v>
      </c>
      <c r="G397" s="55">
        <v>19.193999999999999</v>
      </c>
      <c r="H397" s="55">
        <v>39.94</v>
      </c>
      <c r="I397" s="57">
        <v>43563</v>
      </c>
      <c r="J397" s="55" t="s">
        <v>62</v>
      </c>
    </row>
    <row r="398" spans="1:10" s="191" customFormat="1" x14ac:dyDescent="0.25">
      <c r="A398" s="191" t="s">
        <v>91</v>
      </c>
      <c r="B398" s="192">
        <v>8</v>
      </c>
      <c r="C398" s="51">
        <f>29045.74*G398</f>
        <v>551288.14520000003</v>
      </c>
      <c r="D398" s="52" t="s">
        <v>3072</v>
      </c>
      <c r="E398" s="52" t="s">
        <v>3073</v>
      </c>
      <c r="F398" s="52" t="s">
        <v>3074</v>
      </c>
      <c r="G398" s="52">
        <v>18.98</v>
      </c>
      <c r="H398" s="52">
        <v>37.29</v>
      </c>
      <c r="I398" s="53">
        <v>43563</v>
      </c>
      <c r="J398" s="52" t="s">
        <v>62</v>
      </c>
    </row>
    <row r="399" spans="1:10" x14ac:dyDescent="0.25">
      <c r="A399" s="191" t="s">
        <v>91</v>
      </c>
      <c r="B399" s="49">
        <v>8</v>
      </c>
      <c r="C399" s="51">
        <v>1036385.28</v>
      </c>
      <c r="D399" s="52" t="s">
        <v>3063</v>
      </c>
      <c r="E399" s="52" t="s">
        <v>3062</v>
      </c>
      <c r="F399" s="52" t="s">
        <v>1798</v>
      </c>
      <c r="G399" s="52">
        <v>56</v>
      </c>
      <c r="H399" s="53">
        <v>43565</v>
      </c>
      <c r="I399" s="52" t="s">
        <v>62</v>
      </c>
    </row>
    <row r="400" spans="1:10" x14ac:dyDescent="0.25">
      <c r="A400" t="s">
        <v>91</v>
      </c>
      <c r="B400" s="49">
        <v>8</v>
      </c>
      <c r="C400"/>
    </row>
    <row r="401" spans="1:10" x14ac:dyDescent="0.25">
      <c r="A401" t="s">
        <v>91</v>
      </c>
      <c r="B401" s="49">
        <v>8</v>
      </c>
      <c r="C401" s="51">
        <f>590707.5+17416.88</f>
        <v>608124.38</v>
      </c>
      <c r="D401" s="52" t="s">
        <v>2982</v>
      </c>
      <c r="E401" s="52" t="s">
        <v>2851</v>
      </c>
      <c r="F401" s="52" t="s">
        <v>52</v>
      </c>
      <c r="G401" s="53">
        <v>43564</v>
      </c>
      <c r="H401" s="52" t="s">
        <v>55</v>
      </c>
    </row>
    <row r="402" spans="1:10" x14ac:dyDescent="0.25">
      <c r="A402" s="191" t="s">
        <v>91</v>
      </c>
      <c r="B402" s="49">
        <v>8</v>
      </c>
      <c r="C402" s="51">
        <f>382372.5+11377.86</f>
        <v>393750.36</v>
      </c>
      <c r="D402" s="52" t="s">
        <v>2983</v>
      </c>
      <c r="E402" s="52" t="s">
        <v>2852</v>
      </c>
      <c r="F402" s="52" t="s">
        <v>52</v>
      </c>
      <c r="G402" s="53">
        <v>43567</v>
      </c>
      <c r="H402" s="52" t="s">
        <v>55</v>
      </c>
    </row>
    <row r="403" spans="1:10" x14ac:dyDescent="0.25">
      <c r="A403" s="191" t="s">
        <v>91</v>
      </c>
      <c r="B403" s="49">
        <v>8</v>
      </c>
      <c r="C403" s="51">
        <f>597082.5</f>
        <v>597082.5</v>
      </c>
      <c r="D403" s="52" t="s">
        <v>2994</v>
      </c>
      <c r="E403" s="52" t="s">
        <v>3123</v>
      </c>
      <c r="F403" s="52" t="s">
        <v>52</v>
      </c>
      <c r="G403" s="53">
        <v>43565</v>
      </c>
      <c r="H403" s="52" t="s">
        <v>55</v>
      </c>
    </row>
    <row r="404" spans="1:10" x14ac:dyDescent="0.25">
      <c r="A404" s="191"/>
      <c r="B404" s="49"/>
      <c r="C404" s="51">
        <v>17504.400000000001</v>
      </c>
      <c r="D404" s="52" t="s">
        <v>2994</v>
      </c>
      <c r="E404" s="52" t="s">
        <v>3122</v>
      </c>
      <c r="F404" s="52" t="s">
        <v>3124</v>
      </c>
      <c r="G404" s="53">
        <v>43567</v>
      </c>
      <c r="H404" s="52" t="s">
        <v>55</v>
      </c>
    </row>
    <row r="405" spans="1:10" x14ac:dyDescent="0.25">
      <c r="A405" s="191" t="s">
        <v>122</v>
      </c>
      <c r="B405" s="49">
        <v>9</v>
      </c>
      <c r="C405" s="54">
        <f>25000*G405</f>
        <v>478425</v>
      </c>
      <c r="D405" s="55" t="s">
        <v>3042</v>
      </c>
      <c r="E405" s="55" t="s">
        <v>3177</v>
      </c>
      <c r="F405" s="55" t="s">
        <v>2240</v>
      </c>
      <c r="G405" s="55">
        <v>19.137</v>
      </c>
      <c r="H405" s="55">
        <v>39.33</v>
      </c>
      <c r="I405" s="57">
        <v>43564</v>
      </c>
      <c r="J405" s="55" t="s">
        <v>62</v>
      </c>
    </row>
    <row r="406" spans="1:10" x14ac:dyDescent="0.25">
      <c r="A406" s="191" t="s">
        <v>122</v>
      </c>
      <c r="B406" s="49">
        <v>9</v>
      </c>
      <c r="C406" s="51">
        <f>29298.03*G406</f>
        <v>560002.54541999998</v>
      </c>
      <c r="D406" s="52" t="s">
        <v>3054</v>
      </c>
      <c r="E406" s="52" t="s">
        <v>3055</v>
      </c>
      <c r="F406" s="52" t="s">
        <v>3056</v>
      </c>
      <c r="G406" s="52">
        <v>19.114000000000001</v>
      </c>
      <c r="H406" s="52"/>
      <c r="I406" s="53">
        <v>43564</v>
      </c>
      <c r="J406" s="52" t="s">
        <v>62</v>
      </c>
    </row>
    <row r="407" spans="1:10" x14ac:dyDescent="0.25">
      <c r="A407" s="191" t="s">
        <v>122</v>
      </c>
      <c r="B407" s="49">
        <v>9</v>
      </c>
      <c r="C407" s="51">
        <v>672356.16</v>
      </c>
      <c r="D407" s="52" t="s">
        <v>2981</v>
      </c>
      <c r="E407" s="52" t="s">
        <v>2980</v>
      </c>
      <c r="F407" s="52" t="s">
        <v>1804</v>
      </c>
      <c r="G407" s="52">
        <v>96</v>
      </c>
      <c r="H407" s="53">
        <v>43565</v>
      </c>
      <c r="I407" s="52" t="s">
        <v>62</v>
      </c>
    </row>
    <row r="408" spans="1:10" x14ac:dyDescent="0.25">
      <c r="A408" s="191" t="s">
        <v>122</v>
      </c>
      <c r="B408" s="49">
        <v>9</v>
      </c>
      <c r="C408" s="51">
        <f>564570+17504.4-2822.85</f>
        <v>579251.55000000005</v>
      </c>
      <c r="D408" s="52" t="s">
        <v>2985</v>
      </c>
      <c r="E408" s="52" t="s">
        <v>2986</v>
      </c>
      <c r="F408" s="52" t="s">
        <v>52</v>
      </c>
      <c r="G408" s="53">
        <v>43567</v>
      </c>
      <c r="H408" s="52" t="s">
        <v>55</v>
      </c>
    </row>
    <row r="409" spans="1:10" x14ac:dyDescent="0.25">
      <c r="A409" s="191" t="s">
        <v>122</v>
      </c>
      <c r="B409" s="49">
        <v>9</v>
      </c>
      <c r="C409" s="51">
        <f>565972.5+17504.4-2830.5</f>
        <v>580646.40000000002</v>
      </c>
      <c r="D409" s="52" t="s">
        <v>2987</v>
      </c>
      <c r="E409" s="52" t="s">
        <v>2950</v>
      </c>
      <c r="F409" s="52" t="s">
        <v>52</v>
      </c>
      <c r="G409" s="53">
        <v>43570</v>
      </c>
      <c r="H409" s="52" t="s">
        <v>55</v>
      </c>
    </row>
    <row r="410" spans="1:10" x14ac:dyDescent="0.25">
      <c r="A410" t="s">
        <v>43</v>
      </c>
      <c r="B410" s="49">
        <v>10</v>
      </c>
      <c r="C410" s="51">
        <v>44970</v>
      </c>
      <c r="D410" s="52" t="s">
        <v>3069</v>
      </c>
      <c r="E410" s="52" t="s">
        <v>3068</v>
      </c>
      <c r="F410" s="52" t="s">
        <v>87</v>
      </c>
      <c r="G410" s="52" t="s">
        <v>3070</v>
      </c>
      <c r="H410" s="52" t="s">
        <v>3071</v>
      </c>
      <c r="I410" s="53">
        <v>43566</v>
      </c>
      <c r="J410" s="52" t="s">
        <v>62</v>
      </c>
    </row>
    <row r="411" spans="1:10" x14ac:dyDescent="0.25">
      <c r="A411" t="s">
        <v>43</v>
      </c>
      <c r="B411" s="49">
        <v>10</v>
      </c>
      <c r="C411" s="54">
        <f>25000*G411</f>
        <v>474000</v>
      </c>
      <c r="D411" s="55" t="s">
        <v>3043</v>
      </c>
      <c r="E411" s="55" t="s">
        <v>3176</v>
      </c>
      <c r="F411" s="55" t="s">
        <v>2240</v>
      </c>
      <c r="G411" s="55">
        <v>18.96</v>
      </c>
      <c r="H411" s="55">
        <v>37.54</v>
      </c>
      <c r="I411" s="57">
        <v>43565</v>
      </c>
      <c r="J411" s="55" t="s">
        <v>62</v>
      </c>
    </row>
    <row r="412" spans="1:10" x14ac:dyDescent="0.25">
      <c r="A412" t="s">
        <v>43</v>
      </c>
      <c r="B412" s="49">
        <v>10</v>
      </c>
      <c r="C412" s="54">
        <f>33000*G412</f>
        <v>625977</v>
      </c>
      <c r="D412" s="55" t="s">
        <v>3044</v>
      </c>
      <c r="E412" s="55" t="s">
        <v>3175</v>
      </c>
      <c r="F412" s="55" t="s">
        <v>2739</v>
      </c>
      <c r="G412" s="55">
        <v>18.969000000000001</v>
      </c>
      <c r="H412" s="55">
        <v>37.590000000000003</v>
      </c>
      <c r="I412" s="57">
        <v>43565</v>
      </c>
      <c r="J412" s="55" t="s">
        <v>62</v>
      </c>
    </row>
    <row r="413" spans="1:10" x14ac:dyDescent="0.25">
      <c r="A413" t="s">
        <v>43</v>
      </c>
      <c r="B413" s="49">
        <v>10</v>
      </c>
      <c r="C413" s="51">
        <f>589050+17416.88</f>
        <v>606466.88</v>
      </c>
      <c r="D413" s="52" t="s">
        <v>2990</v>
      </c>
      <c r="E413" s="52" t="s">
        <v>2991</v>
      </c>
      <c r="F413" s="52" t="s">
        <v>52</v>
      </c>
      <c r="G413" s="53">
        <v>43570</v>
      </c>
      <c r="H413" s="52" t="s">
        <v>55</v>
      </c>
    </row>
    <row r="414" spans="1:10" x14ac:dyDescent="0.25">
      <c r="A414" s="191" t="s">
        <v>43</v>
      </c>
      <c r="B414" s="49">
        <v>10</v>
      </c>
      <c r="C414" s="51">
        <f>483735+15753.96</f>
        <v>499488.96</v>
      </c>
      <c r="D414" s="52" t="s">
        <v>2992</v>
      </c>
      <c r="E414" s="52" t="s">
        <v>2974</v>
      </c>
      <c r="F414" s="52" t="s">
        <v>52</v>
      </c>
      <c r="G414" s="53">
        <v>43571</v>
      </c>
      <c r="H414" s="52" t="s">
        <v>55</v>
      </c>
    </row>
    <row r="415" spans="1:10" x14ac:dyDescent="0.25">
      <c r="A415" t="s">
        <v>59</v>
      </c>
      <c r="B415" s="49">
        <v>11</v>
      </c>
      <c r="C415" s="51">
        <f>20980*33.7</f>
        <v>707026.00000000012</v>
      </c>
      <c r="D415" s="52" t="s">
        <v>3060</v>
      </c>
      <c r="E415" s="52" t="s">
        <v>3090</v>
      </c>
      <c r="F415" s="52" t="s">
        <v>73</v>
      </c>
      <c r="G415" s="53">
        <v>43566</v>
      </c>
      <c r="H415" s="52" t="s">
        <v>55</v>
      </c>
    </row>
    <row r="416" spans="1:10" x14ac:dyDescent="0.25">
      <c r="A416" t="s">
        <v>59</v>
      </c>
      <c r="B416" s="49">
        <v>11</v>
      </c>
      <c r="C416" s="51">
        <f>417945+11377.86</f>
        <v>429322.86</v>
      </c>
      <c r="D416" s="52" t="s">
        <v>2993</v>
      </c>
      <c r="E416" s="52" t="s">
        <v>2975</v>
      </c>
      <c r="F416" s="52" t="s">
        <v>52</v>
      </c>
      <c r="G416" s="53">
        <v>43572</v>
      </c>
      <c r="H416" s="52" t="s">
        <v>55</v>
      </c>
    </row>
    <row r="417" spans="1:14" x14ac:dyDescent="0.25">
      <c r="A417" t="s">
        <v>59</v>
      </c>
      <c r="B417" s="49">
        <v>11</v>
      </c>
      <c r="C417" s="54">
        <f>31000*G417</f>
        <v>587605</v>
      </c>
      <c r="D417" s="55" t="s">
        <v>3045</v>
      </c>
      <c r="E417" s="55" t="s">
        <v>3173</v>
      </c>
      <c r="F417" s="55" t="s">
        <v>3089</v>
      </c>
      <c r="G417" s="55">
        <v>18.954999999999998</v>
      </c>
      <c r="H417" s="55">
        <v>37.78</v>
      </c>
      <c r="I417" s="57">
        <v>43566</v>
      </c>
      <c r="J417" s="55" t="s">
        <v>62</v>
      </c>
    </row>
    <row r="418" spans="1:14" x14ac:dyDescent="0.25">
      <c r="A418" t="s">
        <v>70</v>
      </c>
      <c r="B418" s="49">
        <v>12</v>
      </c>
      <c r="C418" s="54">
        <f>33000*G418</f>
        <v>622809</v>
      </c>
      <c r="D418" s="55" t="s">
        <v>3046</v>
      </c>
      <c r="E418" s="55" t="s">
        <v>3174</v>
      </c>
      <c r="F418" s="55" t="s">
        <v>2739</v>
      </c>
      <c r="G418" s="55">
        <v>18.873000000000001</v>
      </c>
      <c r="H418" s="55">
        <v>38.46</v>
      </c>
      <c r="I418" s="57">
        <v>43567</v>
      </c>
      <c r="J418" s="55" t="s">
        <v>62</v>
      </c>
    </row>
    <row r="419" spans="1:14" x14ac:dyDescent="0.25">
      <c r="A419" t="s">
        <v>70</v>
      </c>
      <c r="B419" s="49">
        <v>12</v>
      </c>
    </row>
    <row r="420" spans="1:14" x14ac:dyDescent="0.25">
      <c r="A420" s="37" t="s">
        <v>89</v>
      </c>
      <c r="B420" s="49">
        <v>13</v>
      </c>
    </row>
    <row r="421" spans="1:14" x14ac:dyDescent="0.25">
      <c r="A421" s="37" t="s">
        <v>90</v>
      </c>
      <c r="B421" s="49">
        <v>14</v>
      </c>
    </row>
    <row r="422" spans="1:14" x14ac:dyDescent="0.25">
      <c r="A422" t="s">
        <v>91</v>
      </c>
      <c r="B422" s="49">
        <v>15</v>
      </c>
      <c r="C422" s="51">
        <f>29351.55*G422</f>
        <v>554480.13104999997</v>
      </c>
      <c r="D422" s="52" t="s">
        <v>3113</v>
      </c>
      <c r="E422" s="52" t="s">
        <v>3114</v>
      </c>
      <c r="F422" s="52" t="s">
        <v>3115</v>
      </c>
      <c r="G422" s="52">
        <v>18.890999999999998</v>
      </c>
      <c r="H422" s="52">
        <v>37.1</v>
      </c>
      <c r="I422" s="53">
        <v>43570</v>
      </c>
      <c r="J422" s="52" t="s">
        <v>62</v>
      </c>
    </row>
    <row r="423" spans="1:14" x14ac:dyDescent="0.25">
      <c r="A423" s="191" t="s">
        <v>91</v>
      </c>
      <c r="B423" s="49">
        <v>15</v>
      </c>
      <c r="C423" s="51">
        <f>587775+17504.4</f>
        <v>605279.4</v>
      </c>
      <c r="D423" s="52" t="s">
        <v>3011</v>
      </c>
      <c r="E423" s="52" t="s">
        <v>3012</v>
      </c>
      <c r="F423" s="52" t="s">
        <v>52</v>
      </c>
      <c r="G423" s="53">
        <v>43577</v>
      </c>
      <c r="H423" s="52" t="s">
        <v>55</v>
      </c>
    </row>
    <row r="424" spans="1:14" x14ac:dyDescent="0.25">
      <c r="A424" t="s">
        <v>91</v>
      </c>
      <c r="B424" s="49">
        <v>15</v>
      </c>
      <c r="C424" s="51">
        <f>359677.5+11377.86</f>
        <v>371055.35999999999</v>
      </c>
      <c r="D424" s="52" t="s">
        <v>3013</v>
      </c>
      <c r="E424" s="52" t="s">
        <v>3004</v>
      </c>
      <c r="F424" s="52" t="s">
        <v>52</v>
      </c>
      <c r="G424" s="53">
        <v>43577</v>
      </c>
      <c r="H424" s="52" t="s">
        <v>55</v>
      </c>
    </row>
    <row r="425" spans="1:14" x14ac:dyDescent="0.25">
      <c r="A425" s="191" t="s">
        <v>91</v>
      </c>
      <c r="B425" s="49">
        <v>15</v>
      </c>
      <c r="C425" s="51">
        <f>598740+17504.4-2993.7</f>
        <v>613250.70000000007</v>
      </c>
      <c r="D425" s="52" t="s">
        <v>3078</v>
      </c>
      <c r="E425" s="52" t="s">
        <v>3079</v>
      </c>
      <c r="F425" s="52" t="s">
        <v>52</v>
      </c>
      <c r="G425" s="53">
        <v>43578</v>
      </c>
      <c r="H425" s="52" t="s">
        <v>55</v>
      </c>
    </row>
    <row r="426" spans="1:14" x14ac:dyDescent="0.25">
      <c r="A426" t="s">
        <v>122</v>
      </c>
      <c r="B426" s="49">
        <v>16</v>
      </c>
      <c r="C426" s="54">
        <f>30000*G426</f>
        <v>566400</v>
      </c>
      <c r="D426" s="55" t="s">
        <v>3118</v>
      </c>
      <c r="E426" s="55" t="s">
        <v>3227</v>
      </c>
      <c r="F426" s="55" t="s">
        <v>2685</v>
      </c>
      <c r="G426" s="55">
        <v>18.88</v>
      </c>
      <c r="H426" s="55">
        <v>41.55</v>
      </c>
      <c r="I426" s="57">
        <v>43571</v>
      </c>
      <c r="J426" s="55" t="s">
        <v>62</v>
      </c>
    </row>
    <row r="427" spans="1:14" x14ac:dyDescent="0.25">
      <c r="A427" t="s">
        <v>122</v>
      </c>
      <c r="B427" s="49">
        <v>16</v>
      </c>
      <c r="C427" s="54">
        <f>30000*G427</f>
        <v>566400</v>
      </c>
      <c r="D427" s="55" t="s">
        <v>3119</v>
      </c>
      <c r="E427" s="55" t="s">
        <v>3247</v>
      </c>
      <c r="F427" s="55" t="s">
        <v>2685</v>
      </c>
      <c r="G427" s="55">
        <v>18.88</v>
      </c>
      <c r="H427" s="55">
        <v>43.04</v>
      </c>
      <c r="I427" s="57">
        <v>43571</v>
      </c>
      <c r="J427" s="55" t="s">
        <v>62</v>
      </c>
    </row>
    <row r="428" spans="1:14" x14ac:dyDescent="0.25">
      <c r="A428" t="s">
        <v>122</v>
      </c>
      <c r="B428" s="49">
        <v>16</v>
      </c>
      <c r="C428" s="51">
        <f>608685+17416.88</f>
        <v>626101.88</v>
      </c>
      <c r="D428" s="52" t="s">
        <v>3080</v>
      </c>
      <c r="E428" s="52" t="s">
        <v>3029</v>
      </c>
      <c r="F428" s="52" t="s">
        <v>52</v>
      </c>
      <c r="G428" s="53">
        <v>43578</v>
      </c>
      <c r="H428" s="52" t="s">
        <v>55</v>
      </c>
    </row>
    <row r="429" spans="1:14" x14ac:dyDescent="0.25">
      <c r="A429" s="191" t="s">
        <v>122</v>
      </c>
      <c r="B429" s="49">
        <v>16</v>
      </c>
      <c r="C429" s="51">
        <f>647190+17504.4</f>
        <v>664694.4</v>
      </c>
      <c r="D429" s="52" t="s">
        <v>3081</v>
      </c>
      <c r="E429" s="52" t="s">
        <v>3047</v>
      </c>
      <c r="F429" s="52" t="s">
        <v>52</v>
      </c>
      <c r="G429" s="53">
        <v>43579</v>
      </c>
      <c r="H429" s="52" t="s">
        <v>55</v>
      </c>
    </row>
    <row r="430" spans="1:14" x14ac:dyDescent="0.25">
      <c r="A430" t="s">
        <v>122</v>
      </c>
      <c r="B430" s="49">
        <v>16</v>
      </c>
      <c r="C430" s="51">
        <f>23200*33.7</f>
        <v>781840.00000000012</v>
      </c>
      <c r="D430" s="52" t="s">
        <v>3130</v>
      </c>
      <c r="E430" s="52" t="s">
        <v>3146</v>
      </c>
      <c r="F430" s="52" t="s">
        <v>73</v>
      </c>
      <c r="G430" s="53">
        <v>43571</v>
      </c>
      <c r="H430" s="52" t="s">
        <v>62</v>
      </c>
    </row>
    <row r="431" spans="1:14" x14ac:dyDescent="0.25">
      <c r="A431" t="s">
        <v>43</v>
      </c>
      <c r="B431" s="49">
        <v>17</v>
      </c>
      <c r="C431" s="54">
        <f>29000*G431</f>
        <v>549637</v>
      </c>
      <c r="D431" s="55" t="s">
        <v>3120</v>
      </c>
      <c r="E431" s="55" t="s">
        <v>3235</v>
      </c>
      <c r="F431" s="55" t="s">
        <v>2659</v>
      </c>
      <c r="G431" s="55">
        <v>18.952999999999999</v>
      </c>
      <c r="H431" s="55">
        <v>41.18</v>
      </c>
      <c r="I431" s="57">
        <v>43572</v>
      </c>
      <c r="J431" s="55" t="s">
        <v>62</v>
      </c>
    </row>
    <row r="432" spans="1:14" x14ac:dyDescent="0.25">
      <c r="A432" t="s">
        <v>43</v>
      </c>
      <c r="B432" s="49">
        <v>17</v>
      </c>
      <c r="C432" s="51">
        <f>29302.18*G432</f>
        <v>554690.26740000001</v>
      </c>
      <c r="D432" s="52" t="s">
        <v>3143</v>
      </c>
      <c r="E432" s="52" t="s">
        <v>3144</v>
      </c>
      <c r="F432" s="52" t="s">
        <v>3145</v>
      </c>
      <c r="G432" s="52">
        <v>18.93</v>
      </c>
      <c r="H432" s="52">
        <v>37.270000000000003</v>
      </c>
      <c r="I432" s="53">
        <v>43572</v>
      </c>
      <c r="J432" s="52" t="s">
        <v>62</v>
      </c>
      <c r="K432" s="191"/>
      <c r="L432" s="191"/>
      <c r="M432" s="191"/>
      <c r="N432" s="191"/>
    </row>
    <row r="433" spans="1:10" x14ac:dyDescent="0.25">
      <c r="A433" t="s">
        <v>43</v>
      </c>
      <c r="B433" s="49">
        <v>17</v>
      </c>
      <c r="C433" s="51">
        <f>29646.21*G433</f>
        <v>561588.15603000007</v>
      </c>
      <c r="D433" s="52" t="s">
        <v>3147</v>
      </c>
      <c r="E433" s="52" t="s">
        <v>3148</v>
      </c>
      <c r="F433" s="52" t="s">
        <v>3149</v>
      </c>
      <c r="G433" s="52">
        <v>18.943000000000001</v>
      </c>
      <c r="H433" s="52">
        <v>37.22</v>
      </c>
      <c r="I433" s="53">
        <v>43572</v>
      </c>
      <c r="J433" s="52" t="s">
        <v>62</v>
      </c>
    </row>
    <row r="434" spans="1:10" x14ac:dyDescent="0.25">
      <c r="A434" t="s">
        <v>43</v>
      </c>
      <c r="B434" s="49">
        <v>17</v>
      </c>
      <c r="C434" s="51">
        <f>553477.5+17504.4-2766.75</f>
        <v>568215.15</v>
      </c>
      <c r="D434" s="52" t="s">
        <v>3082</v>
      </c>
      <c r="E434" s="52" t="s">
        <v>3083</v>
      </c>
      <c r="F434" s="52" t="s">
        <v>52</v>
      </c>
      <c r="G434" s="53">
        <v>43579</v>
      </c>
      <c r="H434" s="52" t="s">
        <v>55</v>
      </c>
    </row>
    <row r="435" spans="1:10" x14ac:dyDescent="0.25">
      <c r="A435" s="191" t="s">
        <v>43</v>
      </c>
      <c r="B435" s="49">
        <v>17</v>
      </c>
      <c r="C435" s="134">
        <f>504772.5+15753.96</f>
        <v>520526.46</v>
      </c>
      <c r="D435" s="135" t="s">
        <v>3084</v>
      </c>
      <c r="E435" s="135" t="s">
        <v>3058</v>
      </c>
      <c r="F435" s="135" t="s">
        <v>52</v>
      </c>
      <c r="G435" s="136">
        <v>43580</v>
      </c>
      <c r="H435" s="52" t="s">
        <v>55</v>
      </c>
    </row>
    <row r="436" spans="1:10" x14ac:dyDescent="0.25">
      <c r="A436" t="s">
        <v>43</v>
      </c>
      <c r="B436" s="49">
        <v>17</v>
      </c>
      <c r="C436" s="51">
        <v>614570.05000000005</v>
      </c>
      <c r="D436" s="52" t="s">
        <v>3169</v>
      </c>
      <c r="E436" s="52" t="s">
        <v>3155</v>
      </c>
      <c r="F436" s="52" t="s">
        <v>73</v>
      </c>
      <c r="G436" s="53">
        <v>43572</v>
      </c>
      <c r="H436" s="52" t="s">
        <v>55</v>
      </c>
    </row>
    <row r="437" spans="1:10" x14ac:dyDescent="0.25">
      <c r="A437" t="s">
        <v>43</v>
      </c>
      <c r="B437" s="49">
        <v>17</v>
      </c>
      <c r="C437" s="51">
        <v>368678</v>
      </c>
      <c r="D437" s="52" t="s">
        <v>3169</v>
      </c>
      <c r="E437" s="52" t="s">
        <v>3156</v>
      </c>
      <c r="F437" s="52" t="s">
        <v>73</v>
      </c>
      <c r="G437" s="53">
        <v>43572</v>
      </c>
      <c r="H437" s="52" t="s">
        <v>55</v>
      </c>
    </row>
    <row r="438" spans="1:10" x14ac:dyDescent="0.25">
      <c r="A438" s="191" t="s">
        <v>59</v>
      </c>
      <c r="B438" s="49">
        <v>18</v>
      </c>
      <c r="C438" s="51">
        <f>391680+11377.86</f>
        <v>403057.86</v>
      </c>
      <c r="D438" s="52" t="s">
        <v>3085</v>
      </c>
      <c r="E438" s="52" t="s">
        <v>3086</v>
      </c>
      <c r="F438" s="52" t="s">
        <v>52</v>
      </c>
      <c r="G438" s="53">
        <v>43581</v>
      </c>
      <c r="H438" s="52" t="s">
        <v>55</v>
      </c>
    </row>
    <row r="439" spans="1:10" x14ac:dyDescent="0.25">
      <c r="A439" t="s">
        <v>59</v>
      </c>
      <c r="B439" s="49">
        <v>18</v>
      </c>
      <c r="C439" s="51">
        <v>30432.5</v>
      </c>
      <c r="D439" s="52" t="s">
        <v>3184</v>
      </c>
      <c r="E439" s="52" t="s">
        <v>3183</v>
      </c>
      <c r="F439" s="52" t="s">
        <v>87</v>
      </c>
      <c r="G439" s="52">
        <v>17.5</v>
      </c>
      <c r="H439" s="53">
        <v>43578</v>
      </c>
      <c r="I439" s="52" t="s">
        <v>62</v>
      </c>
    </row>
    <row r="440" spans="1:10" x14ac:dyDescent="0.25">
      <c r="A440" t="s">
        <v>70</v>
      </c>
      <c r="B440" s="49">
        <v>19</v>
      </c>
    </row>
    <row r="441" spans="1:10" x14ac:dyDescent="0.25">
      <c r="A441" s="37" t="s">
        <v>89</v>
      </c>
      <c r="B441" s="49">
        <v>20</v>
      </c>
    </row>
    <row r="442" spans="1:10" x14ac:dyDescent="0.25">
      <c r="A442" s="37" t="s">
        <v>90</v>
      </c>
      <c r="B442" s="49">
        <v>21</v>
      </c>
    </row>
    <row r="443" spans="1:10" x14ac:dyDescent="0.25">
      <c r="A443" s="191" t="s">
        <v>91</v>
      </c>
      <c r="B443" s="49">
        <v>22</v>
      </c>
      <c r="C443" s="54">
        <f>36000*G443</f>
        <v>679068</v>
      </c>
      <c r="D443" s="55" t="s">
        <v>3121</v>
      </c>
      <c r="E443" s="55" t="s">
        <v>3248</v>
      </c>
      <c r="F443" s="55" t="s">
        <v>2947</v>
      </c>
      <c r="G443" s="55">
        <v>18.863</v>
      </c>
      <c r="H443" s="55"/>
      <c r="I443" s="57">
        <v>43577</v>
      </c>
      <c r="J443" s="55" t="s">
        <v>62</v>
      </c>
    </row>
    <row r="444" spans="1:10" x14ac:dyDescent="0.25">
      <c r="A444" t="s">
        <v>91</v>
      </c>
      <c r="B444" s="49">
        <v>22</v>
      </c>
      <c r="C444" s="51">
        <f>33887.27*G444</f>
        <v>639215.57400999998</v>
      </c>
      <c r="D444" s="52" t="s">
        <v>3207</v>
      </c>
      <c r="E444" s="52" t="s">
        <v>3208</v>
      </c>
      <c r="F444" s="52" t="s">
        <v>3209</v>
      </c>
      <c r="G444" s="52">
        <v>18.863</v>
      </c>
      <c r="H444" s="52">
        <v>41.22</v>
      </c>
      <c r="I444" s="53">
        <v>43577</v>
      </c>
      <c r="J444" s="52" t="s">
        <v>62</v>
      </c>
    </row>
    <row r="445" spans="1:10" x14ac:dyDescent="0.25">
      <c r="A445" s="191" t="s">
        <v>91</v>
      </c>
      <c r="B445" s="49">
        <v>22</v>
      </c>
      <c r="C445" s="51">
        <v>618526.43000000005</v>
      </c>
      <c r="D445" s="52" t="s">
        <v>3170</v>
      </c>
      <c r="E445" s="52" t="s">
        <v>3157</v>
      </c>
      <c r="F445" s="52" t="s">
        <v>73</v>
      </c>
      <c r="G445" s="53">
        <v>43577</v>
      </c>
      <c r="H445" s="52" t="s">
        <v>55</v>
      </c>
    </row>
    <row r="446" spans="1:10" x14ac:dyDescent="0.25">
      <c r="A446" t="s">
        <v>91</v>
      </c>
      <c r="B446" s="49">
        <v>22</v>
      </c>
      <c r="C446" s="51">
        <v>672517.2</v>
      </c>
      <c r="D446" s="52" t="s">
        <v>3171</v>
      </c>
      <c r="E446" s="52" t="s">
        <v>3158</v>
      </c>
      <c r="F446" s="52" t="s">
        <v>73</v>
      </c>
      <c r="G446" s="53">
        <v>43578</v>
      </c>
      <c r="H446" s="52" t="s">
        <v>55</v>
      </c>
    </row>
    <row r="447" spans="1:10" x14ac:dyDescent="0.25">
      <c r="A447" s="191" t="s">
        <v>91</v>
      </c>
      <c r="B447" s="49">
        <v>22</v>
      </c>
      <c r="C447" s="51">
        <f>600397.5+17416.88-12750</f>
        <v>605064.38</v>
      </c>
      <c r="D447" s="52" t="s">
        <v>3178</v>
      </c>
      <c r="E447" s="52" t="s">
        <v>3179</v>
      </c>
      <c r="F447" s="52" t="s">
        <v>52</v>
      </c>
      <c r="G447" s="53">
        <v>43581</v>
      </c>
      <c r="H447" s="52" t="s">
        <v>55</v>
      </c>
    </row>
    <row r="448" spans="1:10" x14ac:dyDescent="0.25">
      <c r="A448" t="s">
        <v>91</v>
      </c>
      <c r="B448" s="49">
        <v>22</v>
      </c>
      <c r="C448" s="51">
        <f>471367.5+13828.48</f>
        <v>485195.98</v>
      </c>
      <c r="D448" s="52" t="s">
        <v>3180</v>
      </c>
      <c r="E448" s="52" t="s">
        <v>3075</v>
      </c>
      <c r="F448" s="52" t="s">
        <v>52</v>
      </c>
      <c r="G448" s="53">
        <v>43581</v>
      </c>
      <c r="H448" s="52" t="s">
        <v>55</v>
      </c>
    </row>
    <row r="449" spans="1:11" x14ac:dyDescent="0.25">
      <c r="A449" s="191" t="s">
        <v>91</v>
      </c>
      <c r="B449" s="49">
        <v>22</v>
      </c>
      <c r="C449" s="51">
        <f>636862.5+19254.84</f>
        <v>656117.34</v>
      </c>
      <c r="D449" s="52" t="s">
        <v>3181</v>
      </c>
      <c r="E449" s="52" t="s">
        <v>3092</v>
      </c>
      <c r="F449" s="52" t="s">
        <v>52</v>
      </c>
      <c r="G449" s="53">
        <v>43585</v>
      </c>
      <c r="H449" s="52" t="s">
        <v>55</v>
      </c>
    </row>
    <row r="450" spans="1:11" x14ac:dyDescent="0.25">
      <c r="A450" t="s">
        <v>122</v>
      </c>
      <c r="B450" s="49">
        <v>23</v>
      </c>
      <c r="C450" s="83">
        <f>37000*G450</f>
        <v>702482</v>
      </c>
      <c r="D450" s="46" t="s">
        <v>3203</v>
      </c>
      <c r="E450" s="48" t="s">
        <v>230</v>
      </c>
      <c r="F450" s="46" t="s">
        <v>2831</v>
      </c>
      <c r="G450" s="46">
        <v>18.986000000000001</v>
      </c>
      <c r="H450" s="46"/>
      <c r="I450" s="178">
        <v>43578</v>
      </c>
      <c r="J450" s="46" t="s">
        <v>62</v>
      </c>
      <c r="K450" t="s">
        <v>3283</v>
      </c>
    </row>
    <row r="451" spans="1:11" x14ac:dyDescent="0.25">
      <c r="A451" t="s">
        <v>122</v>
      </c>
      <c r="B451" s="49">
        <v>23</v>
      </c>
      <c r="C451" s="54">
        <f>37000*G451</f>
        <v>702482</v>
      </c>
      <c r="D451" s="55" t="s">
        <v>3204</v>
      </c>
      <c r="E451" s="55" t="s">
        <v>3300</v>
      </c>
      <c r="F451" s="55" t="s">
        <v>2831</v>
      </c>
      <c r="G451" s="55">
        <v>18.986000000000001</v>
      </c>
      <c r="H451" s="55">
        <v>45.32</v>
      </c>
      <c r="I451" s="57">
        <v>43578</v>
      </c>
      <c r="J451" s="55" t="s">
        <v>62</v>
      </c>
    </row>
    <row r="452" spans="1:11" x14ac:dyDescent="0.25">
      <c r="A452" t="s">
        <v>122</v>
      </c>
      <c r="B452" s="49">
        <v>23</v>
      </c>
      <c r="C452" s="51">
        <f>636097.5+19254.84</f>
        <v>655352.34</v>
      </c>
      <c r="D452" s="52" t="s">
        <v>3190</v>
      </c>
      <c r="E452" s="52" t="s">
        <v>3096</v>
      </c>
      <c r="F452" s="52" t="s">
        <v>52</v>
      </c>
      <c r="G452" s="53">
        <v>43585</v>
      </c>
      <c r="H452" s="52" t="s">
        <v>55</v>
      </c>
    </row>
    <row r="453" spans="1:11" x14ac:dyDescent="0.25">
      <c r="A453" s="191" t="s">
        <v>122</v>
      </c>
      <c r="B453" s="49">
        <v>23</v>
      </c>
      <c r="C453" s="51">
        <f>609067.5+19254.84</f>
        <v>628322.34</v>
      </c>
      <c r="D453" s="52" t="s">
        <v>3191</v>
      </c>
      <c r="E453" s="52" t="s">
        <v>3192</v>
      </c>
      <c r="F453" s="52" t="s">
        <v>52</v>
      </c>
      <c r="G453" s="53">
        <v>43585</v>
      </c>
      <c r="H453" s="52" t="s">
        <v>55</v>
      </c>
    </row>
    <row r="454" spans="1:11" x14ac:dyDescent="0.25">
      <c r="A454" t="s">
        <v>43</v>
      </c>
      <c r="B454" s="49">
        <v>24</v>
      </c>
      <c r="C454" s="51">
        <f>32601.9*G454</f>
        <v>618621.05250000011</v>
      </c>
      <c r="D454" s="52" t="s">
        <v>3213</v>
      </c>
      <c r="E454" s="52" t="s">
        <v>3214</v>
      </c>
      <c r="F454" s="52" t="s">
        <v>3215</v>
      </c>
      <c r="G454" s="52">
        <v>18.975000000000001</v>
      </c>
      <c r="H454" s="52">
        <v>41.73</v>
      </c>
      <c r="I454" s="53">
        <v>43579</v>
      </c>
      <c r="J454" s="52" t="s">
        <v>62</v>
      </c>
    </row>
    <row r="455" spans="1:11" x14ac:dyDescent="0.25">
      <c r="A455" t="s">
        <v>43</v>
      </c>
      <c r="B455" s="49">
        <v>24</v>
      </c>
      <c r="C455" s="51">
        <v>829453.6</v>
      </c>
      <c r="D455" s="52" t="s">
        <v>3187</v>
      </c>
      <c r="E455" s="52" t="s">
        <v>3216</v>
      </c>
      <c r="F455" s="52" t="s">
        <v>3188</v>
      </c>
      <c r="G455" s="52">
        <v>92</v>
      </c>
      <c r="H455" s="53">
        <v>43581</v>
      </c>
      <c r="I455" s="52" t="s">
        <v>62</v>
      </c>
    </row>
    <row r="456" spans="1:11" x14ac:dyDescent="0.25">
      <c r="A456" t="s">
        <v>43</v>
      </c>
      <c r="B456" s="49">
        <v>24</v>
      </c>
      <c r="C456" s="51">
        <v>60585</v>
      </c>
      <c r="D456" s="52" t="s">
        <v>3189</v>
      </c>
      <c r="E456" s="52" t="s">
        <v>3238</v>
      </c>
      <c r="F456" s="52" t="s">
        <v>87</v>
      </c>
      <c r="G456" s="52">
        <v>17.5</v>
      </c>
      <c r="H456" s="53">
        <v>43581</v>
      </c>
      <c r="I456" s="52" t="s">
        <v>62</v>
      </c>
    </row>
    <row r="457" spans="1:11" x14ac:dyDescent="0.25">
      <c r="A457" s="191" t="s">
        <v>43</v>
      </c>
      <c r="B457" s="49">
        <v>24</v>
      </c>
      <c r="C457" s="51">
        <f>594787.5+19254.84</f>
        <v>614042.34</v>
      </c>
      <c r="D457" s="52" t="s">
        <v>3193</v>
      </c>
      <c r="E457" s="52" t="s">
        <v>3194</v>
      </c>
      <c r="F457" s="52" t="s">
        <v>52</v>
      </c>
      <c r="G457" s="53">
        <v>43587</v>
      </c>
      <c r="H457" s="52" t="s">
        <v>55</v>
      </c>
    </row>
    <row r="458" spans="1:11" x14ac:dyDescent="0.25">
      <c r="A458" t="s">
        <v>43</v>
      </c>
      <c r="B458" s="49">
        <v>24</v>
      </c>
      <c r="C458" s="51">
        <f>514207.5+14003.52</f>
        <v>528211.02</v>
      </c>
      <c r="D458" s="52" t="s">
        <v>3195</v>
      </c>
      <c r="E458" s="52" t="s">
        <v>3112</v>
      </c>
      <c r="F458" s="52" t="s">
        <v>52</v>
      </c>
      <c r="G458" s="53">
        <v>43587</v>
      </c>
      <c r="H458" s="52" t="s">
        <v>55</v>
      </c>
    </row>
    <row r="459" spans="1:11" x14ac:dyDescent="0.25">
      <c r="A459" t="s">
        <v>59</v>
      </c>
      <c r="B459" s="49">
        <v>25</v>
      </c>
      <c r="C459" s="54">
        <f>36000*G459</f>
        <v>688140</v>
      </c>
      <c r="D459" s="55" t="s">
        <v>3206</v>
      </c>
      <c r="E459" s="55" t="s">
        <v>3305</v>
      </c>
      <c r="F459" s="55" t="s">
        <v>2947</v>
      </c>
      <c r="G459" s="55">
        <v>19.114999999999998</v>
      </c>
      <c r="H459" s="55">
        <v>43.88</v>
      </c>
      <c r="I459" s="57">
        <v>43579</v>
      </c>
      <c r="J459" s="55" t="s">
        <v>62</v>
      </c>
    </row>
    <row r="460" spans="1:11" x14ac:dyDescent="0.25">
      <c r="A460" t="s">
        <v>59</v>
      </c>
      <c r="B460" s="49">
        <v>25</v>
      </c>
      <c r="C460" s="54">
        <f>35000*G460</f>
        <v>669025</v>
      </c>
      <c r="D460" s="55" t="s">
        <v>3205</v>
      </c>
      <c r="E460" s="55" t="s">
        <v>3320</v>
      </c>
      <c r="F460" s="55" t="s">
        <v>2738</v>
      </c>
      <c r="G460" s="55">
        <v>19.114999999999998</v>
      </c>
      <c r="H460" s="55">
        <v>42.94</v>
      </c>
      <c r="I460" s="57">
        <v>43580</v>
      </c>
      <c r="J460" s="55" t="s">
        <v>62</v>
      </c>
    </row>
    <row r="461" spans="1:11" x14ac:dyDescent="0.25">
      <c r="A461" t="s">
        <v>59</v>
      </c>
      <c r="B461" s="49">
        <v>25</v>
      </c>
      <c r="C461" s="51">
        <f>31410.35*G461</f>
        <v>599937.68500000006</v>
      </c>
      <c r="D461" s="52" t="s">
        <v>3210</v>
      </c>
      <c r="E461" s="52" t="s">
        <v>3211</v>
      </c>
      <c r="F461" s="52" t="s">
        <v>3212</v>
      </c>
      <c r="G461" s="52">
        <v>19.100000000000001</v>
      </c>
      <c r="H461" s="52">
        <v>39.81</v>
      </c>
      <c r="I461" s="53">
        <v>43579</v>
      </c>
      <c r="J461" s="52" t="s">
        <v>62</v>
      </c>
    </row>
    <row r="462" spans="1:11" x14ac:dyDescent="0.25">
      <c r="A462" s="191" t="s">
        <v>59</v>
      </c>
      <c r="B462" s="49">
        <v>25</v>
      </c>
      <c r="C462" s="51">
        <f>389257.5+11377.86</f>
        <v>400635.36</v>
      </c>
      <c r="D462" s="52" t="s">
        <v>3196</v>
      </c>
      <c r="E462" s="52" t="s">
        <v>3197</v>
      </c>
      <c r="F462" s="52" t="s">
        <v>52</v>
      </c>
      <c r="G462" s="53">
        <v>43588</v>
      </c>
      <c r="H462" s="52" t="s">
        <v>55</v>
      </c>
    </row>
    <row r="463" spans="1:11" x14ac:dyDescent="0.25">
      <c r="A463" s="191" t="s">
        <v>70</v>
      </c>
      <c r="B463" s="49">
        <v>26</v>
      </c>
      <c r="C463" s="193"/>
      <c r="D463" s="191"/>
      <c r="E463" s="191"/>
      <c r="F463" s="191"/>
      <c r="G463" s="191"/>
    </row>
    <row r="464" spans="1:11" x14ac:dyDescent="0.25">
      <c r="A464" s="37" t="s">
        <v>89</v>
      </c>
      <c r="B464" s="49">
        <v>27</v>
      </c>
    </row>
    <row r="465" spans="1:10" x14ac:dyDescent="0.25">
      <c r="A465" s="37" t="s">
        <v>90</v>
      </c>
      <c r="B465" s="49">
        <v>28</v>
      </c>
    </row>
    <row r="466" spans="1:10" x14ac:dyDescent="0.25">
      <c r="A466" t="s">
        <v>91</v>
      </c>
      <c r="B466" s="49">
        <v>29</v>
      </c>
      <c r="C466" s="54">
        <f>37000*G466</f>
        <v>702593</v>
      </c>
      <c r="D466" s="55" t="s">
        <v>3249</v>
      </c>
      <c r="E466" s="55" t="s">
        <v>3318</v>
      </c>
      <c r="F466" s="55" t="s">
        <v>2831</v>
      </c>
      <c r="G466" s="55">
        <v>18.989000000000001</v>
      </c>
      <c r="H466" s="55">
        <v>43.2</v>
      </c>
      <c r="I466" s="57">
        <v>43584</v>
      </c>
      <c r="J466" s="55" t="s">
        <v>62</v>
      </c>
    </row>
    <row r="467" spans="1:10" s="191" customFormat="1" x14ac:dyDescent="0.25">
      <c r="A467" s="191" t="s">
        <v>91</v>
      </c>
      <c r="B467" s="192">
        <v>29</v>
      </c>
      <c r="C467" s="51">
        <f>35477.18*G467</f>
        <v>673676.17102000001</v>
      </c>
      <c r="D467" s="52" t="s">
        <v>3250</v>
      </c>
      <c r="E467" s="52" t="s">
        <v>3251</v>
      </c>
      <c r="F467" s="52" t="s">
        <v>3252</v>
      </c>
      <c r="G467" s="52">
        <v>18.989000000000001</v>
      </c>
      <c r="H467" s="52"/>
      <c r="I467" s="53">
        <v>43584</v>
      </c>
      <c r="J467" s="52" t="s">
        <v>62</v>
      </c>
    </row>
    <row r="468" spans="1:10" x14ac:dyDescent="0.25">
      <c r="A468" t="s">
        <v>91</v>
      </c>
      <c r="B468" s="49">
        <v>29</v>
      </c>
      <c r="C468" s="51">
        <v>29500</v>
      </c>
      <c r="D468" s="52" t="s">
        <v>3241</v>
      </c>
      <c r="E468" s="52" t="s">
        <v>3239</v>
      </c>
      <c r="F468" s="52" t="s">
        <v>1918</v>
      </c>
      <c r="G468" s="52">
        <v>29.5</v>
      </c>
      <c r="H468" s="53">
        <v>43588</v>
      </c>
      <c r="I468" s="52" t="s">
        <v>62</v>
      </c>
    </row>
    <row r="469" spans="1:10" x14ac:dyDescent="0.25">
      <c r="A469" t="s">
        <v>91</v>
      </c>
      <c r="B469" s="49">
        <v>29</v>
      </c>
      <c r="C469" s="51">
        <v>26708.82</v>
      </c>
      <c r="D469" s="52" t="s">
        <v>3241</v>
      </c>
      <c r="E469" s="52" t="s">
        <v>3240</v>
      </c>
      <c r="F469" s="52" t="s">
        <v>3242</v>
      </c>
      <c r="G469" s="52">
        <v>53</v>
      </c>
      <c r="H469" s="53">
        <v>43588</v>
      </c>
      <c r="I469" s="52" t="s">
        <v>62</v>
      </c>
    </row>
    <row r="470" spans="1:10" x14ac:dyDescent="0.25">
      <c r="A470" t="s">
        <v>91</v>
      </c>
      <c r="B470" s="49">
        <v>29</v>
      </c>
      <c r="C470" s="51">
        <f>22970*33.7</f>
        <v>774089.00000000012</v>
      </c>
      <c r="D470" s="52" t="s">
        <v>3198</v>
      </c>
      <c r="E470" s="52" t="s">
        <v>3284</v>
      </c>
      <c r="F470" s="52" t="s">
        <v>73</v>
      </c>
      <c r="G470" s="53">
        <v>43584</v>
      </c>
      <c r="H470" s="52" t="s">
        <v>55</v>
      </c>
    </row>
    <row r="471" spans="1:10" x14ac:dyDescent="0.25">
      <c r="A471" t="s">
        <v>122</v>
      </c>
      <c r="B471" s="49">
        <v>30</v>
      </c>
      <c r="C471" s="51">
        <f>22860*33.7</f>
        <v>770382.00000000012</v>
      </c>
      <c r="D471" s="52" t="s">
        <v>3202</v>
      </c>
      <c r="E471" s="52" t="s">
        <v>3285</v>
      </c>
      <c r="F471" s="52" t="s">
        <v>73</v>
      </c>
      <c r="G471" s="53">
        <v>43584</v>
      </c>
      <c r="H471" s="52" t="s">
        <v>55</v>
      </c>
    </row>
    <row r="472" spans="1:10" x14ac:dyDescent="0.25">
      <c r="A472" t="s">
        <v>122</v>
      </c>
      <c r="B472" s="49">
        <v>30</v>
      </c>
      <c r="C472" s="51">
        <f>22640*34.7</f>
        <v>785608.00000000012</v>
      </c>
      <c r="D472" s="52" t="s">
        <v>3202</v>
      </c>
      <c r="E472" s="52" t="s">
        <v>3298</v>
      </c>
      <c r="F472" s="52" t="s">
        <v>73</v>
      </c>
      <c r="G472" s="53">
        <v>43587</v>
      </c>
      <c r="H472" s="52" t="s">
        <v>55</v>
      </c>
    </row>
    <row r="473" spans="1:10" x14ac:dyDescent="0.25">
      <c r="A473" t="s">
        <v>122</v>
      </c>
      <c r="B473" s="49">
        <v>30</v>
      </c>
      <c r="C473" s="54">
        <f>37000*G473</f>
        <v>702482</v>
      </c>
      <c r="D473" s="55" t="s">
        <v>3278</v>
      </c>
      <c r="E473" s="55" t="s">
        <v>3385</v>
      </c>
      <c r="F473" s="55" t="s">
        <v>2831</v>
      </c>
      <c r="G473" s="55">
        <v>18.986000000000001</v>
      </c>
      <c r="H473" s="55">
        <v>42.31</v>
      </c>
      <c r="I473" s="57">
        <v>43578</v>
      </c>
      <c r="J473" s="55" t="s">
        <v>62</v>
      </c>
    </row>
    <row r="474" spans="1:10" x14ac:dyDescent="0.25">
      <c r="A474" t="s">
        <v>122</v>
      </c>
      <c r="B474" s="49">
        <v>30</v>
      </c>
      <c r="C474" s="54">
        <f>32000*G474</f>
        <v>609248</v>
      </c>
      <c r="D474" s="55" t="s">
        <v>3279</v>
      </c>
      <c r="E474" s="55" t="s">
        <v>3386</v>
      </c>
      <c r="F474" s="55" t="s">
        <v>3291</v>
      </c>
      <c r="G474" s="55">
        <v>19.039000000000001</v>
      </c>
      <c r="H474" s="55">
        <v>42.39</v>
      </c>
      <c r="I474" s="57">
        <v>43585</v>
      </c>
      <c r="J474" s="55" t="s">
        <v>62</v>
      </c>
    </row>
    <row r="475" spans="1:10" s="191" customFormat="1" x14ac:dyDescent="0.25">
      <c r="A475" t="s">
        <v>122</v>
      </c>
      <c r="B475" s="49">
        <v>30</v>
      </c>
      <c r="C475" s="51">
        <f>35642.25*G475</f>
        <v>678806.65125000011</v>
      </c>
      <c r="D475" s="52" t="s">
        <v>3295</v>
      </c>
      <c r="E475" s="52" t="s">
        <v>3287</v>
      </c>
      <c r="F475" s="52" t="s">
        <v>3288</v>
      </c>
      <c r="G475" s="52">
        <v>19.045000000000002</v>
      </c>
      <c r="H475" s="52">
        <v>45.48</v>
      </c>
      <c r="I475" s="53">
        <v>43585</v>
      </c>
      <c r="J475" s="52" t="s">
        <v>62</v>
      </c>
    </row>
    <row r="476" spans="1:10" s="191" customFormat="1" x14ac:dyDescent="0.25">
      <c r="A476" t="s">
        <v>122</v>
      </c>
      <c r="B476" s="49">
        <v>30</v>
      </c>
      <c r="C476" s="51">
        <f>34245.46*G476</f>
        <v>652204.78570000001</v>
      </c>
      <c r="D476" s="52" t="s">
        <v>3292</v>
      </c>
      <c r="E476" s="52" t="s">
        <v>3293</v>
      </c>
      <c r="F476" s="52" t="s">
        <v>3294</v>
      </c>
      <c r="G476" s="52">
        <v>19.045000000000002</v>
      </c>
      <c r="H476" s="52">
        <v>43.78</v>
      </c>
      <c r="I476" s="53">
        <v>43585</v>
      </c>
      <c r="J476" s="52" t="s">
        <v>62</v>
      </c>
    </row>
    <row r="477" spans="1:10" x14ac:dyDescent="0.25">
      <c r="A477" s="61" t="s">
        <v>3201</v>
      </c>
    </row>
    <row r="478" spans="1:10" x14ac:dyDescent="0.25">
      <c r="A478" t="s">
        <v>43</v>
      </c>
      <c r="B478" s="49">
        <v>1</v>
      </c>
    </row>
    <row r="479" spans="1:10" x14ac:dyDescent="0.25">
      <c r="A479" t="s">
        <v>59</v>
      </c>
      <c r="B479" s="49">
        <v>2</v>
      </c>
      <c r="C479" s="54">
        <f>33000*G479</f>
        <v>631587</v>
      </c>
      <c r="D479" s="55" t="s">
        <v>3296</v>
      </c>
      <c r="E479" s="55" t="s">
        <v>3392</v>
      </c>
      <c r="F479" s="55" t="s">
        <v>2739</v>
      </c>
      <c r="G479" s="55">
        <v>19.138999999999999</v>
      </c>
      <c r="H479" s="55">
        <v>42.86</v>
      </c>
      <c r="I479" s="57">
        <v>43587</v>
      </c>
      <c r="J479" s="55" t="s">
        <v>62</v>
      </c>
    </row>
    <row r="480" spans="1:10" x14ac:dyDescent="0.25">
      <c r="A480" t="s">
        <v>59</v>
      </c>
      <c r="B480" s="49">
        <v>2</v>
      </c>
      <c r="C480" s="51">
        <v>294724.43</v>
      </c>
      <c r="D480" s="52" t="s">
        <v>3269</v>
      </c>
      <c r="E480" s="52" t="s">
        <v>3286</v>
      </c>
      <c r="F480" s="52" t="s">
        <v>3188</v>
      </c>
      <c r="G480" s="52">
        <v>91</v>
      </c>
      <c r="H480" s="53">
        <v>43585</v>
      </c>
      <c r="I480" s="52" t="s">
        <v>62</v>
      </c>
    </row>
    <row r="481" spans="1:10" x14ac:dyDescent="0.25">
      <c r="A481" t="s">
        <v>70</v>
      </c>
      <c r="B481" s="49">
        <v>3</v>
      </c>
      <c r="C481" s="51">
        <v>60147.5</v>
      </c>
      <c r="D481" s="52" t="s">
        <v>3267</v>
      </c>
      <c r="E481" s="52" t="s">
        <v>3266</v>
      </c>
      <c r="F481" s="52" t="s">
        <v>87</v>
      </c>
      <c r="G481" s="52">
        <v>17.5</v>
      </c>
      <c r="H481" s="53">
        <v>43588</v>
      </c>
      <c r="I481" s="52" t="s">
        <v>62</v>
      </c>
    </row>
    <row r="482" spans="1:10" x14ac:dyDescent="0.25">
      <c r="A482" t="s">
        <v>70</v>
      </c>
      <c r="B482" s="49">
        <v>3</v>
      </c>
      <c r="C482" s="51">
        <f>22930*34.6</f>
        <v>793378</v>
      </c>
      <c r="D482" s="52" t="s">
        <v>3265</v>
      </c>
      <c r="E482" s="52" t="s">
        <v>3299</v>
      </c>
      <c r="F482" s="52" t="s">
        <v>73</v>
      </c>
      <c r="G482" s="53">
        <v>43588</v>
      </c>
      <c r="H482" s="52" t="s">
        <v>55</v>
      </c>
    </row>
    <row r="483" spans="1:10" x14ac:dyDescent="0.25">
      <c r="A483" s="37" t="s">
        <v>89</v>
      </c>
      <c r="B483" s="49">
        <v>4</v>
      </c>
    </row>
    <row r="484" spans="1:10" x14ac:dyDescent="0.25">
      <c r="A484" s="37" t="s">
        <v>90</v>
      </c>
      <c r="B484" s="49">
        <v>5</v>
      </c>
    </row>
    <row r="485" spans="1:10" x14ac:dyDescent="0.25">
      <c r="A485" t="s">
        <v>91</v>
      </c>
      <c r="B485" s="49">
        <v>6</v>
      </c>
      <c r="C485" s="54">
        <f>33000*G485</f>
        <v>627627</v>
      </c>
      <c r="D485" s="55" t="s">
        <v>3360</v>
      </c>
      <c r="E485" s="55" t="s">
        <v>3444</v>
      </c>
      <c r="F485" s="55" t="s">
        <v>2739</v>
      </c>
      <c r="G485" s="55">
        <v>19.018999999999998</v>
      </c>
      <c r="H485" s="55">
        <v>44.41</v>
      </c>
      <c r="I485" s="57">
        <v>43591</v>
      </c>
      <c r="J485" s="55" t="s">
        <v>62</v>
      </c>
    </row>
    <row r="486" spans="1:10" x14ac:dyDescent="0.25">
      <c r="A486" t="s">
        <v>91</v>
      </c>
      <c r="B486" s="49">
        <v>6</v>
      </c>
      <c r="C486" s="51">
        <f>684930+21880.5</f>
        <v>706810.5</v>
      </c>
      <c r="D486" s="52" t="s">
        <v>3231</v>
      </c>
      <c r="E486" s="52" t="s">
        <v>3223</v>
      </c>
      <c r="F486" s="52" t="s">
        <v>52</v>
      </c>
      <c r="G486" s="53">
        <v>43588</v>
      </c>
      <c r="H486" s="52" t="s">
        <v>55</v>
      </c>
    </row>
    <row r="487" spans="1:10" x14ac:dyDescent="0.25">
      <c r="A487" s="191" t="s">
        <v>91</v>
      </c>
      <c r="B487" s="49">
        <v>6</v>
      </c>
      <c r="C487" s="51">
        <f>587520+19167.32</f>
        <v>606687.31999999995</v>
      </c>
      <c r="D487" s="52" t="s">
        <v>3232</v>
      </c>
      <c r="E487" s="52" t="s">
        <v>3224</v>
      </c>
      <c r="F487" s="52" t="s">
        <v>52</v>
      </c>
      <c r="G487" s="53">
        <v>43591</v>
      </c>
      <c r="H487" s="52" t="s">
        <v>55</v>
      </c>
    </row>
    <row r="488" spans="1:10" s="191" customFormat="1" x14ac:dyDescent="0.25">
      <c r="A488" s="191" t="s">
        <v>91</v>
      </c>
      <c r="B488" s="192">
        <v>6</v>
      </c>
      <c r="C488" s="51">
        <v>30380</v>
      </c>
      <c r="D488" s="52" t="s">
        <v>3399</v>
      </c>
      <c r="E488" s="52" t="s">
        <v>3398</v>
      </c>
      <c r="F488" s="52" t="s">
        <v>87</v>
      </c>
      <c r="G488" s="51">
        <v>17.5</v>
      </c>
      <c r="H488" s="53">
        <v>43593</v>
      </c>
      <c r="I488" s="52" t="s">
        <v>62</v>
      </c>
    </row>
    <row r="489" spans="1:10" s="191" customFormat="1" x14ac:dyDescent="0.25">
      <c r="A489" t="s">
        <v>122</v>
      </c>
      <c r="B489" s="49">
        <v>7</v>
      </c>
      <c r="C489" s="54">
        <f>32000*G489</f>
        <v>608672</v>
      </c>
      <c r="D489" s="55" t="s">
        <v>3361</v>
      </c>
      <c r="E489" s="55" t="s">
        <v>3498</v>
      </c>
      <c r="F489" s="55" t="s">
        <v>3291</v>
      </c>
      <c r="G489" s="55">
        <v>19.021000000000001</v>
      </c>
      <c r="H489" s="55">
        <v>45.15</v>
      </c>
      <c r="I489" s="57">
        <v>43562</v>
      </c>
      <c r="J489" s="55" t="s">
        <v>62</v>
      </c>
    </row>
    <row r="490" spans="1:10" s="191" customFormat="1" x14ac:dyDescent="0.25">
      <c r="A490" t="s">
        <v>122</v>
      </c>
      <c r="B490" s="49">
        <v>7</v>
      </c>
      <c r="C490" s="51">
        <f>33237.41*G490</f>
        <v>632175.53820000007</v>
      </c>
      <c r="D490" s="52" t="s">
        <v>3365</v>
      </c>
      <c r="E490" s="52" t="s">
        <v>3378</v>
      </c>
      <c r="F490" s="52" t="s">
        <v>3379</v>
      </c>
      <c r="G490" s="52">
        <v>19.02</v>
      </c>
      <c r="H490" s="52">
        <v>42.55</v>
      </c>
      <c r="I490" s="53">
        <v>43591</v>
      </c>
      <c r="J490" s="52" t="s">
        <v>62</v>
      </c>
    </row>
    <row r="491" spans="1:10" x14ac:dyDescent="0.25">
      <c r="A491" t="s">
        <v>122</v>
      </c>
      <c r="B491" s="49">
        <v>7</v>
      </c>
      <c r="C491" s="51">
        <f>661087.5+19254.84</f>
        <v>680342.34</v>
      </c>
      <c r="D491" s="52" t="s">
        <v>3236</v>
      </c>
      <c r="E491" s="52" t="s">
        <v>3237</v>
      </c>
      <c r="F491" s="52" t="s">
        <v>52</v>
      </c>
      <c r="G491" s="53">
        <v>43591</v>
      </c>
      <c r="H491" s="52" t="s">
        <v>55</v>
      </c>
    </row>
    <row r="492" spans="1:10" x14ac:dyDescent="0.25">
      <c r="A492" s="191" t="s">
        <v>122</v>
      </c>
      <c r="B492" s="49">
        <v>7</v>
      </c>
      <c r="C492" s="51">
        <f>752440+19254.84</f>
        <v>771694.84</v>
      </c>
      <c r="D492" s="52" t="s">
        <v>3244</v>
      </c>
      <c r="E492" s="52" t="s">
        <v>3243</v>
      </c>
      <c r="F492" s="52" t="s">
        <v>52</v>
      </c>
      <c r="G492" s="53">
        <v>43592</v>
      </c>
      <c r="H492" s="52" t="s">
        <v>55</v>
      </c>
    </row>
    <row r="493" spans="1:10" x14ac:dyDescent="0.25">
      <c r="A493" t="s">
        <v>43</v>
      </c>
      <c r="B493" s="49">
        <v>8</v>
      </c>
      <c r="C493" s="51">
        <f>33134.77*G493</f>
        <v>633139.18515999999</v>
      </c>
      <c r="D493" s="52" t="s">
        <v>3366</v>
      </c>
      <c r="E493" s="52" t="s">
        <v>3367</v>
      </c>
      <c r="F493" s="52" t="s">
        <v>3368</v>
      </c>
      <c r="G493" s="52">
        <v>19.108000000000001</v>
      </c>
      <c r="H493" s="52">
        <v>42.28</v>
      </c>
      <c r="I493" s="53">
        <v>43563</v>
      </c>
      <c r="J493" s="52" t="s">
        <v>62</v>
      </c>
    </row>
    <row r="494" spans="1:10" x14ac:dyDescent="0.25">
      <c r="A494" t="s">
        <v>43</v>
      </c>
      <c r="B494" s="49">
        <v>8</v>
      </c>
      <c r="C494" s="51">
        <f>652340+17504.4</f>
        <v>669844.4</v>
      </c>
      <c r="D494" s="52" t="s">
        <v>3261</v>
      </c>
      <c r="E494" s="52" t="s">
        <v>3262</v>
      </c>
      <c r="F494" s="52" t="s">
        <v>52</v>
      </c>
      <c r="G494" s="53">
        <v>43592</v>
      </c>
      <c r="H494" s="52" t="s">
        <v>55</v>
      </c>
    </row>
    <row r="495" spans="1:10" x14ac:dyDescent="0.25">
      <c r="A495" s="191" t="s">
        <v>43</v>
      </c>
      <c r="B495" s="49">
        <v>8</v>
      </c>
      <c r="C495" s="51">
        <f>435630+11377.86</f>
        <v>447007.86</v>
      </c>
      <c r="D495" s="52" t="s">
        <v>3261</v>
      </c>
      <c r="E495" s="52" t="s">
        <v>3254</v>
      </c>
      <c r="F495" s="52" t="s">
        <v>52</v>
      </c>
      <c r="G495" s="53">
        <v>43593</v>
      </c>
      <c r="H495" s="52" t="s">
        <v>55</v>
      </c>
    </row>
    <row r="496" spans="1:10" x14ac:dyDescent="0.25">
      <c r="A496" t="s">
        <v>59</v>
      </c>
      <c r="B496" s="49">
        <v>9</v>
      </c>
      <c r="C496" s="54">
        <f>33000*G496</f>
        <v>630597</v>
      </c>
      <c r="D496" s="55" t="s">
        <v>3362</v>
      </c>
      <c r="E496" s="55" t="s">
        <v>3520</v>
      </c>
      <c r="F496" s="55" t="s">
        <v>2739</v>
      </c>
      <c r="G496" s="55">
        <v>19.109000000000002</v>
      </c>
      <c r="H496" s="55">
        <v>45.38</v>
      </c>
      <c r="I496" s="57">
        <v>43594</v>
      </c>
      <c r="J496" s="55" t="s">
        <v>62</v>
      </c>
    </row>
    <row r="497" spans="1:10" x14ac:dyDescent="0.25">
      <c r="A497" t="s">
        <v>59</v>
      </c>
      <c r="B497" s="49">
        <v>9</v>
      </c>
      <c r="C497" s="54">
        <f>37000*G497</f>
        <v>714470</v>
      </c>
      <c r="D497" s="55" t="s">
        <v>3363</v>
      </c>
      <c r="E497" s="55" t="s">
        <v>3508</v>
      </c>
      <c r="F497" s="55" t="s">
        <v>2831</v>
      </c>
      <c r="G497" s="55">
        <v>19.309999999999999</v>
      </c>
      <c r="H497" s="55">
        <v>45.63</v>
      </c>
      <c r="I497" s="57">
        <v>43594</v>
      </c>
      <c r="J497" s="55" t="s">
        <v>62</v>
      </c>
    </row>
    <row r="498" spans="1:10" x14ac:dyDescent="0.25">
      <c r="A498" s="191" t="s">
        <v>59</v>
      </c>
      <c r="B498" s="49">
        <v>9</v>
      </c>
      <c r="C498" s="51">
        <f>440180+11377.86</f>
        <v>451557.86</v>
      </c>
      <c r="D498" s="52" t="s">
        <v>3263</v>
      </c>
      <c r="E498" s="52" t="s">
        <v>3264</v>
      </c>
      <c r="F498" s="52" t="s">
        <v>52</v>
      </c>
      <c r="G498" s="53">
        <v>43593</v>
      </c>
      <c r="H498" s="52" t="s">
        <v>55</v>
      </c>
    </row>
    <row r="499" spans="1:10" x14ac:dyDescent="0.25">
      <c r="A499" t="s">
        <v>70</v>
      </c>
      <c r="B499" s="49">
        <v>10</v>
      </c>
      <c r="C499" s="51">
        <f>32586.45*G499</f>
        <v>629244.34950000001</v>
      </c>
      <c r="D499" s="52" t="s">
        <v>3369</v>
      </c>
      <c r="E499" s="52" t="s">
        <v>3393</v>
      </c>
      <c r="F499" s="52" t="s">
        <v>3394</v>
      </c>
      <c r="G499" s="52">
        <v>19.309999999999999</v>
      </c>
      <c r="H499" s="52">
        <v>42.75</v>
      </c>
      <c r="I499" s="53">
        <v>43594</v>
      </c>
      <c r="J499" s="52" t="s">
        <v>62</v>
      </c>
    </row>
    <row r="500" spans="1:10" x14ac:dyDescent="0.25">
      <c r="A500" s="191" t="s">
        <v>70</v>
      </c>
      <c r="B500" s="49">
        <v>10</v>
      </c>
      <c r="C500" s="51">
        <v>832416</v>
      </c>
      <c r="D500" s="52" t="s">
        <v>3351</v>
      </c>
      <c r="E500" s="52" t="s">
        <v>3429</v>
      </c>
      <c r="F500" s="52" t="s">
        <v>73</v>
      </c>
      <c r="G500" s="53">
        <v>43595</v>
      </c>
      <c r="H500" s="52" t="s">
        <v>55</v>
      </c>
    </row>
    <row r="501" spans="1:10" x14ac:dyDescent="0.25">
      <c r="A501" s="191" t="s">
        <v>70</v>
      </c>
      <c r="B501" s="49">
        <v>10</v>
      </c>
      <c r="C501" s="51">
        <v>67167</v>
      </c>
      <c r="D501" s="52" t="s">
        <v>3440</v>
      </c>
      <c r="E501" s="52" t="s">
        <v>3441</v>
      </c>
      <c r="F501" s="52" t="s">
        <v>3442</v>
      </c>
      <c r="G501" s="53" t="s">
        <v>3443</v>
      </c>
      <c r="H501" s="53">
        <v>43595</v>
      </c>
      <c r="I501" s="52" t="s">
        <v>62</v>
      </c>
    </row>
    <row r="502" spans="1:10" s="191" customFormat="1" x14ac:dyDescent="0.25">
      <c r="A502" s="191" t="s">
        <v>3455</v>
      </c>
      <c r="B502" s="192">
        <v>10</v>
      </c>
      <c r="C502" s="51">
        <v>361983.28</v>
      </c>
      <c r="D502" s="52" t="s">
        <v>3457</v>
      </c>
      <c r="E502" s="52" t="s">
        <v>3454</v>
      </c>
      <c r="F502" s="52" t="s">
        <v>3188</v>
      </c>
      <c r="G502" s="52">
        <v>89.4</v>
      </c>
      <c r="H502" s="53">
        <v>43598</v>
      </c>
      <c r="I502" s="52" t="s">
        <v>62</v>
      </c>
    </row>
    <row r="503" spans="1:10" x14ac:dyDescent="0.25">
      <c r="A503" s="37" t="s">
        <v>89</v>
      </c>
      <c r="B503" s="49">
        <v>11</v>
      </c>
    </row>
    <row r="504" spans="1:10" x14ac:dyDescent="0.25">
      <c r="A504" s="37" t="s">
        <v>90</v>
      </c>
      <c r="B504" s="49">
        <v>12</v>
      </c>
    </row>
    <row r="505" spans="1:10" x14ac:dyDescent="0.25">
      <c r="A505" t="s">
        <v>91</v>
      </c>
      <c r="B505" s="49">
        <v>13</v>
      </c>
      <c r="C505" s="54">
        <f>37000*G505</f>
        <v>712583</v>
      </c>
      <c r="D505" s="55" t="s">
        <v>3364</v>
      </c>
      <c r="E505" s="55" t="s">
        <v>3525</v>
      </c>
      <c r="F505" s="55" t="s">
        <v>2831</v>
      </c>
      <c r="G505" s="55">
        <v>19.259</v>
      </c>
      <c r="H505" s="55">
        <v>46.31</v>
      </c>
      <c r="I505" s="57">
        <v>43598</v>
      </c>
      <c r="J505" s="55" t="s">
        <v>62</v>
      </c>
    </row>
    <row r="506" spans="1:10" x14ac:dyDescent="0.25">
      <c r="A506" t="s">
        <v>91</v>
      </c>
      <c r="B506" s="49">
        <v>13</v>
      </c>
      <c r="C506" s="51">
        <f>34417.19*G506</f>
        <v>662186.73560000001</v>
      </c>
      <c r="D506" s="52" t="s">
        <v>3482</v>
      </c>
      <c r="E506" s="52" t="s">
        <v>3483</v>
      </c>
      <c r="F506" s="52" t="s">
        <v>3484</v>
      </c>
      <c r="G506" s="52">
        <v>19.239999999999998</v>
      </c>
      <c r="H506" s="52">
        <v>45.05</v>
      </c>
      <c r="I506" s="53">
        <v>43598</v>
      </c>
      <c r="J506" s="52" t="s">
        <v>62</v>
      </c>
    </row>
    <row r="507" spans="1:10" x14ac:dyDescent="0.25">
      <c r="A507" s="191" t="s">
        <v>91</v>
      </c>
      <c r="B507" s="49">
        <v>13</v>
      </c>
      <c r="C507" s="51">
        <f>603840+17504.4</f>
        <v>621344.4</v>
      </c>
      <c r="D507" s="52" t="s">
        <v>3335</v>
      </c>
      <c r="E507" s="52" t="s">
        <v>3280</v>
      </c>
      <c r="F507" s="52" t="s">
        <v>52</v>
      </c>
      <c r="G507" s="53">
        <v>43598</v>
      </c>
      <c r="H507" s="52" t="s">
        <v>55</v>
      </c>
    </row>
    <row r="508" spans="1:10" x14ac:dyDescent="0.25">
      <c r="A508" t="s">
        <v>91</v>
      </c>
      <c r="B508" s="49">
        <v>13</v>
      </c>
      <c r="C508" s="51">
        <f>445332.5+11377.86</f>
        <v>456710.36</v>
      </c>
      <c r="D508" s="52" t="s">
        <v>3338</v>
      </c>
      <c r="E508" s="52" t="s">
        <v>3281</v>
      </c>
      <c r="F508" s="52" t="s">
        <v>52</v>
      </c>
      <c r="G508" s="53">
        <v>43598</v>
      </c>
      <c r="H508" s="52" t="s">
        <v>55</v>
      </c>
    </row>
    <row r="509" spans="1:10" x14ac:dyDescent="0.25">
      <c r="A509" t="s">
        <v>91</v>
      </c>
      <c r="B509" s="49">
        <v>13</v>
      </c>
      <c r="C509" s="51">
        <f>661650+17504.4</f>
        <v>679154.4</v>
      </c>
      <c r="D509" s="52" t="s">
        <v>3337</v>
      </c>
      <c r="E509" s="52" t="s">
        <v>3301</v>
      </c>
      <c r="F509" s="52" t="s">
        <v>52</v>
      </c>
      <c r="G509" s="53">
        <v>43598</v>
      </c>
      <c r="H509" s="52" t="s">
        <v>55</v>
      </c>
    </row>
    <row r="510" spans="1:10" x14ac:dyDescent="0.25">
      <c r="A510" t="s">
        <v>91</v>
      </c>
      <c r="B510" s="49">
        <v>13</v>
      </c>
      <c r="C510" s="51">
        <f>386925+11377.86</f>
        <v>398302.86</v>
      </c>
      <c r="D510" s="52" t="s">
        <v>3339</v>
      </c>
      <c r="E510" s="52" t="s">
        <v>3302</v>
      </c>
      <c r="F510" s="52" t="s">
        <v>52</v>
      </c>
      <c r="G510" s="53">
        <v>43598</v>
      </c>
      <c r="H510" s="52" t="s">
        <v>55</v>
      </c>
    </row>
    <row r="511" spans="1:10" x14ac:dyDescent="0.25">
      <c r="A511" t="s">
        <v>91</v>
      </c>
      <c r="B511" s="49">
        <v>13</v>
      </c>
      <c r="C511" s="51">
        <v>64645.54</v>
      </c>
      <c r="D511" s="52" t="s">
        <v>3461</v>
      </c>
      <c r="E511" s="52" t="s">
        <v>3460</v>
      </c>
      <c r="F511" s="52" t="s">
        <v>87</v>
      </c>
      <c r="G511" s="53">
        <v>43599</v>
      </c>
      <c r="H511" s="52" t="s">
        <v>62</v>
      </c>
    </row>
    <row r="512" spans="1:10" x14ac:dyDescent="0.25">
      <c r="A512" t="s">
        <v>122</v>
      </c>
      <c r="B512" s="49">
        <v>14</v>
      </c>
      <c r="C512" s="54">
        <f>38000*G512</f>
        <v>729562.00000000012</v>
      </c>
      <c r="D512" s="55" t="s">
        <v>3477</v>
      </c>
      <c r="E512" s="164" t="s">
        <v>3636</v>
      </c>
      <c r="F512" s="55" t="s">
        <v>3481</v>
      </c>
      <c r="G512" s="55">
        <v>19.199000000000002</v>
      </c>
      <c r="H512" s="55">
        <v>39.9</v>
      </c>
      <c r="I512" s="57">
        <v>43599</v>
      </c>
      <c r="J512" s="55" t="s">
        <v>62</v>
      </c>
    </row>
    <row r="513" spans="1:10" x14ac:dyDescent="0.25">
      <c r="A513" t="s">
        <v>122</v>
      </c>
      <c r="B513" s="49">
        <v>14</v>
      </c>
      <c r="C513" s="54">
        <f>38000*G513</f>
        <v>729562.00000000012</v>
      </c>
      <c r="D513" s="55" t="s">
        <v>3478</v>
      </c>
      <c r="E513" s="164" t="s">
        <v>3637</v>
      </c>
      <c r="F513" s="55" t="s">
        <v>3481</v>
      </c>
      <c r="G513" s="55">
        <v>19.199000000000002</v>
      </c>
      <c r="H513" s="55">
        <v>39.9</v>
      </c>
      <c r="I513" s="57">
        <v>43599</v>
      </c>
      <c r="J513" s="55" t="s">
        <v>62</v>
      </c>
    </row>
    <row r="514" spans="1:10" x14ac:dyDescent="0.25">
      <c r="A514" s="191" t="s">
        <v>122</v>
      </c>
      <c r="B514" s="49">
        <v>14</v>
      </c>
      <c r="C514" s="51">
        <f>650375+17504.4</f>
        <v>667879.4</v>
      </c>
      <c r="D514" s="52" t="s">
        <v>3340</v>
      </c>
      <c r="E514" s="52" t="s">
        <v>3341</v>
      </c>
      <c r="F514" s="52" t="s">
        <v>52</v>
      </c>
      <c r="G514" s="53">
        <v>43599</v>
      </c>
      <c r="H514" s="52" t="s">
        <v>55</v>
      </c>
    </row>
    <row r="515" spans="1:10" x14ac:dyDescent="0.25">
      <c r="A515" t="s">
        <v>122</v>
      </c>
      <c r="B515" s="49">
        <v>14</v>
      </c>
      <c r="C515" s="51">
        <f>365475+11552.9</f>
        <v>377027.9</v>
      </c>
      <c r="D515" s="52" t="s">
        <v>3343</v>
      </c>
      <c r="E515" s="52" t="s">
        <v>3342</v>
      </c>
      <c r="F515" s="52" t="s">
        <v>52</v>
      </c>
      <c r="G515" s="53">
        <v>43599</v>
      </c>
      <c r="H515" s="52" t="s">
        <v>55</v>
      </c>
    </row>
    <row r="516" spans="1:10" x14ac:dyDescent="0.25">
      <c r="A516" t="s">
        <v>122</v>
      </c>
      <c r="B516" s="49">
        <v>14</v>
      </c>
      <c r="C516" s="51">
        <f>608850+17416.88</f>
        <v>626266.88</v>
      </c>
      <c r="D516" s="52" t="s">
        <v>3344</v>
      </c>
      <c r="E516" s="52" t="s">
        <v>3345</v>
      </c>
      <c r="F516" s="52" t="s">
        <v>52</v>
      </c>
      <c r="G516" s="53">
        <v>43599</v>
      </c>
      <c r="H516" s="52" t="s">
        <v>55</v>
      </c>
    </row>
    <row r="517" spans="1:10" x14ac:dyDescent="0.25">
      <c r="A517" t="s">
        <v>43</v>
      </c>
      <c r="B517" s="49">
        <v>15</v>
      </c>
      <c r="C517" s="51">
        <f>35355.22*G517</f>
        <v>675638.25419999997</v>
      </c>
      <c r="D517" s="52" t="s">
        <v>3509</v>
      </c>
      <c r="E517" s="52" t="s">
        <v>3510</v>
      </c>
      <c r="F517" s="52" t="s">
        <v>3511</v>
      </c>
      <c r="G517" s="52">
        <v>19.11</v>
      </c>
      <c r="H517" s="52">
        <v>45.2</v>
      </c>
      <c r="I517" s="52" t="s">
        <v>62</v>
      </c>
    </row>
    <row r="518" spans="1:10" x14ac:dyDescent="0.25">
      <c r="A518" s="191" t="s">
        <v>43</v>
      </c>
      <c r="B518" s="49">
        <v>15</v>
      </c>
      <c r="C518" s="51">
        <v>91480.34</v>
      </c>
      <c r="D518" s="52" t="s">
        <v>3456</v>
      </c>
      <c r="E518" s="52" t="s">
        <v>3458</v>
      </c>
      <c r="F518" s="52" t="s">
        <v>3188</v>
      </c>
      <c r="G518" s="52">
        <v>89.4</v>
      </c>
      <c r="H518" s="53">
        <v>43600</v>
      </c>
      <c r="I518" s="52" t="s">
        <v>62</v>
      </c>
    </row>
    <row r="519" spans="1:10" x14ac:dyDescent="0.25">
      <c r="A519" t="s">
        <v>43</v>
      </c>
      <c r="B519" s="49">
        <v>15</v>
      </c>
      <c r="C519" s="51">
        <f>617925+17504.4</f>
        <v>635429.4</v>
      </c>
      <c r="D519" s="52" t="s">
        <v>3346</v>
      </c>
      <c r="E519" s="52" t="s">
        <v>3328</v>
      </c>
      <c r="F519" s="52" t="s">
        <v>52</v>
      </c>
      <c r="G519" s="53">
        <v>43600</v>
      </c>
      <c r="H519" s="52" t="s">
        <v>55</v>
      </c>
    </row>
    <row r="520" spans="1:10" x14ac:dyDescent="0.25">
      <c r="A520" t="s">
        <v>43</v>
      </c>
      <c r="B520" s="49">
        <v>15</v>
      </c>
      <c r="C520" s="51">
        <f>418825+11465.38</f>
        <v>430290.38</v>
      </c>
      <c r="D520" s="52" t="s">
        <v>3348</v>
      </c>
      <c r="E520" s="52" t="s">
        <v>3347</v>
      </c>
      <c r="F520" s="52" t="s">
        <v>52</v>
      </c>
      <c r="G520" s="53">
        <v>43600</v>
      </c>
      <c r="H520" s="52" t="s">
        <v>55</v>
      </c>
    </row>
    <row r="521" spans="1:10" x14ac:dyDescent="0.25">
      <c r="A521" t="s">
        <v>59</v>
      </c>
      <c r="B521" s="49">
        <v>16</v>
      </c>
      <c r="C521" s="54">
        <f>37500*G521</f>
        <v>717112.5</v>
      </c>
      <c r="D521" s="55" t="s">
        <v>3479</v>
      </c>
      <c r="E521" s="55" t="s">
        <v>3635</v>
      </c>
      <c r="F521" s="55" t="s">
        <v>3504</v>
      </c>
      <c r="G521" s="55">
        <v>19.123000000000001</v>
      </c>
      <c r="H521" s="55">
        <v>39.299999999999997</v>
      </c>
      <c r="I521" s="57">
        <v>43601</v>
      </c>
      <c r="J521" s="55" t="s">
        <v>62</v>
      </c>
    </row>
    <row r="522" spans="1:10" x14ac:dyDescent="0.25">
      <c r="A522" s="191" t="s">
        <v>59</v>
      </c>
      <c r="B522" s="49">
        <v>16</v>
      </c>
      <c r="C522" s="51">
        <f>431750+11377.86-3258.75-3217.5</f>
        <v>436651.61</v>
      </c>
      <c r="D522" s="52" t="s">
        <v>3349</v>
      </c>
      <c r="E522" s="52" t="s">
        <v>3350</v>
      </c>
      <c r="F522" s="52" t="s">
        <v>52</v>
      </c>
      <c r="G522" s="53">
        <v>43601</v>
      </c>
      <c r="H522" s="52" t="s">
        <v>55</v>
      </c>
    </row>
    <row r="523" spans="1:10" x14ac:dyDescent="0.25">
      <c r="A523" t="s">
        <v>70</v>
      </c>
      <c r="B523" s="49">
        <v>17</v>
      </c>
      <c r="C523" s="51">
        <f>34808.62*G523</f>
        <v>665123.11096000008</v>
      </c>
      <c r="D523" s="52" t="s">
        <v>3505</v>
      </c>
      <c r="E523" s="52" t="s">
        <v>3506</v>
      </c>
      <c r="F523" s="52" t="s">
        <v>3507</v>
      </c>
      <c r="G523" s="52">
        <v>19.108000000000001</v>
      </c>
      <c r="H523" s="52">
        <v>45.06</v>
      </c>
      <c r="I523" s="53">
        <v>43602</v>
      </c>
      <c r="J523" s="52" t="s">
        <v>62</v>
      </c>
    </row>
    <row r="524" spans="1:10" x14ac:dyDescent="0.25">
      <c r="A524" s="191" t="s">
        <v>70</v>
      </c>
      <c r="B524" s="49">
        <v>17</v>
      </c>
      <c r="C524" s="51">
        <f>20740*37.7</f>
        <v>781898.00000000012</v>
      </c>
      <c r="D524" s="52" t="s">
        <v>3476</v>
      </c>
      <c r="E524" s="52" t="s">
        <v>3497</v>
      </c>
      <c r="F524" s="52" t="s">
        <v>73</v>
      </c>
      <c r="G524" s="53">
        <v>43602</v>
      </c>
      <c r="H524" s="52" t="s">
        <v>55</v>
      </c>
    </row>
    <row r="525" spans="1:10" x14ac:dyDescent="0.25">
      <c r="A525" s="37" t="s">
        <v>89</v>
      </c>
      <c r="B525" s="49">
        <v>18</v>
      </c>
    </row>
    <row r="526" spans="1:10" x14ac:dyDescent="0.25">
      <c r="A526" s="37" t="s">
        <v>90</v>
      </c>
      <c r="B526" s="49">
        <v>19</v>
      </c>
    </row>
    <row r="527" spans="1:10" x14ac:dyDescent="0.25">
      <c r="A527" t="s">
        <v>91</v>
      </c>
      <c r="B527" s="49">
        <v>20</v>
      </c>
      <c r="C527" s="54">
        <f>38500*G527</f>
        <v>737968</v>
      </c>
      <c r="D527" s="55" t="s">
        <v>3480</v>
      </c>
      <c r="E527" s="55" t="s">
        <v>3624</v>
      </c>
      <c r="F527" s="55" t="s">
        <v>3545</v>
      </c>
      <c r="G527" s="55">
        <v>19.167999999999999</v>
      </c>
      <c r="H527" s="55">
        <v>40.53</v>
      </c>
      <c r="I527" s="57">
        <v>43605</v>
      </c>
      <c r="J527" s="55" t="s">
        <v>62</v>
      </c>
    </row>
    <row r="528" spans="1:10" s="191" customFormat="1" x14ac:dyDescent="0.25">
      <c r="A528" s="191" t="s">
        <v>91</v>
      </c>
      <c r="B528" s="192">
        <v>20</v>
      </c>
      <c r="C528" s="51">
        <f>34962.96*G528</f>
        <v>670170.01727999991</v>
      </c>
      <c r="D528" s="52" t="s">
        <v>3533</v>
      </c>
      <c r="E528" s="52" t="s">
        <v>3543</v>
      </c>
      <c r="F528" s="52" t="s">
        <v>3544</v>
      </c>
      <c r="G528" s="52">
        <v>19.167999999999999</v>
      </c>
      <c r="H528" s="52">
        <v>39.44</v>
      </c>
      <c r="I528" s="53">
        <v>43605</v>
      </c>
      <c r="J528" s="52" t="s">
        <v>62</v>
      </c>
    </row>
    <row r="529" spans="1:11" s="191" customFormat="1" x14ac:dyDescent="0.25">
      <c r="A529" s="191" t="s">
        <v>91</v>
      </c>
      <c r="B529" s="192">
        <v>20</v>
      </c>
      <c r="C529" s="51">
        <v>136670.17000000001</v>
      </c>
      <c r="D529" s="52" t="s">
        <v>3542</v>
      </c>
      <c r="E529" s="52" t="s">
        <v>3541</v>
      </c>
      <c r="F529" s="52" t="s">
        <v>3188</v>
      </c>
      <c r="G529" s="52">
        <v>91</v>
      </c>
      <c r="H529" s="53">
        <v>43609</v>
      </c>
      <c r="I529" s="52" t="s">
        <v>62</v>
      </c>
    </row>
    <row r="530" spans="1:11" x14ac:dyDescent="0.25">
      <c r="A530" s="191" t="s">
        <v>91</v>
      </c>
      <c r="B530" s="49">
        <v>20</v>
      </c>
      <c r="C530" s="51">
        <f>669480+17504.4</f>
        <v>686984.4</v>
      </c>
      <c r="D530" s="52" t="s">
        <v>3462</v>
      </c>
      <c r="E530" s="52" t="s">
        <v>3380</v>
      </c>
      <c r="F530" s="52" t="s">
        <v>52</v>
      </c>
      <c r="G530" s="53">
        <v>43605</v>
      </c>
      <c r="H530" s="52" t="s">
        <v>55</v>
      </c>
    </row>
    <row r="531" spans="1:11" x14ac:dyDescent="0.25">
      <c r="A531" t="s">
        <v>91</v>
      </c>
      <c r="B531" s="49">
        <v>20</v>
      </c>
      <c r="C531" s="51">
        <f>617120+15753.96-3347.4</f>
        <v>629526.55999999994</v>
      </c>
      <c r="D531" s="52" t="s">
        <v>3462</v>
      </c>
      <c r="E531" s="52" t="s">
        <v>3381</v>
      </c>
      <c r="F531" s="52" t="s">
        <v>52</v>
      </c>
      <c r="G531" s="53">
        <v>43605</v>
      </c>
      <c r="H531" s="52" t="s">
        <v>55</v>
      </c>
      <c r="I531" s="98" t="s">
        <v>3556</v>
      </c>
      <c r="J531" s="98"/>
      <c r="K531" s="98"/>
    </row>
    <row r="532" spans="1:11" x14ac:dyDescent="0.25">
      <c r="A532" t="s">
        <v>91</v>
      </c>
      <c r="B532" s="49">
        <v>20</v>
      </c>
      <c r="C532" s="51">
        <f>719880+19342.36</f>
        <v>739222.36</v>
      </c>
      <c r="D532" s="52" t="s">
        <v>3463</v>
      </c>
      <c r="E532" s="52" t="s">
        <v>3464</v>
      </c>
      <c r="F532" s="52" t="s">
        <v>52</v>
      </c>
      <c r="G532" s="53">
        <v>43606</v>
      </c>
      <c r="H532" s="52" t="s">
        <v>55</v>
      </c>
    </row>
    <row r="533" spans="1:11" x14ac:dyDescent="0.25">
      <c r="A533" t="s">
        <v>91</v>
      </c>
      <c r="B533" s="49">
        <v>20</v>
      </c>
      <c r="C533" s="51">
        <f>472080+14003.52</f>
        <v>486083.52</v>
      </c>
      <c r="D533" s="52" t="s">
        <v>3465</v>
      </c>
      <c r="E533" s="52" t="s">
        <v>3390</v>
      </c>
      <c r="F533" s="52" t="s">
        <v>52</v>
      </c>
      <c r="G533" s="53">
        <v>43602</v>
      </c>
      <c r="H533" s="52" t="s">
        <v>55</v>
      </c>
    </row>
    <row r="534" spans="1:11" x14ac:dyDescent="0.25">
      <c r="A534" t="s">
        <v>122</v>
      </c>
      <c r="B534" s="49">
        <v>21</v>
      </c>
      <c r="C534" s="54">
        <f>36500*G534</f>
        <v>699632</v>
      </c>
      <c r="D534" s="55" t="s">
        <v>3531</v>
      </c>
      <c r="E534" s="164" t="s">
        <v>3701</v>
      </c>
      <c r="F534" s="55" t="s">
        <v>3555</v>
      </c>
      <c r="G534" s="55">
        <v>19.167999999999999</v>
      </c>
      <c r="H534" s="55">
        <v>40.72</v>
      </c>
      <c r="I534" s="57">
        <v>43606</v>
      </c>
      <c r="J534" s="55" t="s">
        <v>62</v>
      </c>
    </row>
    <row r="535" spans="1:11" x14ac:dyDescent="0.25">
      <c r="A535" t="s">
        <v>122</v>
      </c>
      <c r="B535" s="49">
        <v>21</v>
      </c>
      <c r="C535" s="54">
        <f>36500*G535</f>
        <v>699632</v>
      </c>
      <c r="D535" s="55" t="s">
        <v>3532</v>
      </c>
      <c r="E535" s="164" t="s">
        <v>3702</v>
      </c>
      <c r="F535" s="55" t="s">
        <v>3555</v>
      </c>
      <c r="G535" s="55">
        <v>19.167999999999999</v>
      </c>
      <c r="H535" s="55">
        <v>40.72</v>
      </c>
      <c r="I535" s="57">
        <v>43606</v>
      </c>
      <c r="J535" s="55" t="s">
        <v>62</v>
      </c>
    </row>
    <row r="536" spans="1:11" x14ac:dyDescent="0.25">
      <c r="A536" t="s">
        <v>122</v>
      </c>
      <c r="B536" s="49">
        <v>21</v>
      </c>
      <c r="C536" s="51">
        <f>722120+19254.84</f>
        <v>741374.84</v>
      </c>
      <c r="D536" s="52" t="s">
        <v>3466</v>
      </c>
      <c r="E536" s="52" t="s">
        <v>3566</v>
      </c>
      <c r="F536" s="52" t="s">
        <v>52</v>
      </c>
      <c r="G536" s="53">
        <v>43606</v>
      </c>
      <c r="H536" s="52" t="s">
        <v>55</v>
      </c>
    </row>
    <row r="537" spans="1:11" x14ac:dyDescent="0.25">
      <c r="A537" t="s">
        <v>122</v>
      </c>
      <c r="B537" s="49">
        <v>21</v>
      </c>
      <c r="C537" s="51">
        <f>125020+3500.88</f>
        <v>128520.88</v>
      </c>
      <c r="D537" s="52" t="s">
        <v>3468</v>
      </c>
      <c r="E537" s="52" t="s">
        <v>3467</v>
      </c>
      <c r="F537" s="52" t="s">
        <v>52</v>
      </c>
      <c r="G537" s="53">
        <v>43607</v>
      </c>
      <c r="H537" s="52" t="s">
        <v>55</v>
      </c>
    </row>
    <row r="538" spans="1:11" x14ac:dyDescent="0.25">
      <c r="A538" t="s">
        <v>122</v>
      </c>
      <c r="B538" s="49">
        <v>21</v>
      </c>
      <c r="C538" s="51">
        <f>698820+19254.84-3154.95</f>
        <v>714919.89</v>
      </c>
      <c r="D538" s="52" t="s">
        <v>3469</v>
      </c>
      <c r="E538" s="52" t="s">
        <v>3470</v>
      </c>
      <c r="F538" s="52" t="s">
        <v>52</v>
      </c>
      <c r="G538" s="53">
        <v>43608</v>
      </c>
      <c r="H538" s="52" t="s">
        <v>55</v>
      </c>
    </row>
    <row r="539" spans="1:11" x14ac:dyDescent="0.25">
      <c r="A539" t="s">
        <v>122</v>
      </c>
      <c r="B539" s="49">
        <v>21</v>
      </c>
      <c r="C539" s="51">
        <f>144210+3413.36</f>
        <v>147623.35999999999</v>
      </c>
      <c r="D539" s="52" t="s">
        <v>3472</v>
      </c>
      <c r="E539" s="52" t="s">
        <v>3471</v>
      </c>
      <c r="F539" s="52" t="s">
        <v>52</v>
      </c>
      <c r="G539" s="53">
        <v>43607</v>
      </c>
      <c r="H539" s="52" t="s">
        <v>55</v>
      </c>
    </row>
    <row r="540" spans="1:11" x14ac:dyDescent="0.25">
      <c r="A540" t="s">
        <v>43</v>
      </c>
      <c r="B540" s="49">
        <v>22</v>
      </c>
      <c r="C540" s="51">
        <f>36538.58*G540</f>
        <v>698617.64960000012</v>
      </c>
      <c r="D540" s="52" t="s">
        <v>3536</v>
      </c>
      <c r="E540" s="52" t="s">
        <v>3548</v>
      </c>
      <c r="F540" s="52" t="s">
        <v>3549</v>
      </c>
      <c r="G540" s="52">
        <v>19.12</v>
      </c>
      <c r="H540" s="52">
        <v>39.56</v>
      </c>
      <c r="I540" s="53">
        <v>43607</v>
      </c>
      <c r="J540" s="52" t="s">
        <v>62</v>
      </c>
    </row>
    <row r="541" spans="1:11" x14ac:dyDescent="0.25">
      <c r="A541" t="s">
        <v>43</v>
      </c>
      <c r="B541" s="49">
        <v>22</v>
      </c>
      <c r="C541" s="51">
        <f>687562.5+17504.4</f>
        <v>705066.9</v>
      </c>
      <c r="D541" s="52" t="s">
        <v>3473</v>
      </c>
      <c r="E541" s="52" t="s">
        <v>3435</v>
      </c>
      <c r="F541" s="52" t="s">
        <v>52</v>
      </c>
      <c r="G541" s="53">
        <v>43609</v>
      </c>
      <c r="H541" s="52" t="s">
        <v>55</v>
      </c>
    </row>
    <row r="542" spans="1:11" x14ac:dyDescent="0.25">
      <c r="A542" s="191" t="s">
        <v>43</v>
      </c>
      <c r="B542" s="49">
        <v>22</v>
      </c>
      <c r="C542" s="51">
        <f>448590+11377.86-84892.5</f>
        <v>375075.36</v>
      </c>
      <c r="D542" s="52" t="s">
        <v>3473</v>
      </c>
      <c r="E542" s="52" t="s">
        <v>3436</v>
      </c>
      <c r="F542" s="52" t="s">
        <v>52</v>
      </c>
      <c r="G542" s="53">
        <v>43612</v>
      </c>
      <c r="H542" s="52" t="s">
        <v>55</v>
      </c>
    </row>
    <row r="543" spans="1:11" x14ac:dyDescent="0.25">
      <c r="A543" s="191" t="s">
        <v>43</v>
      </c>
      <c r="B543" s="49">
        <v>22</v>
      </c>
      <c r="C543" s="51">
        <v>62694</v>
      </c>
      <c r="D543" s="52" t="s">
        <v>3643</v>
      </c>
      <c r="E543" s="52" t="s">
        <v>3642</v>
      </c>
      <c r="F543" s="52" t="s">
        <v>87</v>
      </c>
      <c r="G543" s="51">
        <v>18</v>
      </c>
      <c r="H543" s="53">
        <v>43613</v>
      </c>
      <c r="I543" s="52" t="s">
        <v>88</v>
      </c>
    </row>
    <row r="544" spans="1:11" x14ac:dyDescent="0.25">
      <c r="A544" s="191" t="s">
        <v>59</v>
      </c>
      <c r="B544" s="49">
        <v>23</v>
      </c>
      <c r="C544" s="54">
        <f>38500*G544</f>
        <v>733001.5</v>
      </c>
      <c r="D544" s="55" t="s">
        <v>3534</v>
      </c>
      <c r="E544" s="55" t="s">
        <v>3715</v>
      </c>
      <c r="F544" s="55" t="s">
        <v>3545</v>
      </c>
      <c r="G544" s="55">
        <v>19.039000000000001</v>
      </c>
      <c r="H544" s="55">
        <v>40.93</v>
      </c>
      <c r="I544" s="57">
        <v>43608</v>
      </c>
      <c r="J544" s="55" t="s">
        <v>62</v>
      </c>
    </row>
    <row r="545" spans="1:10" x14ac:dyDescent="0.25">
      <c r="A545" t="s">
        <v>59</v>
      </c>
      <c r="B545" s="49">
        <v>23</v>
      </c>
      <c r="C545" s="51">
        <f>458422.5+11377.86</f>
        <v>469800.36</v>
      </c>
      <c r="D545" s="52" t="s">
        <v>3474</v>
      </c>
      <c r="E545" s="52" t="s">
        <v>3475</v>
      </c>
      <c r="F545" s="52" t="s">
        <v>52</v>
      </c>
      <c r="G545" s="53">
        <v>43612</v>
      </c>
      <c r="H545" s="52" t="s">
        <v>55</v>
      </c>
    </row>
    <row r="546" spans="1:10" x14ac:dyDescent="0.25">
      <c r="A546" t="s">
        <v>59</v>
      </c>
      <c r="B546" s="49">
        <v>23</v>
      </c>
      <c r="C546" s="51">
        <f>20809.4*38.1</f>
        <v>792838.14000000013</v>
      </c>
      <c r="D546" s="52" t="s">
        <v>3521</v>
      </c>
      <c r="E546" s="52" t="s">
        <v>3550</v>
      </c>
      <c r="F546" s="52" t="s">
        <v>73</v>
      </c>
      <c r="G546" s="53">
        <v>43607</v>
      </c>
      <c r="H546" s="52" t="s">
        <v>55</v>
      </c>
    </row>
    <row r="547" spans="1:10" x14ac:dyDescent="0.25">
      <c r="A547" t="s">
        <v>70</v>
      </c>
      <c r="B547" s="49">
        <v>24</v>
      </c>
      <c r="C547" s="51">
        <f>36841.92*G547</f>
        <v>700549.10880000005</v>
      </c>
      <c r="D547" s="51" t="s">
        <v>3537</v>
      </c>
      <c r="E547" s="52" t="s">
        <v>3564</v>
      </c>
      <c r="F547" s="52" t="s">
        <v>3565</v>
      </c>
      <c r="G547" s="52">
        <v>19.015000000000001</v>
      </c>
      <c r="H547" s="52">
        <v>39.299999999999997</v>
      </c>
      <c r="I547" s="53">
        <v>43609</v>
      </c>
      <c r="J547" s="52" t="s">
        <v>62</v>
      </c>
    </row>
    <row r="548" spans="1:10" x14ac:dyDescent="0.25">
      <c r="A548" s="37" t="s">
        <v>89</v>
      </c>
      <c r="B548" s="49">
        <v>25</v>
      </c>
    </row>
    <row r="549" spans="1:10" x14ac:dyDescent="0.25">
      <c r="A549" s="37" t="s">
        <v>90</v>
      </c>
      <c r="B549" s="49">
        <v>26</v>
      </c>
    </row>
    <row r="550" spans="1:10" x14ac:dyDescent="0.25">
      <c r="A550" t="s">
        <v>91</v>
      </c>
      <c r="B550" s="49">
        <v>27</v>
      </c>
      <c r="C550" s="54">
        <f>40000*G550</f>
        <v>764000</v>
      </c>
      <c r="D550" s="55" t="s">
        <v>3535</v>
      </c>
      <c r="E550" s="55" t="s">
        <v>3716</v>
      </c>
      <c r="F550" s="55" t="s">
        <v>3669</v>
      </c>
      <c r="G550" s="55">
        <v>19.100000000000001</v>
      </c>
      <c r="H550" s="55">
        <v>40.85</v>
      </c>
      <c r="I550" s="57">
        <v>43612</v>
      </c>
      <c r="J550" s="55" t="s">
        <v>62</v>
      </c>
    </row>
    <row r="551" spans="1:10" s="191" customFormat="1" x14ac:dyDescent="0.25">
      <c r="A551" s="191" t="s">
        <v>91</v>
      </c>
      <c r="B551" s="192">
        <v>27</v>
      </c>
      <c r="C551" s="51">
        <f>37569.25*G551</f>
        <v>716445.59750000003</v>
      </c>
      <c r="D551" s="52" t="s">
        <v>3664</v>
      </c>
      <c r="E551" s="52" t="s">
        <v>3665</v>
      </c>
      <c r="F551" s="52" t="s">
        <v>3666</v>
      </c>
      <c r="G551" s="52">
        <v>19.07</v>
      </c>
      <c r="H551" s="52">
        <v>40.04</v>
      </c>
      <c r="I551" s="53">
        <v>43613</v>
      </c>
      <c r="J551" s="52" t="s">
        <v>62</v>
      </c>
    </row>
    <row r="552" spans="1:10" x14ac:dyDescent="0.25">
      <c r="A552" t="s">
        <v>91</v>
      </c>
      <c r="B552" s="49">
        <v>27</v>
      </c>
      <c r="C552" s="51">
        <v>756666</v>
      </c>
      <c r="D552" s="52" t="s">
        <v>3553</v>
      </c>
      <c r="E552" s="52" t="s">
        <v>3551</v>
      </c>
      <c r="F552" s="52" t="s">
        <v>73</v>
      </c>
      <c r="G552" s="53">
        <v>43612</v>
      </c>
      <c r="H552" s="52" t="s">
        <v>55</v>
      </c>
    </row>
    <row r="553" spans="1:10" x14ac:dyDescent="0.25">
      <c r="A553" t="s">
        <v>91</v>
      </c>
      <c r="B553" s="49">
        <v>27</v>
      </c>
      <c r="C553" s="51">
        <f>751100+19254.84</f>
        <v>770354.84</v>
      </c>
      <c r="D553" s="52" t="s">
        <v>3600</v>
      </c>
      <c r="E553" s="52" t="s">
        <v>3601</v>
      </c>
      <c r="F553" s="52" t="s">
        <v>52</v>
      </c>
      <c r="G553" s="53">
        <v>43613</v>
      </c>
      <c r="H553" s="52" t="s">
        <v>55</v>
      </c>
    </row>
    <row r="554" spans="1:10" x14ac:dyDescent="0.25">
      <c r="A554" t="s">
        <v>91</v>
      </c>
      <c r="B554" s="49">
        <v>27</v>
      </c>
      <c r="C554" s="51">
        <f>377435+9452.38</f>
        <v>386887.38</v>
      </c>
      <c r="D554" s="52" t="s">
        <v>3602</v>
      </c>
      <c r="E554" s="52" t="s">
        <v>3493</v>
      </c>
      <c r="F554" s="52" t="s">
        <v>52</v>
      </c>
      <c r="G554" s="53">
        <v>43612</v>
      </c>
      <c r="H554" s="52" t="s">
        <v>55</v>
      </c>
    </row>
    <row r="555" spans="1:10" x14ac:dyDescent="0.25">
      <c r="A555" s="191" t="s">
        <v>91</v>
      </c>
      <c r="B555" s="49">
        <v>27</v>
      </c>
      <c r="C555" s="51">
        <f>771052+18817.23</f>
        <v>789869.23</v>
      </c>
      <c r="D555" s="52" t="s">
        <v>3603</v>
      </c>
      <c r="E555" s="52" t="s">
        <v>3604</v>
      </c>
      <c r="F555" s="52" t="s">
        <v>52</v>
      </c>
      <c r="G555" s="53">
        <v>43614</v>
      </c>
      <c r="H555" s="52" t="s">
        <v>55</v>
      </c>
    </row>
    <row r="556" spans="1:10" x14ac:dyDescent="0.25">
      <c r="A556" t="s">
        <v>91</v>
      </c>
      <c r="B556" s="49">
        <v>27</v>
      </c>
      <c r="C556" s="51">
        <f>99760+2625.66</f>
        <v>102385.66</v>
      </c>
      <c r="D556" s="52" t="s">
        <v>3606</v>
      </c>
      <c r="E556" s="52" t="s">
        <v>3605</v>
      </c>
      <c r="F556" s="52" t="s">
        <v>52</v>
      </c>
      <c r="G556" s="53">
        <v>43613</v>
      </c>
      <c r="H556" s="52" t="s">
        <v>55</v>
      </c>
    </row>
    <row r="557" spans="1:10" x14ac:dyDescent="0.25">
      <c r="A557" t="s">
        <v>122</v>
      </c>
      <c r="B557" s="49">
        <v>28</v>
      </c>
      <c r="C557" s="54">
        <f>38000*G557</f>
        <v>725762</v>
      </c>
      <c r="D557" s="55" t="s">
        <v>3660</v>
      </c>
      <c r="E557" s="55" t="s">
        <v>3755</v>
      </c>
      <c r="F557" s="55" t="s">
        <v>3481</v>
      </c>
      <c r="G557" s="55">
        <v>19.099</v>
      </c>
      <c r="H557" s="55">
        <v>42.17</v>
      </c>
      <c r="I557" s="57">
        <v>43613</v>
      </c>
      <c r="J557" s="55" t="s">
        <v>62</v>
      </c>
    </row>
    <row r="558" spans="1:10" x14ac:dyDescent="0.25">
      <c r="A558" t="s">
        <v>122</v>
      </c>
      <c r="B558" s="49">
        <v>28</v>
      </c>
      <c r="C558" s="54">
        <f>38000*G558</f>
        <v>725762</v>
      </c>
      <c r="D558" s="55" t="s">
        <v>3661</v>
      </c>
      <c r="E558" s="55" t="s">
        <v>3756</v>
      </c>
      <c r="F558" s="55" t="s">
        <v>3481</v>
      </c>
      <c r="G558" s="55">
        <v>19.099</v>
      </c>
      <c r="H558" s="55">
        <v>42.13</v>
      </c>
      <c r="I558" s="57">
        <v>43613</v>
      </c>
      <c r="J558" s="55" t="s">
        <v>62</v>
      </c>
    </row>
    <row r="559" spans="1:10" x14ac:dyDescent="0.25">
      <c r="A559" t="s">
        <v>122</v>
      </c>
      <c r="B559" s="49">
        <v>28</v>
      </c>
      <c r="C559" s="51">
        <v>807081.6</v>
      </c>
      <c r="D559" s="52" t="s">
        <v>3554</v>
      </c>
      <c r="E559" s="52" t="s">
        <v>3552</v>
      </c>
      <c r="F559" s="52" t="s">
        <v>73</v>
      </c>
      <c r="G559" s="53">
        <v>43613</v>
      </c>
      <c r="H559" s="52" t="s">
        <v>55</v>
      </c>
    </row>
    <row r="560" spans="1:10" x14ac:dyDescent="0.25">
      <c r="A560" s="191" t="s">
        <v>122</v>
      </c>
      <c r="B560" s="49">
        <v>28</v>
      </c>
      <c r="C560" s="51">
        <f>722100+17504.4</f>
        <v>739604.4</v>
      </c>
      <c r="D560" s="52" t="s">
        <v>3607</v>
      </c>
      <c r="E560" s="52" t="s">
        <v>3608</v>
      </c>
      <c r="F560" s="52" t="s">
        <v>52</v>
      </c>
      <c r="G560" s="53">
        <v>43615</v>
      </c>
      <c r="H560" s="52" t="s">
        <v>55</v>
      </c>
    </row>
    <row r="561" spans="1:10" x14ac:dyDescent="0.25">
      <c r="A561" t="s">
        <v>43</v>
      </c>
      <c r="B561" s="49">
        <v>29</v>
      </c>
      <c r="C561" s="51">
        <f>37376.95*G561</f>
        <v>718085.96339999989</v>
      </c>
      <c r="D561" s="52" t="s">
        <v>3668</v>
      </c>
      <c r="E561" s="52" t="s">
        <v>3677</v>
      </c>
      <c r="F561" s="52" t="s">
        <v>3678</v>
      </c>
      <c r="G561" s="52">
        <v>19.212</v>
      </c>
      <c r="H561" s="52">
        <v>40.56</v>
      </c>
      <c r="I561" s="53">
        <v>43614</v>
      </c>
      <c r="J561" s="52" t="s">
        <v>62</v>
      </c>
    </row>
    <row r="562" spans="1:10" x14ac:dyDescent="0.25">
      <c r="A562" t="s">
        <v>43</v>
      </c>
      <c r="B562" s="49">
        <v>29</v>
      </c>
      <c r="C562" s="51">
        <f>456460+11377.86</f>
        <v>467837.86</v>
      </c>
      <c r="D562" s="52" t="s">
        <v>3609</v>
      </c>
      <c r="E562" s="52" t="s">
        <v>3522</v>
      </c>
      <c r="F562" s="52" t="s">
        <v>52</v>
      </c>
      <c r="G562" s="53">
        <v>43615</v>
      </c>
      <c r="H562" s="52" t="s">
        <v>55</v>
      </c>
    </row>
    <row r="563" spans="1:10" x14ac:dyDescent="0.25">
      <c r="A563" s="191" t="s">
        <v>43</v>
      </c>
      <c r="B563" s="49">
        <v>29</v>
      </c>
      <c r="C563" s="51">
        <v>30000</v>
      </c>
      <c r="D563" s="52" t="s">
        <v>3645</v>
      </c>
      <c r="E563" s="52" t="s">
        <v>3644</v>
      </c>
      <c r="F563" s="52" t="s">
        <v>1918</v>
      </c>
      <c r="G563" s="52">
        <v>30</v>
      </c>
      <c r="H563" s="53">
        <v>43616</v>
      </c>
      <c r="I563" s="52" t="s">
        <v>62</v>
      </c>
    </row>
    <row r="564" spans="1:10" x14ac:dyDescent="0.25">
      <c r="A564" t="s">
        <v>43</v>
      </c>
      <c r="B564" s="49">
        <v>29</v>
      </c>
      <c r="C564" s="51">
        <v>255811.75</v>
      </c>
      <c r="D564" s="52" t="s">
        <v>3651</v>
      </c>
      <c r="E564" s="52" t="s">
        <v>3649</v>
      </c>
      <c r="F564" s="52" t="s">
        <v>3652</v>
      </c>
      <c r="G564" s="52" t="s">
        <v>3653</v>
      </c>
      <c r="H564" s="53">
        <v>43616</v>
      </c>
      <c r="I564" s="52" t="s">
        <v>62</v>
      </c>
    </row>
    <row r="565" spans="1:10" x14ac:dyDescent="0.25">
      <c r="A565" t="s">
        <v>59</v>
      </c>
      <c r="B565" s="49">
        <v>30</v>
      </c>
      <c r="C565" s="54">
        <f>39500*G565</f>
        <v>759585</v>
      </c>
      <c r="D565" s="55" t="s">
        <v>3662</v>
      </c>
      <c r="E565" s="55" t="s">
        <v>3775</v>
      </c>
      <c r="F565" s="55" t="s">
        <v>3706</v>
      </c>
      <c r="G565" s="55">
        <v>19.23</v>
      </c>
      <c r="H565" s="55">
        <v>42.07</v>
      </c>
      <c r="I565" s="57">
        <v>43615</v>
      </c>
      <c r="J565" s="55" t="s">
        <v>62</v>
      </c>
    </row>
    <row r="566" spans="1:10" x14ac:dyDescent="0.25">
      <c r="A566" t="s">
        <v>59</v>
      </c>
      <c r="B566" s="49">
        <v>30</v>
      </c>
      <c r="C566" s="51">
        <f>453415+11377.86</f>
        <v>464792.86</v>
      </c>
      <c r="D566" s="52" t="s">
        <v>3610</v>
      </c>
      <c r="E566" s="52" t="s">
        <v>3528</v>
      </c>
      <c r="F566" s="52" t="s">
        <v>52</v>
      </c>
      <c r="G566" s="53">
        <v>43615</v>
      </c>
      <c r="H566" s="52" t="s">
        <v>55</v>
      </c>
    </row>
    <row r="567" spans="1:10" x14ac:dyDescent="0.25">
      <c r="A567" t="s">
        <v>59</v>
      </c>
      <c r="B567" s="49">
        <v>30</v>
      </c>
      <c r="C567" s="51">
        <v>206872</v>
      </c>
      <c r="D567" s="52" t="s">
        <v>3654</v>
      </c>
      <c r="E567" s="52" t="s">
        <v>3655</v>
      </c>
      <c r="F567" s="52" t="s">
        <v>3656</v>
      </c>
      <c r="G567" s="52">
        <v>50</v>
      </c>
      <c r="H567" s="53">
        <v>43616</v>
      </c>
      <c r="I567" s="52" t="s">
        <v>62</v>
      </c>
    </row>
    <row r="568" spans="1:10" x14ac:dyDescent="0.25">
      <c r="A568" t="s">
        <v>59</v>
      </c>
      <c r="B568" s="49">
        <v>30</v>
      </c>
    </row>
    <row r="569" spans="1:10" x14ac:dyDescent="0.25">
      <c r="A569" t="s">
        <v>70</v>
      </c>
      <c r="B569" s="49">
        <v>31</v>
      </c>
      <c r="C569" s="51">
        <f>38142.92*G569</f>
        <v>753704.09920000006</v>
      </c>
      <c r="D569" s="52" t="s">
        <v>3667</v>
      </c>
      <c r="E569" s="52" t="s">
        <v>3725</v>
      </c>
      <c r="F569" s="52" t="s">
        <v>3726</v>
      </c>
      <c r="G569" s="52">
        <v>19.760000000000002</v>
      </c>
      <c r="H569" s="52">
        <v>42.15</v>
      </c>
      <c r="I569" s="53">
        <v>43616</v>
      </c>
      <c r="J569" s="52" t="s">
        <v>62</v>
      </c>
    </row>
    <row r="570" spans="1:10" x14ac:dyDescent="0.25">
      <c r="A570" s="61" t="s">
        <v>3570</v>
      </c>
    </row>
    <row r="571" spans="1:10" x14ac:dyDescent="0.25">
      <c r="A571" s="37" t="s">
        <v>89</v>
      </c>
      <c r="B571" s="49">
        <v>1</v>
      </c>
    </row>
    <row r="572" spans="1:10" x14ac:dyDescent="0.25">
      <c r="A572" s="37" t="s">
        <v>90</v>
      </c>
      <c r="B572" s="49">
        <v>2</v>
      </c>
    </row>
    <row r="573" spans="1:10" x14ac:dyDescent="0.25">
      <c r="A573" t="s">
        <v>91</v>
      </c>
      <c r="B573" s="49">
        <v>3</v>
      </c>
      <c r="C573" s="54">
        <f>40000*G573</f>
        <v>792400</v>
      </c>
      <c r="D573" s="55" t="s">
        <v>3663</v>
      </c>
      <c r="E573" s="55" t="s">
        <v>3835</v>
      </c>
      <c r="F573" s="55" t="s">
        <v>3669</v>
      </c>
      <c r="G573" s="54">
        <v>19.809999999999999</v>
      </c>
      <c r="H573" s="55">
        <v>43.73</v>
      </c>
      <c r="I573" s="57">
        <v>43619</v>
      </c>
      <c r="J573" s="55" t="s">
        <v>62</v>
      </c>
    </row>
    <row r="574" spans="1:10" x14ac:dyDescent="0.25">
      <c r="A574" s="191" t="s">
        <v>91</v>
      </c>
      <c r="B574" s="49">
        <v>3</v>
      </c>
      <c r="C574" s="51">
        <f>749005+17504.4</f>
        <v>766509.4</v>
      </c>
      <c r="D574" s="52" t="s">
        <v>3611</v>
      </c>
      <c r="E574" s="52" t="s">
        <v>3612</v>
      </c>
      <c r="F574" s="52" t="s">
        <v>52</v>
      </c>
      <c r="G574" s="53">
        <v>43616</v>
      </c>
      <c r="H574" s="52" t="s">
        <v>55</v>
      </c>
    </row>
    <row r="575" spans="1:10" x14ac:dyDescent="0.25">
      <c r="A575" s="191" t="s">
        <v>91</v>
      </c>
      <c r="B575" s="49">
        <v>3</v>
      </c>
      <c r="C575" s="51">
        <f>455775+9808.5</f>
        <v>465583.5</v>
      </c>
      <c r="D575" s="52" t="s">
        <v>3611</v>
      </c>
      <c r="E575" s="52" t="s">
        <v>3613</v>
      </c>
      <c r="F575" s="52" t="s">
        <v>52</v>
      </c>
      <c r="G575" s="53">
        <v>43616</v>
      </c>
      <c r="H575" s="52" t="s">
        <v>55</v>
      </c>
    </row>
    <row r="576" spans="1:10" x14ac:dyDescent="0.25">
      <c r="A576" s="191" t="s">
        <v>91</v>
      </c>
      <c r="B576" s="49">
        <v>3</v>
      </c>
      <c r="C576" s="51">
        <f>729865+17504.4</f>
        <v>747369.4</v>
      </c>
      <c r="D576" s="52" t="s">
        <v>3614</v>
      </c>
      <c r="E576" s="52" t="s">
        <v>3615</v>
      </c>
      <c r="F576" s="52" t="s">
        <v>52</v>
      </c>
      <c r="G576" s="53">
        <v>43619</v>
      </c>
      <c r="H576" s="52" t="s">
        <v>55</v>
      </c>
    </row>
    <row r="577" spans="1:10" x14ac:dyDescent="0.25">
      <c r="A577" t="s">
        <v>91</v>
      </c>
      <c r="B577" s="49">
        <v>3</v>
      </c>
      <c r="C577" s="51">
        <f>466955+11377.86</f>
        <v>478332.86</v>
      </c>
      <c r="D577" s="52" t="s">
        <v>3614</v>
      </c>
      <c r="E577" s="52" t="s">
        <v>3559</v>
      </c>
      <c r="F577" s="52" t="s">
        <v>52</v>
      </c>
      <c r="G577" s="53">
        <v>43616</v>
      </c>
      <c r="H577" s="52" t="s">
        <v>55</v>
      </c>
    </row>
    <row r="578" spans="1:10" x14ac:dyDescent="0.25">
      <c r="A578" t="s">
        <v>122</v>
      </c>
      <c r="B578" s="49">
        <v>4</v>
      </c>
      <c r="C578" s="54">
        <f>40000*G578</f>
        <v>784120.00000000012</v>
      </c>
      <c r="D578" s="55" t="s">
        <v>3745</v>
      </c>
      <c r="E578" s="55" t="s">
        <v>3877</v>
      </c>
      <c r="F578" s="55" t="s">
        <v>3669</v>
      </c>
      <c r="G578" s="56">
        <v>19.603000000000002</v>
      </c>
      <c r="H578" s="55">
        <v>43.85</v>
      </c>
      <c r="I578" s="57">
        <v>43620</v>
      </c>
      <c r="J578" s="55" t="s">
        <v>62</v>
      </c>
    </row>
    <row r="579" spans="1:10" s="191" customFormat="1" x14ac:dyDescent="0.25">
      <c r="A579" s="191" t="s">
        <v>122</v>
      </c>
      <c r="B579" s="192">
        <v>4</v>
      </c>
      <c r="C579" s="51">
        <f>39118.91*G579</f>
        <v>774163.22889999999</v>
      </c>
      <c r="D579" s="52" t="s">
        <v>3747</v>
      </c>
      <c r="E579" s="52" t="s">
        <v>3749</v>
      </c>
      <c r="F579" s="52" t="s">
        <v>3748</v>
      </c>
      <c r="G579" s="51">
        <v>19.79</v>
      </c>
      <c r="H579" s="52">
        <v>43.11</v>
      </c>
      <c r="I579" s="53">
        <v>43620</v>
      </c>
      <c r="J579" s="52" t="s">
        <v>62</v>
      </c>
    </row>
    <row r="580" spans="1:10" x14ac:dyDescent="0.25">
      <c r="A580" t="s">
        <v>122</v>
      </c>
      <c r="B580" s="49">
        <v>4</v>
      </c>
      <c r="C580" s="51">
        <f>783850+19254.84</f>
        <v>803104.84</v>
      </c>
      <c r="D580" s="52" t="s">
        <v>3616</v>
      </c>
      <c r="E580" s="52" t="s">
        <v>3617</v>
      </c>
      <c r="F580" s="52" t="s">
        <v>52</v>
      </c>
      <c r="G580" s="53">
        <v>43620</v>
      </c>
      <c r="H580" s="52" t="s">
        <v>55</v>
      </c>
    </row>
    <row r="581" spans="1:10" x14ac:dyDescent="0.25">
      <c r="A581" t="s">
        <v>122</v>
      </c>
      <c r="B581" s="49">
        <v>4</v>
      </c>
      <c r="C581" s="51">
        <f>109800+2625.66</f>
        <v>112425.66</v>
      </c>
      <c r="D581" s="52" t="s">
        <v>3619</v>
      </c>
      <c r="E581" s="52" t="s">
        <v>3618</v>
      </c>
      <c r="F581" s="52" t="s">
        <v>52</v>
      </c>
      <c r="G581" s="53">
        <v>43620</v>
      </c>
      <c r="H581" s="52" t="s">
        <v>55</v>
      </c>
    </row>
    <row r="582" spans="1:10" x14ac:dyDescent="0.25">
      <c r="A582" s="191" t="s">
        <v>122</v>
      </c>
      <c r="B582" s="49">
        <v>4</v>
      </c>
      <c r="C582" s="51">
        <f>777902.5+19079.8</f>
        <v>796982.3</v>
      </c>
      <c r="D582" s="52" t="s">
        <v>3620</v>
      </c>
      <c r="E582" s="52" t="s">
        <v>3621</v>
      </c>
      <c r="F582" s="52" t="s">
        <v>52</v>
      </c>
      <c r="G582" s="53">
        <v>43621</v>
      </c>
      <c r="H582" s="52" t="s">
        <v>55</v>
      </c>
    </row>
    <row r="583" spans="1:10" x14ac:dyDescent="0.25">
      <c r="A583" t="s">
        <v>122</v>
      </c>
      <c r="B583" s="49">
        <v>4</v>
      </c>
      <c r="C583" s="51">
        <f>102022.5+2625.66</f>
        <v>104648.16</v>
      </c>
      <c r="D583" s="52" t="s">
        <v>3623</v>
      </c>
      <c r="E583" s="52" t="s">
        <v>3622</v>
      </c>
      <c r="F583" s="52" t="s">
        <v>52</v>
      </c>
      <c r="G583" s="53">
        <v>43620</v>
      </c>
      <c r="H583" s="52" t="s">
        <v>55</v>
      </c>
    </row>
    <row r="584" spans="1:10" x14ac:dyDescent="0.25">
      <c r="A584" t="s">
        <v>43</v>
      </c>
      <c r="B584" s="49">
        <v>5</v>
      </c>
      <c r="C584" s="51">
        <f>760517.5+20130.06-300000</f>
        <v>480647.56000000006</v>
      </c>
      <c r="D584" s="52" t="s">
        <v>3625</v>
      </c>
      <c r="E584" s="52" t="s">
        <v>3626</v>
      </c>
      <c r="F584" s="52" t="s">
        <v>52</v>
      </c>
      <c r="G584" s="52" t="s">
        <v>3631</v>
      </c>
      <c r="H584" s="53">
        <v>43621</v>
      </c>
      <c r="I584" s="52" t="s">
        <v>55</v>
      </c>
    </row>
    <row r="585" spans="1:10" x14ac:dyDescent="0.25">
      <c r="A585" t="s">
        <v>43</v>
      </c>
      <c r="B585" s="49">
        <v>5</v>
      </c>
      <c r="C585" s="51">
        <f>504622.5+13128.3</f>
        <v>517750.8</v>
      </c>
      <c r="D585" s="52" t="s">
        <v>3625</v>
      </c>
      <c r="E585" s="52" t="s">
        <v>3627</v>
      </c>
      <c r="F585" s="52" t="s">
        <v>52</v>
      </c>
      <c r="G585" s="53">
        <v>43621</v>
      </c>
      <c r="H585" s="52" t="s">
        <v>55</v>
      </c>
    </row>
    <row r="586" spans="1:10" x14ac:dyDescent="0.25">
      <c r="A586" t="s">
        <v>43</v>
      </c>
      <c r="B586" s="49">
        <v>5</v>
      </c>
      <c r="C586" s="51">
        <v>62262</v>
      </c>
      <c r="D586" s="52" t="s">
        <v>3719</v>
      </c>
      <c r="E586" s="52" t="s">
        <v>3718</v>
      </c>
      <c r="F586" s="52" t="s">
        <v>87</v>
      </c>
      <c r="G586" s="52">
        <v>18</v>
      </c>
      <c r="H586" s="53">
        <v>43622</v>
      </c>
      <c r="I586" s="52" t="s">
        <v>62</v>
      </c>
    </row>
    <row r="587" spans="1:10" x14ac:dyDescent="0.25">
      <c r="A587" t="s">
        <v>59</v>
      </c>
      <c r="B587" s="49">
        <v>6</v>
      </c>
      <c r="C587" s="54">
        <f>40000*G587</f>
        <v>783319.99999999988</v>
      </c>
      <c r="D587" s="55" t="s">
        <v>3744</v>
      </c>
      <c r="E587" s="55" t="s">
        <v>3889</v>
      </c>
      <c r="F587" s="55" t="s">
        <v>3669</v>
      </c>
      <c r="G587" s="56">
        <v>19.582999999999998</v>
      </c>
      <c r="H587" s="55">
        <v>42.67</v>
      </c>
      <c r="I587" s="57">
        <v>43622</v>
      </c>
      <c r="J587" s="55" t="s">
        <v>62</v>
      </c>
    </row>
    <row r="588" spans="1:10" x14ac:dyDescent="0.25">
      <c r="A588" t="s">
        <v>59</v>
      </c>
      <c r="B588" s="49">
        <v>6</v>
      </c>
      <c r="C588" s="51">
        <f>853542.5+19955.02</f>
        <v>873497.52</v>
      </c>
      <c r="D588" s="52" t="s">
        <v>3628</v>
      </c>
      <c r="E588" s="52" t="s">
        <v>3629</v>
      </c>
      <c r="F588" s="52" t="s">
        <v>52</v>
      </c>
      <c r="G588" s="53">
        <v>43623</v>
      </c>
      <c r="H588" s="52" t="s">
        <v>55</v>
      </c>
    </row>
    <row r="589" spans="1:10" x14ac:dyDescent="0.25">
      <c r="A589" t="s">
        <v>59</v>
      </c>
      <c r="B589" s="49">
        <v>6</v>
      </c>
      <c r="C589" s="51">
        <f>550525+13128.3</f>
        <v>563653.30000000005</v>
      </c>
      <c r="D589" s="52" t="s">
        <v>3628</v>
      </c>
      <c r="E589" s="52" t="s">
        <v>3630</v>
      </c>
      <c r="F589" s="52" t="s">
        <v>52</v>
      </c>
      <c r="G589" s="53">
        <v>43622</v>
      </c>
      <c r="H589" s="52" t="s">
        <v>55</v>
      </c>
    </row>
    <row r="590" spans="1:10" x14ac:dyDescent="0.25">
      <c r="A590" s="191" t="s">
        <v>70</v>
      </c>
      <c r="B590" s="49">
        <v>7</v>
      </c>
      <c r="C590" s="51">
        <f>30528.7*G590</f>
        <v>596836.08500000008</v>
      </c>
      <c r="D590" s="52" t="s">
        <v>3750</v>
      </c>
      <c r="E590" s="52" t="s">
        <v>3780</v>
      </c>
      <c r="F590" s="52" t="s">
        <v>3781</v>
      </c>
      <c r="G590" s="51">
        <v>19.55</v>
      </c>
      <c r="H590" s="52">
        <v>43.05</v>
      </c>
      <c r="I590" s="53">
        <v>43623</v>
      </c>
      <c r="J590" s="52" t="s">
        <v>62</v>
      </c>
    </row>
    <row r="591" spans="1:10" x14ac:dyDescent="0.25">
      <c r="A591" t="s">
        <v>70</v>
      </c>
      <c r="B591" s="49">
        <v>7</v>
      </c>
      <c r="C591" s="51">
        <f>38749.48*G591</f>
        <v>756587.47194800002</v>
      </c>
      <c r="D591" s="52" t="s">
        <v>3751</v>
      </c>
      <c r="E591" s="52" t="s">
        <v>3777</v>
      </c>
      <c r="F591" s="52" t="s">
        <v>3778</v>
      </c>
      <c r="G591" s="231">
        <v>19.525099999999998</v>
      </c>
      <c r="H591" s="52">
        <v>42.28</v>
      </c>
      <c r="I591" s="53">
        <v>43623</v>
      </c>
      <c r="J591" s="52" t="s">
        <v>62</v>
      </c>
    </row>
    <row r="592" spans="1:10" x14ac:dyDescent="0.25">
      <c r="A592" t="s">
        <v>70</v>
      </c>
      <c r="B592" s="49">
        <v>7</v>
      </c>
      <c r="C592" s="51">
        <v>1618429.01</v>
      </c>
      <c r="D592" s="52" t="s">
        <v>3640</v>
      </c>
      <c r="E592" s="52" t="s">
        <v>3641</v>
      </c>
      <c r="F592" s="52" t="s">
        <v>2802</v>
      </c>
      <c r="G592" s="52">
        <v>86</v>
      </c>
      <c r="H592" s="53">
        <v>43623</v>
      </c>
      <c r="I592" s="52" t="s">
        <v>62</v>
      </c>
    </row>
    <row r="593" spans="1:10" x14ac:dyDescent="0.25">
      <c r="A593" t="s">
        <v>70</v>
      </c>
      <c r="B593" s="49">
        <v>7</v>
      </c>
      <c r="C593" s="51">
        <v>285230.40000000002</v>
      </c>
      <c r="D593" s="52" t="s">
        <v>3731</v>
      </c>
      <c r="E593" s="52" t="s">
        <v>3743</v>
      </c>
      <c r="F593" s="52" t="s">
        <v>1804</v>
      </c>
      <c r="G593" s="52">
        <v>96</v>
      </c>
      <c r="H593" s="53">
        <v>43622</v>
      </c>
      <c r="I593" s="52" t="s">
        <v>62</v>
      </c>
    </row>
    <row r="594" spans="1:10" x14ac:dyDescent="0.25">
      <c r="A594" s="37" t="s">
        <v>89</v>
      </c>
      <c r="B594" s="49">
        <v>8</v>
      </c>
    </row>
    <row r="595" spans="1:10" x14ac:dyDescent="0.25">
      <c r="A595" s="37" t="s">
        <v>90</v>
      </c>
      <c r="B595" s="49">
        <v>9</v>
      </c>
    </row>
    <row r="596" spans="1:10" x14ac:dyDescent="0.25">
      <c r="A596" t="s">
        <v>91</v>
      </c>
      <c r="B596" s="49">
        <v>10</v>
      </c>
      <c r="C596" s="54">
        <f>40500*G596</f>
        <v>801495</v>
      </c>
      <c r="D596" s="55" t="s">
        <v>3746</v>
      </c>
      <c r="E596" s="55" t="s">
        <v>3919</v>
      </c>
      <c r="F596" s="55" t="s">
        <v>3787</v>
      </c>
      <c r="G596" s="56">
        <v>19.79</v>
      </c>
      <c r="H596" s="55">
        <v>43.24</v>
      </c>
      <c r="I596" s="57">
        <v>43626</v>
      </c>
      <c r="J596" s="55" t="s">
        <v>62</v>
      </c>
    </row>
    <row r="597" spans="1:10" s="191" customFormat="1" x14ac:dyDescent="0.25">
      <c r="A597" t="s">
        <v>91</v>
      </c>
      <c r="B597" s="192">
        <v>10</v>
      </c>
      <c r="C597" s="51">
        <f>39011.74*G597</f>
        <v>771730.24067999993</v>
      </c>
      <c r="D597" s="52" t="s">
        <v>3807</v>
      </c>
      <c r="E597" s="52" t="s">
        <v>3812</v>
      </c>
      <c r="F597" s="52" t="s">
        <v>3813</v>
      </c>
      <c r="G597" s="58">
        <v>19.782</v>
      </c>
      <c r="H597" s="52"/>
      <c r="I597" s="53">
        <v>43626</v>
      </c>
      <c r="J597" s="52" t="s">
        <v>62</v>
      </c>
    </row>
    <row r="598" spans="1:10" x14ac:dyDescent="0.25">
      <c r="A598" t="s">
        <v>91</v>
      </c>
      <c r="B598" s="49">
        <v>10</v>
      </c>
      <c r="C598" s="51">
        <f>830667.5+20130.06</f>
        <v>850797.56</v>
      </c>
      <c r="D598" s="51" t="s">
        <v>3685</v>
      </c>
      <c r="E598" s="52" t="s">
        <v>3684</v>
      </c>
      <c r="F598" s="52" t="s">
        <v>52</v>
      </c>
      <c r="G598" s="53">
        <v>43626</v>
      </c>
      <c r="H598" s="52" t="s">
        <v>55</v>
      </c>
    </row>
    <row r="599" spans="1:10" x14ac:dyDescent="0.25">
      <c r="A599" t="s">
        <v>91</v>
      </c>
      <c r="B599" s="49">
        <v>10</v>
      </c>
      <c r="C599" s="51">
        <f>92567.5+2625.66</f>
        <v>95193.16</v>
      </c>
      <c r="D599" s="51" t="s">
        <v>3687</v>
      </c>
      <c r="E599" s="52" t="s">
        <v>3686</v>
      </c>
      <c r="F599" s="52" t="s">
        <v>52</v>
      </c>
      <c r="G599" s="53">
        <v>43626</v>
      </c>
      <c r="H599" s="52" t="s">
        <v>55</v>
      </c>
    </row>
    <row r="600" spans="1:10" x14ac:dyDescent="0.25">
      <c r="A600" t="s">
        <v>91</v>
      </c>
      <c r="B600" s="49">
        <v>10</v>
      </c>
      <c r="C600" s="51">
        <f>695330+17416.88</f>
        <v>712746.88</v>
      </c>
      <c r="D600" s="51" t="s">
        <v>3703</v>
      </c>
      <c r="E600" s="52" t="s">
        <v>3704</v>
      </c>
      <c r="F600" s="52" t="s">
        <v>52</v>
      </c>
      <c r="G600" s="53">
        <v>43626</v>
      </c>
      <c r="H600" s="52" t="s">
        <v>55</v>
      </c>
    </row>
    <row r="601" spans="1:10" x14ac:dyDescent="0.25">
      <c r="A601" s="191" t="s">
        <v>91</v>
      </c>
      <c r="B601" s="49">
        <v>10</v>
      </c>
      <c r="C601" s="51">
        <v>155731.20000000001</v>
      </c>
      <c r="D601" s="51" t="s">
        <v>3855</v>
      </c>
      <c r="E601" s="52" t="s">
        <v>3854</v>
      </c>
      <c r="F601" s="52" t="s">
        <v>1804</v>
      </c>
      <c r="G601" s="52">
        <v>96</v>
      </c>
      <c r="H601" s="53">
        <v>43633</v>
      </c>
      <c r="I601" s="52" t="s">
        <v>62</v>
      </c>
    </row>
    <row r="602" spans="1:10" x14ac:dyDescent="0.25">
      <c r="A602" t="s">
        <v>122</v>
      </c>
      <c r="B602" s="49">
        <v>11</v>
      </c>
      <c r="C602" s="54">
        <f>39500*G602</f>
        <v>781507.5</v>
      </c>
      <c r="D602" s="55" t="s">
        <v>3788</v>
      </c>
      <c r="E602" s="55" t="s">
        <v>3956</v>
      </c>
      <c r="F602" s="55" t="s">
        <v>3706</v>
      </c>
      <c r="G602" s="56">
        <v>19.785</v>
      </c>
      <c r="H602" s="55">
        <v>40.98</v>
      </c>
      <c r="I602" s="57">
        <v>43626</v>
      </c>
      <c r="J602" s="55" t="s">
        <v>62</v>
      </c>
    </row>
    <row r="603" spans="1:10" x14ac:dyDescent="0.25">
      <c r="A603" s="191" t="s">
        <v>122</v>
      </c>
      <c r="B603" s="192">
        <v>11</v>
      </c>
      <c r="C603" s="54">
        <f>39500*G603</f>
        <v>781705</v>
      </c>
      <c r="D603" s="55" t="s">
        <v>3789</v>
      </c>
      <c r="E603" s="55" t="s">
        <v>3957</v>
      </c>
      <c r="F603" s="55" t="s">
        <v>3706</v>
      </c>
      <c r="G603" s="56">
        <v>19.79</v>
      </c>
      <c r="H603" s="55">
        <v>40.090000000000003</v>
      </c>
      <c r="I603" s="57">
        <v>43626</v>
      </c>
      <c r="J603" s="55" t="s">
        <v>62</v>
      </c>
    </row>
    <row r="604" spans="1:10" x14ac:dyDescent="0.25">
      <c r="A604" t="s">
        <v>122</v>
      </c>
      <c r="B604" s="49">
        <v>11</v>
      </c>
      <c r="C604" s="51">
        <f>693470+17504.4-3467.35</f>
        <v>707507.05</v>
      </c>
      <c r="D604" s="51" t="s">
        <v>3707</v>
      </c>
      <c r="E604" s="52" t="s">
        <v>3708</v>
      </c>
      <c r="F604" s="52" t="s">
        <v>52</v>
      </c>
      <c r="G604" s="53">
        <v>43627</v>
      </c>
      <c r="H604" s="52" t="s">
        <v>55</v>
      </c>
    </row>
    <row r="605" spans="1:10" s="191" customFormat="1" x14ac:dyDescent="0.25">
      <c r="A605" s="191" t="s">
        <v>122</v>
      </c>
      <c r="B605" s="192">
        <v>11</v>
      </c>
      <c r="C605" s="51">
        <f>768490+19254.84</f>
        <v>787744.84</v>
      </c>
      <c r="D605" s="51" t="s">
        <v>3712</v>
      </c>
      <c r="E605" s="52" t="s">
        <v>3713</v>
      </c>
      <c r="F605" s="52" t="s">
        <v>52</v>
      </c>
      <c r="G605" s="53">
        <v>43627</v>
      </c>
      <c r="H605" s="52" t="s">
        <v>55</v>
      </c>
    </row>
    <row r="606" spans="1:10" s="191" customFormat="1" x14ac:dyDescent="0.25">
      <c r="A606" s="191" t="s">
        <v>122</v>
      </c>
      <c r="B606" s="192">
        <v>11</v>
      </c>
      <c r="C606" s="51">
        <v>28500</v>
      </c>
      <c r="D606" s="51" t="s">
        <v>3860</v>
      </c>
      <c r="E606" s="52" t="s">
        <v>3856</v>
      </c>
      <c r="F606" s="52" t="s">
        <v>1918</v>
      </c>
      <c r="G606" s="52">
        <v>28.5</v>
      </c>
      <c r="H606" s="53">
        <v>43628</v>
      </c>
      <c r="I606" s="52" t="s">
        <v>3914</v>
      </c>
    </row>
    <row r="607" spans="1:10" s="191" customFormat="1" x14ac:dyDescent="0.25">
      <c r="A607" s="191" t="s">
        <v>43</v>
      </c>
      <c r="B607" s="192">
        <v>12</v>
      </c>
      <c r="C607" s="51">
        <v>69153.64</v>
      </c>
      <c r="D607" s="51" t="s">
        <v>3885</v>
      </c>
      <c r="E607" s="52" t="s">
        <v>3886</v>
      </c>
      <c r="F607" s="52" t="s">
        <v>3887</v>
      </c>
      <c r="G607" s="52" t="s">
        <v>3888</v>
      </c>
      <c r="H607" s="53">
        <v>43628</v>
      </c>
      <c r="I607" s="52" t="s">
        <v>62</v>
      </c>
    </row>
    <row r="608" spans="1:10" s="191" customFormat="1" x14ac:dyDescent="0.25">
      <c r="A608" s="191" t="s">
        <v>43</v>
      </c>
      <c r="B608" s="192">
        <v>12</v>
      </c>
      <c r="C608" s="51">
        <f>39028.43*G608</f>
        <v>751258.2490699999</v>
      </c>
      <c r="D608" s="51" t="s">
        <v>3808</v>
      </c>
      <c r="E608" s="52" t="s">
        <v>3863</v>
      </c>
      <c r="F608" s="52" t="s">
        <v>3864</v>
      </c>
      <c r="G608" s="58">
        <v>19.248999999999999</v>
      </c>
      <c r="H608" s="52"/>
      <c r="I608" s="53">
        <v>43628</v>
      </c>
      <c r="J608" s="52" t="s">
        <v>62</v>
      </c>
    </row>
    <row r="609" spans="1:12" x14ac:dyDescent="0.25">
      <c r="A609" t="s">
        <v>43</v>
      </c>
      <c r="B609" s="49">
        <v>12</v>
      </c>
      <c r="C609" s="51">
        <f>671305+17416.88</f>
        <v>688721.88</v>
      </c>
      <c r="D609" s="51" t="s">
        <v>3738</v>
      </c>
      <c r="E609" s="52" t="s">
        <v>3740</v>
      </c>
      <c r="F609" s="52" t="s">
        <v>52</v>
      </c>
      <c r="G609" s="53">
        <v>43628</v>
      </c>
      <c r="H609" s="52" t="s">
        <v>55</v>
      </c>
    </row>
    <row r="610" spans="1:12" x14ac:dyDescent="0.25">
      <c r="A610" t="s">
        <v>43</v>
      </c>
      <c r="B610" s="49">
        <v>12</v>
      </c>
      <c r="C610" s="51">
        <f>466705+11377.86</f>
        <v>478082.86</v>
      </c>
      <c r="D610" s="51" t="s">
        <v>3738</v>
      </c>
      <c r="E610" s="52" t="s">
        <v>3741</v>
      </c>
      <c r="F610" s="52" t="s">
        <v>52</v>
      </c>
      <c r="G610" s="53">
        <v>43628</v>
      </c>
      <c r="H610" s="52" t="s">
        <v>55</v>
      </c>
    </row>
    <row r="611" spans="1:12" x14ac:dyDescent="0.25">
      <c r="A611" t="s">
        <v>59</v>
      </c>
      <c r="B611" s="49">
        <v>13</v>
      </c>
      <c r="C611" s="51">
        <v>92124</v>
      </c>
      <c r="D611" s="51" t="s">
        <v>3861</v>
      </c>
      <c r="E611" s="52" t="s">
        <v>3858</v>
      </c>
      <c r="F611" s="52" t="s">
        <v>87</v>
      </c>
      <c r="G611" s="52">
        <v>18</v>
      </c>
      <c r="H611" s="52">
        <v>170619</v>
      </c>
      <c r="I611" s="52" t="s">
        <v>62</v>
      </c>
    </row>
    <row r="612" spans="1:12" x14ac:dyDescent="0.25">
      <c r="A612" t="s">
        <v>59</v>
      </c>
      <c r="B612" s="49">
        <v>13</v>
      </c>
      <c r="C612" s="54">
        <f>39000*G612</f>
        <v>747825</v>
      </c>
      <c r="D612" s="55" t="s">
        <v>3805</v>
      </c>
      <c r="E612" s="55" t="s">
        <v>3975</v>
      </c>
      <c r="F612" s="55" t="s">
        <v>3675</v>
      </c>
      <c r="G612" s="56">
        <v>19.175000000000001</v>
      </c>
      <c r="H612" s="55">
        <v>39.15</v>
      </c>
      <c r="I612" s="57">
        <v>43629</v>
      </c>
      <c r="J612" s="55" t="s">
        <v>62</v>
      </c>
    </row>
    <row r="613" spans="1:12" x14ac:dyDescent="0.25">
      <c r="A613" t="s">
        <v>59</v>
      </c>
      <c r="B613" s="49">
        <v>13</v>
      </c>
      <c r="C613" s="51">
        <f>38570.94*G613</f>
        <v>739597.77450000006</v>
      </c>
      <c r="D613" s="51" t="s">
        <v>3810</v>
      </c>
      <c r="E613" s="52" t="s">
        <v>3878</v>
      </c>
      <c r="F613" s="52" t="s">
        <v>3879</v>
      </c>
      <c r="G613" s="58">
        <v>19.175000000000001</v>
      </c>
      <c r="H613" s="52"/>
      <c r="I613" s="53">
        <v>43629</v>
      </c>
      <c r="J613" s="52" t="s">
        <v>62</v>
      </c>
    </row>
    <row r="614" spans="1:12" x14ac:dyDescent="0.25">
      <c r="A614" t="s">
        <v>59</v>
      </c>
      <c r="B614" s="49">
        <v>13</v>
      </c>
      <c r="C614" s="51">
        <f>790807.5+20130.06</f>
        <v>810937.56</v>
      </c>
      <c r="D614" s="51" t="s">
        <v>3739</v>
      </c>
      <c r="E614" s="52" t="s">
        <v>3742</v>
      </c>
      <c r="F614" s="52" t="s">
        <v>52</v>
      </c>
      <c r="G614" s="53">
        <v>43628</v>
      </c>
      <c r="H614" s="52" t="s">
        <v>55</v>
      </c>
    </row>
    <row r="615" spans="1:12" x14ac:dyDescent="0.25">
      <c r="A615" t="s">
        <v>59</v>
      </c>
      <c r="B615" s="49">
        <v>13</v>
      </c>
      <c r="C615" s="51">
        <f>526837.5+13128.3</f>
        <v>539965.80000000005</v>
      </c>
      <c r="D615" s="51" t="s">
        <v>3739</v>
      </c>
      <c r="E615" s="52" t="s">
        <v>3733</v>
      </c>
      <c r="F615" s="52" t="s">
        <v>52</v>
      </c>
      <c r="G615" s="53">
        <v>43629</v>
      </c>
      <c r="H615" s="52" t="s">
        <v>55</v>
      </c>
    </row>
    <row r="616" spans="1:12" x14ac:dyDescent="0.25">
      <c r="A616" t="s">
        <v>70</v>
      </c>
      <c r="B616" s="49">
        <v>14</v>
      </c>
    </row>
    <row r="617" spans="1:12" x14ac:dyDescent="0.25">
      <c r="A617" t="s">
        <v>70</v>
      </c>
      <c r="B617" s="49">
        <v>14</v>
      </c>
      <c r="C617" s="51">
        <f>40046.43*G617</f>
        <v>768010.43454000005</v>
      </c>
      <c r="D617" s="51" t="s">
        <v>3809</v>
      </c>
      <c r="E617" s="52" t="s">
        <v>3910</v>
      </c>
      <c r="F617" s="52" t="s">
        <v>3911</v>
      </c>
      <c r="G617" s="58">
        <v>19.178000000000001</v>
      </c>
      <c r="H617" s="52">
        <v>43.96</v>
      </c>
      <c r="I617" s="53">
        <v>43630</v>
      </c>
      <c r="J617" s="52" t="s">
        <v>62</v>
      </c>
    </row>
    <row r="618" spans="1:12" x14ac:dyDescent="0.25">
      <c r="A618" t="s">
        <v>70</v>
      </c>
      <c r="B618" s="49">
        <v>14</v>
      </c>
      <c r="C618" s="51">
        <f>37923.94*G618</f>
        <v>727722.48466000007</v>
      </c>
      <c r="D618" s="51" t="s">
        <v>3811</v>
      </c>
      <c r="E618" s="52" t="s">
        <v>3913</v>
      </c>
      <c r="F618" s="52" t="s">
        <v>3912</v>
      </c>
      <c r="G618" s="58">
        <v>19.189</v>
      </c>
      <c r="H618" s="52">
        <v>41.46</v>
      </c>
      <c r="I618" s="53">
        <v>43630</v>
      </c>
      <c r="J618" s="52" t="s">
        <v>62</v>
      </c>
    </row>
    <row r="619" spans="1:12" x14ac:dyDescent="0.25">
      <c r="A619" s="37" t="s">
        <v>89</v>
      </c>
      <c r="B619" s="49">
        <v>15</v>
      </c>
    </row>
    <row r="620" spans="1:12" x14ac:dyDescent="0.25">
      <c r="A620" s="37" t="s">
        <v>90</v>
      </c>
      <c r="B620" s="49">
        <v>16</v>
      </c>
    </row>
    <row r="621" spans="1:12" x14ac:dyDescent="0.25">
      <c r="A621" t="s">
        <v>91</v>
      </c>
      <c r="B621" s="49">
        <v>17</v>
      </c>
      <c r="C621" s="189">
        <f>32000*G621</f>
        <v>615200</v>
      </c>
      <c r="D621" s="159" t="s">
        <v>3806</v>
      </c>
      <c r="E621" s="159"/>
      <c r="F621" s="159" t="s">
        <v>3291</v>
      </c>
      <c r="G621" s="237">
        <v>19.225000000000001</v>
      </c>
      <c r="H621" s="159"/>
      <c r="I621" s="238">
        <v>43633</v>
      </c>
      <c r="J621" s="159" t="s">
        <v>62</v>
      </c>
      <c r="K621" t="s">
        <v>3995</v>
      </c>
    </row>
    <row r="622" spans="1:12" x14ac:dyDescent="0.25">
      <c r="A622" t="s">
        <v>91</v>
      </c>
      <c r="B622" s="49">
        <v>17</v>
      </c>
      <c r="C622" s="51">
        <f>36539*G622</f>
        <v>702096.88500000001</v>
      </c>
      <c r="D622" s="52" t="s">
        <v>3945</v>
      </c>
      <c r="E622" s="52" t="s">
        <v>3943</v>
      </c>
      <c r="F622" s="52" t="s">
        <v>3944</v>
      </c>
      <c r="G622" s="58">
        <v>19.215</v>
      </c>
      <c r="H622" s="52">
        <v>39.51</v>
      </c>
      <c r="I622" s="53">
        <v>43633</v>
      </c>
      <c r="J622" s="52" t="s">
        <v>62</v>
      </c>
      <c r="K622" s="191"/>
      <c r="L622" s="191"/>
    </row>
    <row r="623" spans="1:12" x14ac:dyDescent="0.25">
      <c r="A623" t="s">
        <v>91</v>
      </c>
      <c r="B623" s="49">
        <v>17</v>
      </c>
      <c r="C623" s="51">
        <f>745387.5+17504.4</f>
        <v>762891.9</v>
      </c>
      <c r="D623" s="52" t="s">
        <v>3827</v>
      </c>
      <c r="E623" s="52" t="s">
        <v>3832</v>
      </c>
      <c r="F623" s="52" t="s">
        <v>52</v>
      </c>
      <c r="G623" s="53">
        <v>43633</v>
      </c>
      <c r="H623" s="52" t="s">
        <v>55</v>
      </c>
    </row>
    <row r="624" spans="1:12" x14ac:dyDescent="0.25">
      <c r="A624" t="s">
        <v>91</v>
      </c>
      <c r="B624" s="49">
        <v>17</v>
      </c>
      <c r="C624" s="51">
        <f>529750+11465.38</f>
        <v>541215.38</v>
      </c>
      <c r="D624" s="52" t="s">
        <v>3827</v>
      </c>
      <c r="E624" s="52" t="s">
        <v>3833</v>
      </c>
      <c r="F624" s="52" t="s">
        <v>52</v>
      </c>
      <c r="G624" s="53">
        <v>43630</v>
      </c>
      <c r="H624" s="52" t="s">
        <v>55</v>
      </c>
    </row>
    <row r="625" spans="1:10" x14ac:dyDescent="0.25">
      <c r="A625" t="s">
        <v>91</v>
      </c>
      <c r="B625" s="49">
        <v>17</v>
      </c>
      <c r="C625" s="51">
        <f>845650+19342.36</f>
        <v>864992.36</v>
      </c>
      <c r="D625" s="52" t="s">
        <v>3834</v>
      </c>
      <c r="E625" s="52" t="s">
        <v>3757</v>
      </c>
      <c r="F625" s="52" t="s">
        <v>52</v>
      </c>
      <c r="G625" s="53">
        <v>43634</v>
      </c>
      <c r="H625" s="52" t="s">
        <v>55</v>
      </c>
    </row>
    <row r="626" spans="1:10" x14ac:dyDescent="0.25">
      <c r="A626" t="s">
        <v>122</v>
      </c>
      <c r="B626" s="49">
        <v>18</v>
      </c>
      <c r="C626" s="51">
        <f>780325+19254.84</f>
        <v>799579.84</v>
      </c>
      <c r="D626" s="52" t="s">
        <v>3841</v>
      </c>
      <c r="E626" s="52" t="s">
        <v>3758</v>
      </c>
      <c r="F626" s="52" t="s">
        <v>52</v>
      </c>
      <c r="G626" s="53">
        <v>43635</v>
      </c>
      <c r="H626" s="52" t="s">
        <v>55</v>
      </c>
    </row>
    <row r="627" spans="1:10" x14ac:dyDescent="0.25">
      <c r="A627" t="s">
        <v>122</v>
      </c>
      <c r="B627" s="49">
        <v>18</v>
      </c>
      <c r="C627" s="51">
        <f>758712.5+19254.84</f>
        <v>777967.34</v>
      </c>
      <c r="D627" s="52" t="s">
        <v>3843</v>
      </c>
      <c r="E627" s="52" t="s">
        <v>3842</v>
      </c>
      <c r="F627" s="52" t="s">
        <v>52</v>
      </c>
      <c r="G627" s="53">
        <v>43633</v>
      </c>
      <c r="H627" s="52" t="s">
        <v>55</v>
      </c>
    </row>
    <row r="628" spans="1:10" x14ac:dyDescent="0.25">
      <c r="A628" t="s">
        <v>122</v>
      </c>
      <c r="B628" s="49">
        <v>18</v>
      </c>
      <c r="C628" s="51">
        <f>112775+2625.66</f>
        <v>115400.66</v>
      </c>
      <c r="D628" s="52" t="s">
        <v>3844</v>
      </c>
      <c r="E628" s="52" t="s">
        <v>3845</v>
      </c>
      <c r="F628" s="52" t="s">
        <v>52</v>
      </c>
      <c r="G628" s="53">
        <v>43635</v>
      </c>
      <c r="H628" s="52" t="s">
        <v>55</v>
      </c>
    </row>
    <row r="629" spans="1:10" x14ac:dyDescent="0.25">
      <c r="A629" t="s">
        <v>43</v>
      </c>
      <c r="B629" s="49">
        <v>19</v>
      </c>
      <c r="C629" s="54">
        <f>32000*G629</f>
        <v>613408</v>
      </c>
      <c r="D629" s="55" t="s">
        <v>3941</v>
      </c>
      <c r="E629" s="55" t="s">
        <v>4069</v>
      </c>
      <c r="F629" s="55" t="s">
        <v>3291</v>
      </c>
      <c r="G629" s="56">
        <v>19.169</v>
      </c>
      <c r="H629" s="55">
        <v>34.28</v>
      </c>
      <c r="I629" s="57">
        <v>43635</v>
      </c>
      <c r="J629" s="55" t="s">
        <v>62</v>
      </c>
    </row>
    <row r="630" spans="1:10" x14ac:dyDescent="0.25">
      <c r="A630" t="s">
        <v>43</v>
      </c>
      <c r="B630" s="49">
        <v>19</v>
      </c>
      <c r="C630" s="51">
        <v>61812</v>
      </c>
      <c r="D630" s="52" t="s">
        <v>3904</v>
      </c>
      <c r="E630" s="52" t="s">
        <v>3929</v>
      </c>
      <c r="F630" s="52" t="s">
        <v>87</v>
      </c>
      <c r="G630" s="52">
        <v>18</v>
      </c>
      <c r="H630" s="53">
        <v>43635</v>
      </c>
      <c r="I630" s="52" t="s">
        <v>62</v>
      </c>
    </row>
    <row r="631" spans="1:10" x14ac:dyDescent="0.25">
      <c r="A631" t="s">
        <v>43</v>
      </c>
      <c r="B631" s="49">
        <v>19</v>
      </c>
      <c r="C631" s="51">
        <v>5158.5600000000004</v>
      </c>
      <c r="D631" s="52" t="s">
        <v>3933</v>
      </c>
      <c r="E631" s="52" t="s">
        <v>3932</v>
      </c>
      <c r="F631" s="52" t="s">
        <v>2364</v>
      </c>
      <c r="G631" s="52">
        <v>22</v>
      </c>
      <c r="H631" s="52">
        <v>170619</v>
      </c>
      <c r="I631" s="52" t="s">
        <v>62</v>
      </c>
    </row>
    <row r="632" spans="1:10" x14ac:dyDescent="0.25">
      <c r="A632" t="s">
        <v>43</v>
      </c>
      <c r="B632" s="49">
        <v>19</v>
      </c>
      <c r="C632" s="51">
        <f>756437.5+17504.4</f>
        <v>773941.9</v>
      </c>
      <c r="D632" s="52" t="s">
        <v>3846</v>
      </c>
      <c r="E632" s="52" t="s">
        <v>3824</v>
      </c>
      <c r="F632" s="52" t="s">
        <v>52</v>
      </c>
      <c r="G632" s="53">
        <v>43636</v>
      </c>
      <c r="H632" s="52" t="s">
        <v>55</v>
      </c>
    </row>
    <row r="633" spans="1:10" x14ac:dyDescent="0.25">
      <c r="A633" t="s">
        <v>43</v>
      </c>
      <c r="B633" s="49">
        <v>19</v>
      </c>
      <c r="C633" s="51">
        <f>447037.5+11377.86</f>
        <v>458415.35999999999</v>
      </c>
      <c r="D633" s="52" t="s">
        <v>3848</v>
      </c>
      <c r="E633" s="52" t="s">
        <v>3847</v>
      </c>
      <c r="F633" s="52" t="s">
        <v>52</v>
      </c>
      <c r="G633" s="53">
        <v>43635</v>
      </c>
      <c r="H633" s="52" t="s">
        <v>55</v>
      </c>
    </row>
    <row r="634" spans="1:10" x14ac:dyDescent="0.25">
      <c r="A634" t="s">
        <v>59</v>
      </c>
      <c r="B634" s="49">
        <v>20</v>
      </c>
      <c r="C634" s="54">
        <f>32000*G634</f>
        <v>615008</v>
      </c>
      <c r="D634" s="55" t="s">
        <v>3942</v>
      </c>
      <c r="E634" s="55" t="s">
        <v>4068</v>
      </c>
      <c r="F634" s="55" t="s">
        <v>3291</v>
      </c>
      <c r="G634" s="56">
        <v>19.219000000000001</v>
      </c>
      <c r="H634" s="55">
        <v>34.520000000000003</v>
      </c>
      <c r="I634" s="57">
        <v>43636</v>
      </c>
      <c r="J634" s="55" t="s">
        <v>62</v>
      </c>
    </row>
    <row r="635" spans="1:10" s="191" customFormat="1" x14ac:dyDescent="0.25">
      <c r="A635" s="191" t="s">
        <v>59</v>
      </c>
      <c r="B635" s="192">
        <v>20</v>
      </c>
      <c r="C635" s="51">
        <f>35872.92*G635</f>
        <v>689441.64948000002</v>
      </c>
      <c r="D635" s="52" t="s">
        <v>3946</v>
      </c>
      <c r="E635" s="52" t="s">
        <v>3982</v>
      </c>
      <c r="F635" s="52" t="s">
        <v>3983</v>
      </c>
      <c r="G635" s="58">
        <v>19.219000000000001</v>
      </c>
      <c r="H635" s="52">
        <v>38.94</v>
      </c>
      <c r="I635" s="53">
        <v>43636</v>
      </c>
      <c r="J635" s="52" t="s">
        <v>62</v>
      </c>
    </row>
    <row r="636" spans="1:10" x14ac:dyDescent="0.25">
      <c r="A636" s="191" t="s">
        <v>59</v>
      </c>
      <c r="B636" s="49">
        <v>20</v>
      </c>
      <c r="C636" s="51">
        <f>791342.5+17504.4</f>
        <v>808846.9</v>
      </c>
      <c r="D636" s="52" t="s">
        <v>3849</v>
      </c>
      <c r="E636" s="52" t="s">
        <v>3850</v>
      </c>
      <c r="F636" s="52" t="s">
        <v>52</v>
      </c>
      <c r="G636" s="53">
        <v>43637</v>
      </c>
      <c r="H636" s="52" t="s">
        <v>55</v>
      </c>
    </row>
    <row r="637" spans="1:10" x14ac:dyDescent="0.25">
      <c r="A637" t="s">
        <v>59</v>
      </c>
      <c r="B637" s="49">
        <v>20</v>
      </c>
      <c r="C637" s="51">
        <f>642362.5+15753.96</f>
        <v>658116.46</v>
      </c>
      <c r="D637" s="52" t="s">
        <v>3852</v>
      </c>
      <c r="E637" s="52" t="s">
        <v>3851</v>
      </c>
      <c r="F637" s="52" t="s">
        <v>52</v>
      </c>
      <c r="G637" s="53">
        <v>43637</v>
      </c>
      <c r="H637" s="52" t="s">
        <v>55</v>
      </c>
    </row>
    <row r="638" spans="1:10" x14ac:dyDescent="0.25">
      <c r="A638" t="s">
        <v>70</v>
      </c>
      <c r="B638" s="49">
        <v>21</v>
      </c>
      <c r="C638" s="51">
        <f>35483.96*G638</f>
        <v>678808.1547999999</v>
      </c>
      <c r="D638" s="52" t="s">
        <v>3947</v>
      </c>
      <c r="E638" s="52" t="s">
        <v>3980</v>
      </c>
      <c r="F638" s="52" t="s">
        <v>3981</v>
      </c>
      <c r="G638" s="58">
        <v>19.13</v>
      </c>
      <c r="H638" s="52">
        <v>38.700000000000003</v>
      </c>
      <c r="I638" s="53">
        <v>43636</v>
      </c>
    </row>
    <row r="639" spans="1:10" x14ac:dyDescent="0.25">
      <c r="A639" t="s">
        <v>70</v>
      </c>
      <c r="B639" s="49">
        <v>21</v>
      </c>
      <c r="C639" s="51">
        <f>808311.21-3620.26</f>
        <v>804690.95</v>
      </c>
      <c r="D639" s="52" t="s">
        <v>3862</v>
      </c>
      <c r="E639" s="52" t="s">
        <v>3897</v>
      </c>
      <c r="F639" s="52" t="s">
        <v>3188</v>
      </c>
      <c r="G639" s="52">
        <v>88.5</v>
      </c>
      <c r="H639" s="52" t="s">
        <v>3898</v>
      </c>
      <c r="I639" s="52">
        <v>210619</v>
      </c>
      <c r="J639" s="52" t="s">
        <v>62</v>
      </c>
    </row>
    <row r="640" spans="1:10" x14ac:dyDescent="0.25">
      <c r="A640" s="37" t="s">
        <v>89</v>
      </c>
      <c r="B640" s="49">
        <v>22</v>
      </c>
    </row>
    <row r="641" spans="1:13" x14ac:dyDescent="0.25">
      <c r="A641" s="37" t="s">
        <v>90</v>
      </c>
      <c r="B641" s="49">
        <v>23</v>
      </c>
    </row>
    <row r="642" spans="1:13" x14ac:dyDescent="0.25">
      <c r="A642" t="s">
        <v>91</v>
      </c>
      <c r="B642" s="49">
        <v>24</v>
      </c>
      <c r="C642" s="54">
        <f>32000*G642</f>
        <v>615200</v>
      </c>
      <c r="D642" s="55" t="s">
        <v>3994</v>
      </c>
      <c r="E642" s="55" t="s">
        <v>4070</v>
      </c>
      <c r="F642" s="55" t="s">
        <v>3291</v>
      </c>
      <c r="G642" s="56">
        <v>19.225000000000001</v>
      </c>
      <c r="H642" s="55">
        <v>34.619999999999997</v>
      </c>
      <c r="I642" s="57">
        <v>43633</v>
      </c>
      <c r="J642" s="55" t="s">
        <v>62</v>
      </c>
    </row>
    <row r="643" spans="1:13" s="191" customFormat="1" x14ac:dyDescent="0.25">
      <c r="A643" s="191" t="s">
        <v>91</v>
      </c>
      <c r="B643" s="192">
        <v>24</v>
      </c>
      <c r="C643" s="51">
        <f>31196.08*G643</f>
        <v>599619.85368000006</v>
      </c>
      <c r="D643" s="52" t="s">
        <v>4005</v>
      </c>
      <c r="E643" s="52" t="s">
        <v>4006</v>
      </c>
      <c r="F643" s="52" t="s">
        <v>4007</v>
      </c>
      <c r="G643" s="58">
        <v>19.221</v>
      </c>
      <c r="H643" s="52">
        <v>34.01</v>
      </c>
      <c r="I643" s="53">
        <v>43640</v>
      </c>
      <c r="J643" s="52" t="s">
        <v>62</v>
      </c>
    </row>
    <row r="644" spans="1:13" s="191" customFormat="1" x14ac:dyDescent="0.25">
      <c r="A644" s="191" t="s">
        <v>91</v>
      </c>
      <c r="B644" s="192">
        <v>24</v>
      </c>
      <c r="C644" s="51">
        <f>31218.21*G644</f>
        <v>600013.99619999994</v>
      </c>
      <c r="D644" s="52" t="s">
        <v>4010</v>
      </c>
      <c r="E644" s="52" t="s">
        <v>4009</v>
      </c>
      <c r="F644" s="52" t="s">
        <v>4008</v>
      </c>
      <c r="G644" s="58">
        <v>19.22</v>
      </c>
      <c r="H644" s="52">
        <v>34.29</v>
      </c>
      <c r="I644" s="53">
        <v>43640</v>
      </c>
      <c r="J644" s="52" t="s">
        <v>62</v>
      </c>
    </row>
    <row r="645" spans="1:13" s="191" customFormat="1" x14ac:dyDescent="0.25">
      <c r="A645" s="191" t="s">
        <v>91</v>
      </c>
      <c r="B645" s="192">
        <v>24</v>
      </c>
      <c r="C645" s="51">
        <v>914838.33</v>
      </c>
      <c r="D645" s="52" t="s">
        <v>3904</v>
      </c>
      <c r="E645" s="52" t="s">
        <v>3903</v>
      </c>
      <c r="F645" s="52" t="s">
        <v>1798</v>
      </c>
      <c r="G645" s="51">
        <v>49</v>
      </c>
      <c r="H645" s="53">
        <v>43643</v>
      </c>
      <c r="I645" s="52" t="s">
        <v>62</v>
      </c>
    </row>
    <row r="646" spans="1:13" s="191" customFormat="1" x14ac:dyDescent="0.25">
      <c r="A646" s="191" t="s">
        <v>91</v>
      </c>
      <c r="B646" s="192">
        <v>24</v>
      </c>
      <c r="C646" s="51">
        <v>21057.54</v>
      </c>
      <c r="D646" s="52" t="s">
        <v>4098</v>
      </c>
      <c r="E646" s="52" t="s">
        <v>4096</v>
      </c>
      <c r="F646" s="52" t="s">
        <v>2364</v>
      </c>
      <c r="G646" s="51">
        <v>21</v>
      </c>
      <c r="H646" s="53">
        <v>43644</v>
      </c>
      <c r="I646" s="52" t="s">
        <v>62</v>
      </c>
    </row>
    <row r="647" spans="1:13" x14ac:dyDescent="0.25">
      <c r="A647" t="s">
        <v>91</v>
      </c>
      <c r="B647" s="49">
        <v>24</v>
      </c>
      <c r="C647" s="51">
        <f>793815+17504.4-3969.24</f>
        <v>807350.16</v>
      </c>
      <c r="D647" s="52" t="s">
        <v>3867</v>
      </c>
      <c r="E647" s="52" t="s">
        <v>3868</v>
      </c>
      <c r="F647" s="52" t="s">
        <v>52</v>
      </c>
      <c r="G647" s="53">
        <v>43640</v>
      </c>
      <c r="H647" s="52" t="s">
        <v>55</v>
      </c>
    </row>
    <row r="648" spans="1:13" x14ac:dyDescent="0.25">
      <c r="A648" t="s">
        <v>91</v>
      </c>
      <c r="B648" s="49">
        <v>24</v>
      </c>
      <c r="C648" s="51">
        <f>249810+5251.32</f>
        <v>255061.32</v>
      </c>
      <c r="D648" s="52" t="s">
        <v>3870</v>
      </c>
      <c r="E648" s="52" t="s">
        <v>3869</v>
      </c>
      <c r="F648" s="52" t="s">
        <v>52</v>
      </c>
      <c r="G648" s="53">
        <v>43640</v>
      </c>
      <c r="H648" s="52" t="s">
        <v>55</v>
      </c>
    </row>
    <row r="649" spans="1:13" x14ac:dyDescent="0.25">
      <c r="A649" t="s">
        <v>91</v>
      </c>
      <c r="B649" s="49">
        <v>24</v>
      </c>
      <c r="C649" s="51">
        <f>859155+19167.32</f>
        <v>878322.32</v>
      </c>
      <c r="D649" s="52" t="s">
        <v>3890</v>
      </c>
      <c r="E649" s="52" t="s">
        <v>1890</v>
      </c>
      <c r="F649" s="52" t="s">
        <v>52</v>
      </c>
      <c r="G649" s="53">
        <v>43640</v>
      </c>
      <c r="H649" s="52" t="s">
        <v>55</v>
      </c>
    </row>
    <row r="650" spans="1:13" x14ac:dyDescent="0.25">
      <c r="A650" t="s">
        <v>91</v>
      </c>
      <c r="B650" s="49">
        <v>24</v>
      </c>
      <c r="C650" s="51">
        <f>146850+3500.88</f>
        <v>150350.88</v>
      </c>
      <c r="D650" s="52" t="s">
        <v>3892</v>
      </c>
      <c r="E650" s="52" t="s">
        <v>3891</v>
      </c>
      <c r="F650" s="52" t="s">
        <v>52</v>
      </c>
      <c r="G650" s="53">
        <v>43641</v>
      </c>
      <c r="H650" s="52" t="s">
        <v>55</v>
      </c>
    </row>
    <row r="651" spans="1:13" x14ac:dyDescent="0.25">
      <c r="A651" t="s">
        <v>122</v>
      </c>
      <c r="B651" s="49">
        <v>25</v>
      </c>
      <c r="C651" s="189">
        <f>27000*G651</f>
        <v>520262.99999999994</v>
      </c>
      <c r="D651" s="159" t="s">
        <v>4000</v>
      </c>
      <c r="E651" s="48" t="s">
        <v>230</v>
      </c>
      <c r="F651" s="159" t="s">
        <v>2516</v>
      </c>
      <c r="G651" s="237">
        <v>19.268999999999998</v>
      </c>
      <c r="H651" s="159"/>
      <c r="I651" s="238">
        <v>43640</v>
      </c>
      <c r="J651" s="159" t="s">
        <v>62</v>
      </c>
      <c r="K651" s="98" t="s">
        <v>4075</v>
      </c>
      <c r="L651" s="98"/>
      <c r="M651" s="98"/>
    </row>
    <row r="652" spans="1:13" x14ac:dyDescent="0.25">
      <c r="A652" t="s">
        <v>122</v>
      </c>
      <c r="B652" s="49">
        <v>25</v>
      </c>
      <c r="C652" s="54">
        <f>27000*G652</f>
        <v>520262.99999999994</v>
      </c>
      <c r="D652" s="55" t="s">
        <v>4001</v>
      </c>
      <c r="E652" s="55" t="s">
        <v>4126</v>
      </c>
      <c r="F652" s="55" t="s">
        <v>2516</v>
      </c>
      <c r="G652" s="56">
        <v>19.268999999999998</v>
      </c>
      <c r="H652" s="55">
        <v>33.15</v>
      </c>
      <c r="I652" s="57">
        <v>43640</v>
      </c>
      <c r="J652" s="55" t="s">
        <v>62</v>
      </c>
    </row>
    <row r="653" spans="1:13" x14ac:dyDescent="0.25">
      <c r="A653" t="s">
        <v>122</v>
      </c>
      <c r="B653" s="49">
        <v>25</v>
      </c>
      <c r="C653" s="51">
        <f>863940+19254.84</f>
        <v>883194.84</v>
      </c>
      <c r="D653" s="52" t="s">
        <v>3895</v>
      </c>
      <c r="E653" s="52" t="s">
        <v>3894</v>
      </c>
      <c r="F653" s="52" t="s">
        <v>52</v>
      </c>
      <c r="G653" s="53">
        <v>43641</v>
      </c>
      <c r="H653" s="52" t="s">
        <v>55</v>
      </c>
    </row>
    <row r="654" spans="1:13" x14ac:dyDescent="0.25">
      <c r="A654" t="s">
        <v>122</v>
      </c>
      <c r="B654" s="49">
        <v>25</v>
      </c>
      <c r="C654" s="51">
        <f>815430+19254.84</f>
        <v>834684.84</v>
      </c>
      <c r="D654" s="52" t="s">
        <v>3918</v>
      </c>
      <c r="E654" s="52" t="s">
        <v>3915</v>
      </c>
      <c r="F654" s="52" t="s">
        <v>52</v>
      </c>
      <c r="G654" s="53">
        <v>43641</v>
      </c>
      <c r="H654" s="52" t="s">
        <v>55</v>
      </c>
    </row>
    <row r="655" spans="1:13" x14ac:dyDescent="0.25">
      <c r="A655" t="s">
        <v>43</v>
      </c>
      <c r="B655" s="49">
        <v>26</v>
      </c>
      <c r="C655" s="51">
        <f>904332.5+20130.06</f>
        <v>924462.56</v>
      </c>
      <c r="D655" s="52" t="s">
        <v>3934</v>
      </c>
      <c r="E655" s="52" t="s">
        <v>3935</v>
      </c>
      <c r="F655" s="52" t="s">
        <v>52</v>
      </c>
      <c r="G655" s="53">
        <v>43642</v>
      </c>
      <c r="H655" s="52" t="s">
        <v>55</v>
      </c>
    </row>
    <row r="656" spans="1:13" x14ac:dyDescent="0.25">
      <c r="A656" t="s">
        <v>43</v>
      </c>
      <c r="B656" s="49">
        <v>26</v>
      </c>
      <c r="C656" s="51">
        <f>515230+11377.86</f>
        <v>526607.86</v>
      </c>
      <c r="D656" s="52" t="s">
        <v>3937</v>
      </c>
      <c r="E656" s="52" t="s">
        <v>3936</v>
      </c>
      <c r="F656" s="52" t="s">
        <v>52</v>
      </c>
      <c r="G656" s="53">
        <v>43642</v>
      </c>
      <c r="H656" s="52" t="s">
        <v>55</v>
      </c>
    </row>
    <row r="657" spans="1:10" x14ac:dyDescent="0.25">
      <c r="A657" t="s">
        <v>43</v>
      </c>
      <c r="B657" s="49">
        <v>26</v>
      </c>
      <c r="C657" s="51">
        <v>81377</v>
      </c>
      <c r="D657" s="52" t="s">
        <v>4100</v>
      </c>
      <c r="E657" s="52" t="s">
        <v>4099</v>
      </c>
      <c r="F657" s="52" t="s">
        <v>87</v>
      </c>
      <c r="G657" s="51">
        <v>19</v>
      </c>
      <c r="H657" s="53">
        <v>43644</v>
      </c>
      <c r="I657" s="52" t="s">
        <v>62</v>
      </c>
    </row>
    <row r="658" spans="1:10" x14ac:dyDescent="0.25">
      <c r="A658" t="s">
        <v>59</v>
      </c>
      <c r="B658" s="49">
        <v>27</v>
      </c>
      <c r="C658" s="54">
        <f>29000*G658</f>
        <v>557815</v>
      </c>
      <c r="D658" s="55" t="s">
        <v>4002</v>
      </c>
      <c r="E658" s="55" t="s">
        <v>4153</v>
      </c>
      <c r="F658" s="55" t="s">
        <v>2659</v>
      </c>
      <c r="G658" s="56">
        <v>19.234999999999999</v>
      </c>
      <c r="H658" s="55">
        <v>32.909999999999997</v>
      </c>
      <c r="I658" s="57">
        <v>43643</v>
      </c>
      <c r="J658" s="55" t="s">
        <v>62</v>
      </c>
    </row>
    <row r="659" spans="1:10" x14ac:dyDescent="0.25">
      <c r="A659" t="s">
        <v>59</v>
      </c>
      <c r="B659" s="49">
        <v>27</v>
      </c>
      <c r="C659" s="54">
        <f>29000*G659</f>
        <v>557815</v>
      </c>
      <c r="D659" s="55" t="s">
        <v>4003</v>
      </c>
      <c r="E659" s="55" t="s">
        <v>4154</v>
      </c>
      <c r="F659" s="55" t="s">
        <v>2659</v>
      </c>
      <c r="G659" s="56">
        <v>19.234999999999999</v>
      </c>
      <c r="H659" s="55">
        <v>32.83</v>
      </c>
      <c r="I659" s="57">
        <v>43643</v>
      </c>
      <c r="J659" s="55" t="s">
        <v>62</v>
      </c>
    </row>
    <row r="660" spans="1:10" x14ac:dyDescent="0.25">
      <c r="A660" s="191" t="s">
        <v>59</v>
      </c>
      <c r="B660" s="49">
        <v>27</v>
      </c>
      <c r="C660" s="51">
        <f>817902.5+19254.84</f>
        <v>837157.34</v>
      </c>
      <c r="D660" s="52" t="s">
        <v>3938</v>
      </c>
      <c r="E660" s="52" t="s">
        <v>3939</v>
      </c>
      <c r="F660" s="52" t="s">
        <v>52</v>
      </c>
      <c r="G660" s="53">
        <v>43643</v>
      </c>
      <c r="H660" s="52" t="s">
        <v>55</v>
      </c>
    </row>
    <row r="661" spans="1:10" x14ac:dyDescent="0.25">
      <c r="A661" t="s">
        <v>59</v>
      </c>
      <c r="B661" s="49">
        <v>27</v>
      </c>
      <c r="C661" s="51">
        <f>649900+14091.04</f>
        <v>663991.04000000004</v>
      </c>
      <c r="D661" s="52" t="s">
        <v>3938</v>
      </c>
      <c r="E661" s="52" t="s">
        <v>3923</v>
      </c>
      <c r="F661" s="52" t="s">
        <v>52</v>
      </c>
      <c r="G661" s="53">
        <v>43647</v>
      </c>
      <c r="H661" s="52" t="s">
        <v>55</v>
      </c>
    </row>
    <row r="662" spans="1:10" x14ac:dyDescent="0.25">
      <c r="A662" t="s">
        <v>70</v>
      </c>
      <c r="B662" s="49">
        <v>28</v>
      </c>
      <c r="C662" s="51">
        <f>29587.12*G662</f>
        <v>567806.4199199999</v>
      </c>
      <c r="D662" s="52" t="s">
        <v>4025</v>
      </c>
      <c r="E662" s="52" t="s">
        <v>4043</v>
      </c>
      <c r="F662" s="52" t="s">
        <v>4044</v>
      </c>
      <c r="G662" s="58">
        <v>19.190999999999999</v>
      </c>
      <c r="H662" s="52">
        <v>32.5</v>
      </c>
      <c r="I662" s="53">
        <v>43644</v>
      </c>
      <c r="J662" s="52" t="s">
        <v>62</v>
      </c>
    </row>
    <row r="663" spans="1:10" x14ac:dyDescent="0.25">
      <c r="A663" t="s">
        <v>70</v>
      </c>
      <c r="B663" s="49">
        <v>28</v>
      </c>
      <c r="C663" s="51">
        <f>28449.57*G663</f>
        <v>545947.24829999998</v>
      </c>
      <c r="D663" s="52" t="s">
        <v>4026</v>
      </c>
      <c r="E663" s="52" t="s">
        <v>4039</v>
      </c>
      <c r="F663" s="52" t="s">
        <v>4040</v>
      </c>
      <c r="G663" s="58">
        <v>19.190000000000001</v>
      </c>
      <c r="H663" s="52">
        <v>32.47</v>
      </c>
      <c r="I663" s="53">
        <v>43644</v>
      </c>
      <c r="J663" s="52" t="s">
        <v>62</v>
      </c>
    </row>
    <row r="664" spans="1:10" x14ac:dyDescent="0.25">
      <c r="A664" t="s">
        <v>70</v>
      </c>
      <c r="B664" s="49">
        <v>28</v>
      </c>
      <c r="C664" s="51">
        <f>29570.63*G664</f>
        <v>568258.79671000002</v>
      </c>
      <c r="D664" s="52" t="s">
        <v>4088</v>
      </c>
      <c r="E664" s="52" t="s">
        <v>4089</v>
      </c>
      <c r="F664" s="52" t="s">
        <v>4090</v>
      </c>
      <c r="G664" s="58">
        <v>19.216999999999999</v>
      </c>
      <c r="H664" s="52">
        <v>32.65</v>
      </c>
      <c r="I664" s="53">
        <v>43644</v>
      </c>
      <c r="J664" s="52" t="s">
        <v>62</v>
      </c>
    </row>
    <row r="665" spans="1:10" x14ac:dyDescent="0.25">
      <c r="A665" t="s">
        <v>70</v>
      </c>
      <c r="B665" s="49">
        <v>28</v>
      </c>
      <c r="C665" s="51">
        <v>65987</v>
      </c>
      <c r="D665" s="52" t="s">
        <v>4102</v>
      </c>
      <c r="E665" s="52" t="s">
        <v>4101</v>
      </c>
      <c r="F665" s="52" t="s">
        <v>87</v>
      </c>
      <c r="G665" s="51">
        <v>19</v>
      </c>
      <c r="H665" s="53">
        <v>43644</v>
      </c>
      <c r="I665" s="52" t="s">
        <v>62</v>
      </c>
      <c r="J665" s="52"/>
    </row>
    <row r="666" spans="1:10" x14ac:dyDescent="0.25">
      <c r="A666" s="37" t="s">
        <v>89</v>
      </c>
      <c r="B666" s="49">
        <v>29</v>
      </c>
    </row>
    <row r="667" spans="1:10" x14ac:dyDescent="0.25">
      <c r="A667" s="37" t="s">
        <v>90</v>
      </c>
      <c r="B667" s="49">
        <v>30</v>
      </c>
    </row>
    <row r="668" spans="1:10" x14ac:dyDescent="0.25">
      <c r="A668" s="61" t="s">
        <v>3948</v>
      </c>
    </row>
    <row r="669" spans="1:10" x14ac:dyDescent="0.25">
      <c r="A669" t="s">
        <v>91</v>
      </c>
      <c r="B669" s="49">
        <v>1</v>
      </c>
      <c r="C669" s="54">
        <f>29000*G669</f>
        <v>557293</v>
      </c>
      <c r="D669" s="55" t="s">
        <v>4004</v>
      </c>
      <c r="E669" s="55" t="s">
        <v>4183</v>
      </c>
      <c r="F669" s="55" t="s">
        <v>2659</v>
      </c>
      <c r="G669" s="54">
        <v>19.216999999999999</v>
      </c>
      <c r="H669" s="55">
        <v>32.700000000000003</v>
      </c>
      <c r="I669" s="57">
        <v>43644</v>
      </c>
      <c r="J669" s="55" t="s">
        <v>62</v>
      </c>
    </row>
    <row r="670" spans="1:10" s="191" customFormat="1" x14ac:dyDescent="0.25">
      <c r="A670" s="191" t="s">
        <v>91</v>
      </c>
      <c r="B670" s="192">
        <v>1</v>
      </c>
      <c r="C670" s="51">
        <f>779042.5+17504.4</f>
        <v>796546.9</v>
      </c>
      <c r="D670" s="52" t="s">
        <v>3960</v>
      </c>
      <c r="E670" s="52" t="s">
        <v>3949</v>
      </c>
      <c r="F670" s="52" t="s">
        <v>52</v>
      </c>
      <c r="G670" s="53">
        <v>43647</v>
      </c>
      <c r="H670" s="52" t="s">
        <v>55</v>
      </c>
    </row>
    <row r="671" spans="1:10" s="191" customFormat="1" x14ac:dyDescent="0.25">
      <c r="A671" s="191" t="s">
        <v>91</v>
      </c>
      <c r="B671" s="192">
        <v>1</v>
      </c>
      <c r="C671" s="51">
        <f>507190+11377.86</f>
        <v>518567.86</v>
      </c>
      <c r="D671" s="52" t="s">
        <v>3962</v>
      </c>
      <c r="E671" s="52" t="s">
        <v>3961</v>
      </c>
      <c r="F671" s="52" t="s">
        <v>52</v>
      </c>
      <c r="G671" s="53">
        <v>43647</v>
      </c>
      <c r="H671" s="52" t="s">
        <v>55</v>
      </c>
    </row>
    <row r="672" spans="1:10" s="191" customFormat="1" x14ac:dyDescent="0.25">
      <c r="A672" s="191" t="s">
        <v>91</v>
      </c>
      <c r="B672" s="192">
        <v>1</v>
      </c>
      <c r="C672" s="51">
        <f>840012.5+20130.06</f>
        <v>860142.56</v>
      </c>
      <c r="D672" s="52" t="s">
        <v>3963</v>
      </c>
      <c r="E672" s="52" t="s">
        <v>3964</v>
      </c>
      <c r="F672" s="52" t="s">
        <v>52</v>
      </c>
      <c r="G672" s="53">
        <v>43647</v>
      </c>
      <c r="H672" s="52" t="s">
        <v>55</v>
      </c>
    </row>
    <row r="673" spans="1:10" x14ac:dyDescent="0.25">
      <c r="A673" t="s">
        <v>91</v>
      </c>
      <c r="B673" s="49">
        <v>1</v>
      </c>
      <c r="C673" s="51">
        <f>75710+1750.44</f>
        <v>77460.44</v>
      </c>
      <c r="D673" s="52" t="s">
        <v>3966</v>
      </c>
      <c r="E673" s="52" t="s">
        <v>3965</v>
      </c>
      <c r="F673" s="52" t="s">
        <v>52</v>
      </c>
      <c r="G673" s="53">
        <v>43647</v>
      </c>
      <c r="H673" s="52" t="s">
        <v>55</v>
      </c>
    </row>
    <row r="674" spans="1:10" x14ac:dyDescent="0.25">
      <c r="A674" t="s">
        <v>91</v>
      </c>
      <c r="B674" s="49">
        <v>1</v>
      </c>
      <c r="C674" s="51">
        <v>92153.64</v>
      </c>
      <c r="D674" s="52" t="s">
        <v>4217</v>
      </c>
      <c r="E674" s="52" t="s">
        <v>4218</v>
      </c>
      <c r="F674" s="52" t="s">
        <v>4219</v>
      </c>
      <c r="G674" s="53" t="s">
        <v>4220</v>
      </c>
      <c r="H674" s="53">
        <v>43647</v>
      </c>
      <c r="I674" s="52" t="s">
        <v>62</v>
      </c>
    </row>
    <row r="675" spans="1:10" x14ac:dyDescent="0.25">
      <c r="A675" t="s">
        <v>122</v>
      </c>
      <c r="B675" s="49">
        <v>2</v>
      </c>
      <c r="C675" s="54">
        <f>27000*G675</f>
        <v>520262.99999999994</v>
      </c>
      <c r="D675" s="55" t="s">
        <v>4071</v>
      </c>
      <c r="E675" s="55" t="s">
        <v>4250</v>
      </c>
      <c r="F675" s="55" t="s">
        <v>2516</v>
      </c>
      <c r="G675" s="56">
        <v>19.268999999999998</v>
      </c>
      <c r="H675" s="55">
        <v>32.049999999999997</v>
      </c>
      <c r="I675" s="57">
        <v>43640</v>
      </c>
      <c r="J675" s="55" t="s">
        <v>62</v>
      </c>
    </row>
    <row r="676" spans="1:10" x14ac:dyDescent="0.25">
      <c r="A676" t="s">
        <v>122</v>
      </c>
      <c r="B676" s="49">
        <v>2</v>
      </c>
      <c r="C676" s="54">
        <f>30000*G676</f>
        <v>573900</v>
      </c>
      <c r="D676" s="55" t="s">
        <v>4072</v>
      </c>
      <c r="E676" s="55" t="s">
        <v>4251</v>
      </c>
      <c r="F676" s="55" t="s">
        <v>2685</v>
      </c>
      <c r="G676" s="54">
        <v>19.13</v>
      </c>
      <c r="H676" s="55">
        <v>32.869999999999997</v>
      </c>
      <c r="I676" s="57">
        <v>43648</v>
      </c>
      <c r="J676" s="55" t="s">
        <v>62</v>
      </c>
    </row>
    <row r="677" spans="1:10" s="191" customFormat="1" x14ac:dyDescent="0.25">
      <c r="A677" s="191" t="s">
        <v>122</v>
      </c>
      <c r="B677" s="192">
        <v>2</v>
      </c>
      <c r="C677" s="51">
        <f>23350.16*G677</f>
        <v>446688.56079999998</v>
      </c>
      <c r="D677" s="52" t="s">
        <v>4120</v>
      </c>
      <c r="E677" s="52" t="s">
        <v>4121</v>
      </c>
      <c r="F677" s="52" t="s">
        <v>4122</v>
      </c>
      <c r="G677" s="51">
        <v>19.13</v>
      </c>
      <c r="H677" s="52">
        <v>33.270000000000003</v>
      </c>
      <c r="I677" s="53">
        <v>43648</v>
      </c>
      <c r="J677" s="52" t="s">
        <v>62</v>
      </c>
    </row>
    <row r="678" spans="1:10" x14ac:dyDescent="0.25">
      <c r="A678" t="s">
        <v>122</v>
      </c>
      <c r="B678" s="49">
        <v>2</v>
      </c>
      <c r="C678" s="51">
        <f>923092.5+19955.02</f>
        <v>943047.52</v>
      </c>
      <c r="D678" s="52" t="s">
        <v>3985</v>
      </c>
      <c r="E678" s="52" t="s">
        <v>3986</v>
      </c>
      <c r="F678" s="52" t="s">
        <v>52</v>
      </c>
      <c r="G678" s="53">
        <v>43647</v>
      </c>
      <c r="H678" s="52" t="s">
        <v>55</v>
      </c>
    </row>
    <row r="679" spans="1:10" x14ac:dyDescent="0.25">
      <c r="A679" t="s">
        <v>122</v>
      </c>
      <c r="B679" s="49">
        <v>2</v>
      </c>
      <c r="C679" s="51">
        <f>77552.5+1750.44</f>
        <v>79302.94</v>
      </c>
      <c r="D679" s="52" t="s">
        <v>3988</v>
      </c>
      <c r="E679" s="52" t="s">
        <v>3987</v>
      </c>
      <c r="F679" s="52" t="s">
        <v>52</v>
      </c>
      <c r="G679" s="53">
        <v>43647</v>
      </c>
      <c r="H679" s="52" t="s">
        <v>55</v>
      </c>
    </row>
    <row r="680" spans="1:10" x14ac:dyDescent="0.25">
      <c r="A680" t="s">
        <v>122</v>
      </c>
      <c r="B680" s="49">
        <v>2</v>
      </c>
      <c r="C680" s="51">
        <f>968652.5+20130.06</f>
        <v>988782.56</v>
      </c>
      <c r="D680" s="52" t="s">
        <v>3991</v>
      </c>
      <c r="E680" s="52" t="s">
        <v>4011</v>
      </c>
      <c r="F680" s="52" t="s">
        <v>52</v>
      </c>
      <c r="G680" s="53">
        <v>43648</v>
      </c>
      <c r="H680" s="52" t="s">
        <v>55</v>
      </c>
    </row>
    <row r="681" spans="1:10" x14ac:dyDescent="0.25">
      <c r="A681" t="s">
        <v>122</v>
      </c>
      <c r="B681" s="49">
        <v>2</v>
      </c>
      <c r="C681" s="51">
        <f>82912.5+1750.44</f>
        <v>84662.94</v>
      </c>
      <c r="D681" s="52" t="s">
        <v>4012</v>
      </c>
      <c r="E681" s="52" t="s">
        <v>4013</v>
      </c>
      <c r="F681" s="52" t="s">
        <v>52</v>
      </c>
      <c r="G681" s="53">
        <v>43648</v>
      </c>
      <c r="H681" s="52" t="s">
        <v>55</v>
      </c>
    </row>
    <row r="682" spans="1:10" x14ac:dyDescent="0.25">
      <c r="A682" s="191" t="s">
        <v>43</v>
      </c>
      <c r="B682" s="49">
        <v>3</v>
      </c>
      <c r="C682" s="51">
        <f>948050+20042.54</f>
        <v>968092.54</v>
      </c>
      <c r="D682" s="52" t="s">
        <v>4014</v>
      </c>
      <c r="E682" s="52" t="s">
        <v>4015</v>
      </c>
      <c r="F682" s="52" t="s">
        <v>52</v>
      </c>
      <c r="G682" s="53">
        <v>43649</v>
      </c>
      <c r="H682" s="52" t="s">
        <v>55</v>
      </c>
    </row>
    <row r="683" spans="1:10" x14ac:dyDescent="0.25">
      <c r="A683" t="s">
        <v>43</v>
      </c>
      <c r="B683" s="49">
        <v>3</v>
      </c>
      <c r="C683" s="51">
        <f>560622.5+13128.3</f>
        <v>573750.80000000005</v>
      </c>
      <c r="D683" s="52" t="s">
        <v>4017</v>
      </c>
      <c r="E683" s="52" t="s">
        <v>4016</v>
      </c>
      <c r="F683" s="52" t="s">
        <v>52</v>
      </c>
      <c r="G683" s="53">
        <v>43649</v>
      </c>
      <c r="H683" s="52" t="s">
        <v>55</v>
      </c>
    </row>
    <row r="684" spans="1:10" x14ac:dyDescent="0.25">
      <c r="A684" t="s">
        <v>43</v>
      </c>
      <c r="B684" s="49">
        <v>3</v>
      </c>
      <c r="C684" s="54">
        <f>30000*G684</f>
        <v>573000</v>
      </c>
      <c r="D684" s="55" t="s">
        <v>4073</v>
      </c>
      <c r="E684" s="55" t="s">
        <v>4290</v>
      </c>
      <c r="F684" s="55" t="s">
        <v>2685</v>
      </c>
      <c r="G684" s="54">
        <v>19.100000000000001</v>
      </c>
      <c r="H684" s="55">
        <v>32.08</v>
      </c>
      <c r="I684" s="57">
        <v>43649</v>
      </c>
      <c r="J684" s="55" t="s">
        <v>62</v>
      </c>
    </row>
    <row r="685" spans="1:10" x14ac:dyDescent="0.25">
      <c r="A685" s="191" t="s">
        <v>59</v>
      </c>
      <c r="B685" s="49">
        <v>4</v>
      </c>
      <c r="C685" s="51">
        <f>970997.5+20130.06</f>
        <v>991127.56</v>
      </c>
      <c r="D685" s="52" t="s">
        <v>4020</v>
      </c>
      <c r="E685" s="52" t="s">
        <v>4021</v>
      </c>
      <c r="F685" s="52" t="s">
        <v>52</v>
      </c>
      <c r="G685" s="53">
        <v>43650</v>
      </c>
      <c r="H685" s="52" t="s">
        <v>55</v>
      </c>
    </row>
    <row r="686" spans="1:10" x14ac:dyDescent="0.25">
      <c r="A686" t="s">
        <v>59</v>
      </c>
      <c r="B686" s="49">
        <v>4</v>
      </c>
      <c r="C686" s="51">
        <f>549902.5+13128.3</f>
        <v>563030.80000000005</v>
      </c>
      <c r="D686" s="52" t="s">
        <v>4022</v>
      </c>
      <c r="E686" s="52" t="s">
        <v>4019</v>
      </c>
      <c r="F686" s="52" t="s">
        <v>52</v>
      </c>
      <c r="G686" s="53">
        <v>43650</v>
      </c>
      <c r="H686" s="52" t="s">
        <v>55</v>
      </c>
    </row>
    <row r="687" spans="1:10" x14ac:dyDescent="0.25">
      <c r="A687" s="191" t="s">
        <v>59</v>
      </c>
      <c r="B687" s="49">
        <v>4</v>
      </c>
      <c r="C687" s="51">
        <v>42750</v>
      </c>
      <c r="D687" s="52" t="s">
        <v>4105</v>
      </c>
      <c r="E687" s="52" t="s">
        <v>4104</v>
      </c>
      <c r="F687" s="52" t="s">
        <v>1918</v>
      </c>
      <c r="G687" s="52">
        <v>28.5</v>
      </c>
      <c r="H687" s="53">
        <v>43651</v>
      </c>
      <c r="I687" s="52" t="s">
        <v>62</v>
      </c>
    </row>
    <row r="688" spans="1:10" x14ac:dyDescent="0.25">
      <c r="A688" t="s">
        <v>70</v>
      </c>
      <c r="B688" s="49">
        <v>5</v>
      </c>
      <c r="C688" s="51">
        <f>28920.52*G688</f>
        <v>550935.90600000008</v>
      </c>
      <c r="D688" s="52" t="s">
        <v>4184</v>
      </c>
      <c r="E688" s="52" t="s">
        <v>4185</v>
      </c>
      <c r="F688" s="52" t="s">
        <v>4186</v>
      </c>
      <c r="G688" s="51">
        <v>19.05</v>
      </c>
      <c r="H688" s="52">
        <v>32.49</v>
      </c>
      <c r="I688" s="53">
        <v>43651</v>
      </c>
      <c r="J688" s="52" t="s">
        <v>62</v>
      </c>
    </row>
    <row r="689" spans="1:10" x14ac:dyDescent="0.25">
      <c r="A689" s="37" t="s">
        <v>89</v>
      </c>
      <c r="B689" s="49">
        <v>6</v>
      </c>
    </row>
    <row r="690" spans="1:10" x14ac:dyDescent="0.25">
      <c r="A690" s="37" t="s">
        <v>90</v>
      </c>
      <c r="B690" s="49">
        <v>7</v>
      </c>
    </row>
    <row r="691" spans="1:10" x14ac:dyDescent="0.25">
      <c r="A691" t="s">
        <v>91</v>
      </c>
      <c r="B691" s="49">
        <v>8</v>
      </c>
      <c r="C691" s="54">
        <f>29000*G691</f>
        <v>553958</v>
      </c>
      <c r="D691" s="55" t="s">
        <v>4074</v>
      </c>
      <c r="E691" s="55" t="s">
        <v>4291</v>
      </c>
      <c r="F691" s="55" t="s">
        <v>2659</v>
      </c>
      <c r="G691" s="56">
        <v>19.102</v>
      </c>
      <c r="H691" s="55">
        <v>33.58</v>
      </c>
      <c r="I691" s="57">
        <v>43654</v>
      </c>
      <c r="J691" s="55" t="s">
        <v>62</v>
      </c>
    </row>
    <row r="692" spans="1:10" s="191" customFormat="1" x14ac:dyDescent="0.25">
      <c r="A692" s="191" t="s">
        <v>91</v>
      </c>
      <c r="B692" s="192">
        <v>8</v>
      </c>
      <c r="C692" s="51">
        <f>29919.05*G692</f>
        <v>567893.48805000004</v>
      </c>
      <c r="D692" s="52" t="s">
        <v>4195</v>
      </c>
      <c r="E692" s="52" t="s">
        <v>4196</v>
      </c>
      <c r="F692" s="52" t="s">
        <v>4197</v>
      </c>
      <c r="G692" s="58">
        <v>18.981000000000002</v>
      </c>
      <c r="H692" s="52">
        <v>32.31</v>
      </c>
      <c r="I692" s="53">
        <v>43654</v>
      </c>
      <c r="J692" s="52" t="s">
        <v>62</v>
      </c>
    </row>
    <row r="693" spans="1:10" s="191" customFormat="1" x14ac:dyDescent="0.25">
      <c r="A693" s="191" t="s">
        <v>91</v>
      </c>
      <c r="B693" s="192">
        <v>8</v>
      </c>
      <c r="C693" s="51">
        <v>127716.24</v>
      </c>
      <c r="D693" s="52" t="s">
        <v>4215</v>
      </c>
      <c r="E693" s="52" t="s">
        <v>4214</v>
      </c>
      <c r="F693" s="52" t="s">
        <v>4216</v>
      </c>
      <c r="G693" s="51">
        <v>51</v>
      </c>
      <c r="H693" s="53">
        <v>43654</v>
      </c>
      <c r="I693" s="52" t="s">
        <v>62</v>
      </c>
    </row>
    <row r="694" spans="1:10" x14ac:dyDescent="0.25">
      <c r="A694" t="s">
        <v>91</v>
      </c>
      <c r="B694" s="49">
        <v>8</v>
      </c>
      <c r="C694" s="51">
        <f>738675+17504.4</f>
        <v>756179.4</v>
      </c>
      <c r="D694" s="52" t="s">
        <v>4045</v>
      </c>
      <c r="E694" s="52" t="s">
        <v>4046</v>
      </c>
      <c r="F694" s="52" t="s">
        <v>52</v>
      </c>
      <c r="G694" s="53">
        <v>43651</v>
      </c>
      <c r="H694" s="52" t="s">
        <v>55</v>
      </c>
    </row>
    <row r="695" spans="1:10" x14ac:dyDescent="0.25">
      <c r="A695" t="s">
        <v>91</v>
      </c>
      <c r="B695" s="49">
        <v>8</v>
      </c>
      <c r="C695" s="51">
        <f>191117.5+4376.1</f>
        <v>195493.6</v>
      </c>
      <c r="D695" s="52" t="s">
        <v>4048</v>
      </c>
      <c r="E695" s="52" t="s">
        <v>4047</v>
      </c>
      <c r="F695" s="52" t="s">
        <v>52</v>
      </c>
      <c r="G695" s="53">
        <v>43651</v>
      </c>
      <c r="H695" s="52" t="s">
        <v>55</v>
      </c>
    </row>
    <row r="696" spans="1:10" x14ac:dyDescent="0.25">
      <c r="A696" s="191" t="s">
        <v>91</v>
      </c>
      <c r="B696" s="49">
        <v>8</v>
      </c>
      <c r="C696" s="51">
        <f>724270+17504.4-4023.35</f>
        <v>737751.05</v>
      </c>
      <c r="D696" s="52" t="s">
        <v>4128</v>
      </c>
      <c r="E696" s="52" t="s">
        <v>4129</v>
      </c>
      <c r="F696" s="52" t="s">
        <v>52</v>
      </c>
      <c r="G696" s="53">
        <v>43654</v>
      </c>
      <c r="H696" s="52" t="s">
        <v>55</v>
      </c>
    </row>
    <row r="697" spans="1:10" x14ac:dyDescent="0.25">
      <c r="A697" t="s">
        <v>91</v>
      </c>
      <c r="B697" s="49">
        <v>8</v>
      </c>
      <c r="C697" s="51">
        <f>197147.5+4288.58</f>
        <v>201436.08</v>
      </c>
      <c r="D697" s="52" t="s">
        <v>4131</v>
      </c>
      <c r="E697" s="52" t="s">
        <v>4130</v>
      </c>
      <c r="F697" s="52" t="s">
        <v>52</v>
      </c>
      <c r="G697" s="53">
        <v>43651</v>
      </c>
      <c r="H697" s="52" t="s">
        <v>55</v>
      </c>
    </row>
    <row r="698" spans="1:10" x14ac:dyDescent="0.25">
      <c r="A698" t="s">
        <v>122</v>
      </c>
      <c r="B698" s="49">
        <v>9</v>
      </c>
      <c r="C698" s="54">
        <f>30500*G698</f>
        <v>578280</v>
      </c>
      <c r="D698" s="55" t="s">
        <v>4176</v>
      </c>
      <c r="E698" s="55" t="s">
        <v>4357</v>
      </c>
      <c r="F698" s="55" t="s">
        <v>4182</v>
      </c>
      <c r="G698" s="54">
        <v>18.96</v>
      </c>
      <c r="H698" s="55">
        <v>34.590000000000003</v>
      </c>
      <c r="I698" s="57">
        <v>43655</v>
      </c>
      <c r="J698" s="55" t="s">
        <v>62</v>
      </c>
    </row>
    <row r="699" spans="1:10" x14ac:dyDescent="0.25">
      <c r="A699" t="s">
        <v>122</v>
      </c>
      <c r="B699" s="49">
        <v>9</v>
      </c>
      <c r="C699" s="54">
        <f>30500*G699</f>
        <v>578280</v>
      </c>
      <c r="D699" s="55" t="s">
        <v>4177</v>
      </c>
      <c r="E699" s="55" t="s">
        <v>4358</v>
      </c>
      <c r="F699" s="55" t="s">
        <v>2685</v>
      </c>
      <c r="G699" s="54">
        <v>18.96</v>
      </c>
      <c r="H699" s="55">
        <v>34.729999999999997</v>
      </c>
      <c r="I699" s="57">
        <v>43655</v>
      </c>
      <c r="J699" s="55" t="s">
        <v>62</v>
      </c>
    </row>
    <row r="700" spans="1:10" x14ac:dyDescent="0.25">
      <c r="A700" t="s">
        <v>122</v>
      </c>
      <c r="B700" s="49">
        <v>9</v>
      </c>
      <c r="C700" s="51">
        <f>778540+17591.92+187097.5+4376.1-115000</f>
        <v>872605.52</v>
      </c>
      <c r="D700" s="52" t="s">
        <v>4132</v>
      </c>
      <c r="E700" s="52" t="s">
        <v>4042</v>
      </c>
      <c r="F700" s="52" t="s">
        <v>52</v>
      </c>
      <c r="G700" s="53">
        <v>43654</v>
      </c>
      <c r="H700" s="52" t="s">
        <v>55</v>
      </c>
    </row>
    <row r="701" spans="1:10" x14ac:dyDescent="0.25">
      <c r="A701" s="191" t="s">
        <v>122</v>
      </c>
      <c r="B701" s="49">
        <v>9</v>
      </c>
      <c r="C701" s="51">
        <f>784402.5+17504.4-3922.18</f>
        <v>797984.72</v>
      </c>
      <c r="D701" s="52" t="s">
        <v>4141</v>
      </c>
      <c r="E701" s="52" t="s">
        <v>4133</v>
      </c>
      <c r="F701" s="52" t="s">
        <v>52</v>
      </c>
      <c r="G701" s="53">
        <v>43655</v>
      </c>
      <c r="H701" s="52" t="s">
        <v>55</v>
      </c>
    </row>
    <row r="702" spans="1:10" x14ac:dyDescent="0.25">
      <c r="A702" t="s">
        <v>122</v>
      </c>
      <c r="B702" s="49">
        <v>9</v>
      </c>
      <c r="C702" s="51">
        <f>198655+4376.1</f>
        <v>203031.1</v>
      </c>
      <c r="D702" s="52" t="s">
        <v>4141</v>
      </c>
      <c r="E702" s="52" t="s">
        <v>4134</v>
      </c>
      <c r="F702" s="52" t="s">
        <v>52</v>
      </c>
      <c r="G702" s="53">
        <v>43655</v>
      </c>
      <c r="H702" s="52" t="s">
        <v>55</v>
      </c>
    </row>
    <row r="703" spans="1:10" s="191" customFormat="1" x14ac:dyDescent="0.25">
      <c r="A703" s="191" t="s">
        <v>43</v>
      </c>
      <c r="B703" s="192">
        <v>10</v>
      </c>
      <c r="C703" s="51">
        <v>152074.13</v>
      </c>
      <c r="D703" s="52" t="s">
        <v>4222</v>
      </c>
      <c r="E703" s="52" t="s">
        <v>4221</v>
      </c>
      <c r="F703" s="52" t="s">
        <v>2802</v>
      </c>
      <c r="G703" s="51">
        <v>87.5</v>
      </c>
      <c r="H703" s="53">
        <v>43656</v>
      </c>
      <c r="I703" s="52" t="s">
        <v>62</v>
      </c>
    </row>
    <row r="704" spans="1:10" x14ac:dyDescent="0.25">
      <c r="A704" t="s">
        <v>43</v>
      </c>
      <c r="B704" s="49">
        <v>10</v>
      </c>
      <c r="C704" s="51">
        <f>914550+20130.06</f>
        <v>934680.06</v>
      </c>
      <c r="D704" s="52" t="s">
        <v>4135</v>
      </c>
      <c r="E704" s="52" t="s">
        <v>4136</v>
      </c>
      <c r="F704" s="52" t="s">
        <v>52</v>
      </c>
      <c r="G704" s="53">
        <v>43655</v>
      </c>
      <c r="H704" s="52" t="s">
        <v>55</v>
      </c>
    </row>
    <row r="705" spans="1:10" x14ac:dyDescent="0.25">
      <c r="A705" t="s">
        <v>43</v>
      </c>
      <c r="B705" s="49">
        <v>10</v>
      </c>
      <c r="C705" s="51">
        <f>576870+13128.3-3845.8</f>
        <v>586152.5</v>
      </c>
      <c r="D705" s="52" t="s">
        <v>4137</v>
      </c>
      <c r="E705" s="52" t="s">
        <v>4087</v>
      </c>
      <c r="F705" s="52" t="s">
        <v>52</v>
      </c>
      <c r="G705" s="53">
        <v>43656</v>
      </c>
      <c r="H705" s="52" t="s">
        <v>55</v>
      </c>
    </row>
    <row r="706" spans="1:10" x14ac:dyDescent="0.25">
      <c r="A706" t="s">
        <v>59</v>
      </c>
      <c r="B706" s="49">
        <v>11</v>
      </c>
      <c r="C706" s="51">
        <v>32965</v>
      </c>
      <c r="D706" s="52" t="s">
        <v>4225</v>
      </c>
      <c r="E706" s="52" t="s">
        <v>4223</v>
      </c>
      <c r="F706" s="52" t="s">
        <v>87</v>
      </c>
      <c r="G706" s="52">
        <v>19</v>
      </c>
      <c r="H706" s="53">
        <v>43656</v>
      </c>
      <c r="I706" s="52" t="s">
        <v>62</v>
      </c>
    </row>
    <row r="707" spans="1:10" x14ac:dyDescent="0.25">
      <c r="A707" t="s">
        <v>59</v>
      </c>
      <c r="B707" s="49">
        <v>11</v>
      </c>
      <c r="C707" s="54">
        <f>31000*G707</f>
        <v>593371</v>
      </c>
      <c r="D707" s="55" t="s">
        <v>4178</v>
      </c>
      <c r="E707" s="55" t="s">
        <v>4397</v>
      </c>
      <c r="F707" s="55" t="s">
        <v>3089</v>
      </c>
      <c r="G707" s="56">
        <v>19.140999999999998</v>
      </c>
      <c r="H707" s="55">
        <v>35.049999999999997</v>
      </c>
      <c r="I707" s="57">
        <v>43657</v>
      </c>
      <c r="J707" s="55" t="s">
        <v>62</v>
      </c>
    </row>
    <row r="708" spans="1:10" x14ac:dyDescent="0.25">
      <c r="A708" t="s">
        <v>59</v>
      </c>
      <c r="B708" s="49">
        <v>11</v>
      </c>
      <c r="C708" s="51">
        <f>28866.77*G708</f>
        <v>551932.64240000001</v>
      </c>
      <c r="D708" s="52" t="s">
        <v>4180</v>
      </c>
      <c r="E708" s="52" t="s">
        <v>4259</v>
      </c>
      <c r="F708" s="52" t="s">
        <v>4260</v>
      </c>
      <c r="G708" s="58">
        <v>19.12</v>
      </c>
      <c r="H708" s="52"/>
      <c r="I708" s="53">
        <v>43657</v>
      </c>
      <c r="J708" s="52" t="s">
        <v>62</v>
      </c>
    </row>
    <row r="709" spans="1:10" x14ac:dyDescent="0.25">
      <c r="A709" t="s">
        <v>59</v>
      </c>
      <c r="B709" s="49">
        <v>11</v>
      </c>
      <c r="C709" s="51">
        <f>900312.5+20042.54</f>
        <v>920355.04</v>
      </c>
      <c r="D709" s="52" t="s">
        <v>4142</v>
      </c>
      <c r="E709" s="52" t="s">
        <v>4143</v>
      </c>
      <c r="F709" s="52" t="s">
        <v>52</v>
      </c>
      <c r="G709" s="53">
        <v>43656</v>
      </c>
      <c r="H709" s="52" t="s">
        <v>55</v>
      </c>
    </row>
    <row r="710" spans="1:10" x14ac:dyDescent="0.25">
      <c r="A710" s="191" t="s">
        <v>59</v>
      </c>
      <c r="B710" s="49">
        <v>11</v>
      </c>
      <c r="C710" s="51">
        <f>542365+11242.05</f>
        <v>553607.05000000005</v>
      </c>
      <c r="D710" s="52" t="s">
        <v>4144</v>
      </c>
      <c r="E710" s="52" t="s">
        <v>4093</v>
      </c>
      <c r="F710" s="52" t="s">
        <v>52</v>
      </c>
      <c r="G710" s="53">
        <v>43657</v>
      </c>
      <c r="H710" s="52" t="s">
        <v>55</v>
      </c>
      <c r="I710" s="159" t="s">
        <v>4384</v>
      </c>
      <c r="J710" s="159"/>
    </row>
    <row r="711" spans="1:10" x14ac:dyDescent="0.25">
      <c r="A711" t="s">
        <v>70</v>
      </c>
      <c r="B711" s="49">
        <v>12</v>
      </c>
      <c r="C711" s="51">
        <f>28122.82*G711</f>
        <v>538298.89761999995</v>
      </c>
      <c r="D711" s="52" t="s">
        <v>4181</v>
      </c>
      <c r="E711" s="52" t="s">
        <v>4261</v>
      </c>
      <c r="F711" s="52" t="s">
        <v>4262</v>
      </c>
      <c r="G711" s="58">
        <v>19.140999999999998</v>
      </c>
      <c r="H711" s="52">
        <v>31.76</v>
      </c>
      <c r="I711" s="53">
        <v>43657</v>
      </c>
      <c r="J711" s="52" t="s">
        <v>62</v>
      </c>
    </row>
    <row r="712" spans="1:10" x14ac:dyDescent="0.25">
      <c r="A712" s="37" t="s">
        <v>89</v>
      </c>
      <c r="B712" s="49">
        <v>13</v>
      </c>
    </row>
    <row r="713" spans="1:10" x14ac:dyDescent="0.25">
      <c r="A713" s="37" t="s">
        <v>90</v>
      </c>
      <c r="B713" s="49">
        <v>14</v>
      </c>
    </row>
    <row r="714" spans="1:10" x14ac:dyDescent="0.25">
      <c r="A714" t="s">
        <v>91</v>
      </c>
      <c r="B714" s="49">
        <v>15</v>
      </c>
      <c r="C714" s="54">
        <f>32500*G714</f>
        <v>618637.5</v>
      </c>
      <c r="D714" s="55" t="s">
        <v>4179</v>
      </c>
      <c r="E714" s="55" t="s">
        <v>4396</v>
      </c>
      <c r="F714" s="55" t="s">
        <v>4292</v>
      </c>
      <c r="G714" s="56">
        <v>19.035</v>
      </c>
      <c r="H714" s="55">
        <v>35.83</v>
      </c>
      <c r="I714" s="57">
        <v>43661</v>
      </c>
      <c r="J714" s="55" t="s">
        <v>62</v>
      </c>
    </row>
    <row r="715" spans="1:10" s="191" customFormat="1" x14ac:dyDescent="0.25">
      <c r="A715" s="191" t="s">
        <v>91</v>
      </c>
      <c r="B715" s="192">
        <v>15</v>
      </c>
      <c r="C715" s="265">
        <f>35500*G715</f>
        <v>676594.5</v>
      </c>
      <c r="D715" s="55" t="s">
        <v>4293</v>
      </c>
      <c r="E715" s="55" t="s">
        <v>4420</v>
      </c>
      <c r="F715" s="55" t="s">
        <v>2732</v>
      </c>
      <c r="G715" s="56">
        <v>19.059000000000001</v>
      </c>
      <c r="H715" s="55">
        <v>36.78</v>
      </c>
      <c r="I715" s="57">
        <v>43661</v>
      </c>
      <c r="J715" s="55" t="s">
        <v>62</v>
      </c>
    </row>
    <row r="716" spans="1:10" s="191" customFormat="1" x14ac:dyDescent="0.25">
      <c r="A716" s="191" t="s">
        <v>91</v>
      </c>
      <c r="B716" s="192">
        <v>15</v>
      </c>
      <c r="C716" s="265">
        <f>35500*G716</f>
        <v>676594.5</v>
      </c>
      <c r="D716" s="55" t="s">
        <v>4294</v>
      </c>
      <c r="E716" s="55" t="s">
        <v>4421</v>
      </c>
      <c r="F716" s="55" t="s">
        <v>2732</v>
      </c>
      <c r="G716" s="56">
        <v>19.059000000000001</v>
      </c>
      <c r="H716" s="55">
        <v>36.659999999999997</v>
      </c>
      <c r="I716" s="57">
        <v>43661</v>
      </c>
      <c r="J716" s="55" t="s">
        <v>62</v>
      </c>
    </row>
    <row r="717" spans="1:10" s="191" customFormat="1" x14ac:dyDescent="0.25">
      <c r="A717" s="191" t="s">
        <v>91</v>
      </c>
      <c r="B717" s="192">
        <v>15</v>
      </c>
      <c r="C717" s="51">
        <v>97470</v>
      </c>
      <c r="D717" s="52" t="s">
        <v>4226</v>
      </c>
      <c r="E717" s="52" t="s">
        <v>4224</v>
      </c>
      <c r="F717" s="52" t="s">
        <v>87</v>
      </c>
      <c r="G717" s="51">
        <v>19</v>
      </c>
      <c r="H717" s="53">
        <v>43661</v>
      </c>
      <c r="I717" s="52" t="s">
        <v>62</v>
      </c>
    </row>
    <row r="718" spans="1:10" x14ac:dyDescent="0.25">
      <c r="A718" t="s">
        <v>91</v>
      </c>
      <c r="B718" s="49">
        <v>15</v>
      </c>
      <c r="C718" s="51">
        <f>885907.5+20130.06</f>
        <v>906037.56</v>
      </c>
      <c r="D718" s="52" t="s">
        <v>4145</v>
      </c>
      <c r="E718" s="52" t="s">
        <v>4108</v>
      </c>
      <c r="F718" s="52" t="s">
        <v>52</v>
      </c>
      <c r="G718" s="53">
        <v>43657</v>
      </c>
      <c r="H718" s="52" t="s">
        <v>55</v>
      </c>
    </row>
    <row r="719" spans="1:10" x14ac:dyDescent="0.25">
      <c r="A719" t="s">
        <v>91</v>
      </c>
      <c r="B719" s="49">
        <v>15</v>
      </c>
      <c r="C719" s="51">
        <f>514392.5+13128.3</f>
        <v>527520.80000000005</v>
      </c>
      <c r="D719" s="52" t="s">
        <v>4146</v>
      </c>
      <c r="E719" s="52" t="s">
        <v>4107</v>
      </c>
      <c r="F719" s="52" t="s">
        <v>52</v>
      </c>
      <c r="G719" s="53">
        <v>43658</v>
      </c>
      <c r="H719" s="52" t="s">
        <v>55</v>
      </c>
    </row>
    <row r="720" spans="1:10" x14ac:dyDescent="0.25">
      <c r="A720" t="s">
        <v>91</v>
      </c>
      <c r="B720" s="49">
        <v>15</v>
      </c>
      <c r="C720" s="51">
        <f>755760+17504.4</f>
        <v>773264.4</v>
      </c>
      <c r="D720" s="52" t="s">
        <v>4198</v>
      </c>
      <c r="E720" s="52" t="s">
        <v>4199</v>
      </c>
      <c r="F720" s="52" t="s">
        <v>52</v>
      </c>
      <c r="G720" s="53">
        <v>43658</v>
      </c>
      <c r="H720" s="52" t="s">
        <v>55</v>
      </c>
    </row>
    <row r="721" spans="1:10" x14ac:dyDescent="0.25">
      <c r="A721" t="s">
        <v>91</v>
      </c>
      <c r="B721" s="49">
        <v>15</v>
      </c>
      <c r="C721" s="51">
        <f>208705+4376.1</f>
        <v>213081.1</v>
      </c>
      <c r="D721" s="52" t="s">
        <v>4201</v>
      </c>
      <c r="E721" s="52" t="s">
        <v>4200</v>
      </c>
      <c r="F721" s="52" t="s">
        <v>52</v>
      </c>
      <c r="G721" s="53">
        <v>43658</v>
      </c>
      <c r="H721" s="52" t="s">
        <v>55</v>
      </c>
    </row>
    <row r="722" spans="1:10" s="191" customFormat="1" x14ac:dyDescent="0.25">
      <c r="A722" s="191" t="s">
        <v>122</v>
      </c>
      <c r="B722" s="192">
        <v>16</v>
      </c>
      <c r="C722" s="51">
        <f>31919.72*G722</f>
        <v>606315.08140000002</v>
      </c>
      <c r="D722" s="52" t="s">
        <v>4324</v>
      </c>
      <c r="E722" s="52" t="s">
        <v>4334</v>
      </c>
      <c r="F722" s="52" t="s">
        <v>4335</v>
      </c>
      <c r="G722" s="52">
        <v>18.995000000000001</v>
      </c>
      <c r="H722" s="52">
        <v>34.299999999999997</v>
      </c>
      <c r="I722" s="53">
        <v>43662</v>
      </c>
      <c r="J722" s="52" t="s">
        <v>62</v>
      </c>
    </row>
    <row r="723" spans="1:10" s="191" customFormat="1" x14ac:dyDescent="0.25">
      <c r="A723" t="s">
        <v>122</v>
      </c>
      <c r="B723" s="49">
        <v>16</v>
      </c>
      <c r="C723" s="51">
        <f>31864.81*G723</f>
        <v>605909.36215000006</v>
      </c>
      <c r="D723" s="52" t="s">
        <v>4325</v>
      </c>
      <c r="E723" s="52" t="s">
        <v>4351</v>
      </c>
      <c r="F723" s="52" t="s">
        <v>4352</v>
      </c>
      <c r="G723" s="52">
        <v>19.015000000000001</v>
      </c>
      <c r="H723" s="52">
        <v>34.450000000000003</v>
      </c>
      <c r="I723" s="53">
        <v>43662</v>
      </c>
      <c r="J723" s="52" t="s">
        <v>62</v>
      </c>
    </row>
    <row r="724" spans="1:10" s="191" customFormat="1" x14ac:dyDescent="0.25">
      <c r="A724" s="191" t="s">
        <v>122</v>
      </c>
      <c r="B724" s="192">
        <v>16</v>
      </c>
      <c r="C724" s="51">
        <v>534820.13</v>
      </c>
      <c r="D724" s="52" t="s">
        <v>4307</v>
      </c>
      <c r="E724" s="52" t="s">
        <v>4308</v>
      </c>
      <c r="F724" s="52" t="s">
        <v>3188</v>
      </c>
      <c r="G724" s="53">
        <v>43663</v>
      </c>
      <c r="H724" s="52" t="s">
        <v>62</v>
      </c>
    </row>
    <row r="725" spans="1:10" x14ac:dyDescent="0.25">
      <c r="A725" t="s">
        <v>122</v>
      </c>
      <c r="B725" s="49">
        <v>16</v>
      </c>
      <c r="C725" s="51">
        <f>803550+17504.4</f>
        <v>821054.4</v>
      </c>
      <c r="D725" s="52" t="s">
        <v>4202</v>
      </c>
      <c r="E725" s="52" t="s">
        <v>4203</v>
      </c>
      <c r="F725" s="52" t="s">
        <v>52</v>
      </c>
      <c r="G725" s="53">
        <v>43661</v>
      </c>
      <c r="H725" s="52" t="s">
        <v>55</v>
      </c>
    </row>
    <row r="726" spans="1:10" x14ac:dyDescent="0.25">
      <c r="A726" t="s">
        <v>122</v>
      </c>
      <c r="B726" s="49">
        <v>16</v>
      </c>
      <c r="C726" s="51">
        <f>177540+4376.1</f>
        <v>181916.1</v>
      </c>
      <c r="D726" s="52" t="s">
        <v>4205</v>
      </c>
      <c r="E726" s="52" t="s">
        <v>4204</v>
      </c>
      <c r="F726" s="52" t="s">
        <v>52</v>
      </c>
      <c r="G726" s="53">
        <v>43661</v>
      </c>
      <c r="H726" s="52" t="s">
        <v>55</v>
      </c>
    </row>
    <row r="727" spans="1:10" x14ac:dyDescent="0.25">
      <c r="A727" t="s">
        <v>122</v>
      </c>
      <c r="B727" s="49">
        <v>16</v>
      </c>
      <c r="C727" s="51">
        <f>810975+17504.4</f>
        <v>828479.4</v>
      </c>
      <c r="D727" s="52" t="s">
        <v>4206</v>
      </c>
      <c r="E727" s="52" t="s">
        <v>4163</v>
      </c>
      <c r="F727" s="52" t="s">
        <v>52</v>
      </c>
      <c r="G727" s="53">
        <v>43661</v>
      </c>
      <c r="H727" s="52" t="s">
        <v>55</v>
      </c>
    </row>
    <row r="728" spans="1:10" x14ac:dyDescent="0.25">
      <c r="A728" s="191" t="s">
        <v>122</v>
      </c>
      <c r="B728" s="49">
        <v>16</v>
      </c>
      <c r="C728" s="51">
        <f>488730+11377.86-3759.36</f>
        <v>496348.5</v>
      </c>
      <c r="D728" s="52" t="s">
        <v>4207</v>
      </c>
      <c r="E728" s="52" t="s">
        <v>4164</v>
      </c>
      <c r="F728" s="52" t="s">
        <v>52</v>
      </c>
      <c r="G728" s="53">
        <v>43671</v>
      </c>
      <c r="H728" s="52" t="s">
        <v>55</v>
      </c>
    </row>
    <row r="729" spans="1:10" s="191" customFormat="1" x14ac:dyDescent="0.25">
      <c r="A729" t="s">
        <v>43</v>
      </c>
      <c r="B729" s="49">
        <v>17</v>
      </c>
      <c r="C729" s="51">
        <v>51183.09</v>
      </c>
      <c r="D729" s="52" t="s">
        <v>4313</v>
      </c>
      <c r="E729" s="52" t="s">
        <v>4310</v>
      </c>
      <c r="F729" s="52" t="s">
        <v>4314</v>
      </c>
      <c r="G729" s="52">
        <v>51</v>
      </c>
      <c r="H729" s="53">
        <v>43663</v>
      </c>
      <c r="I729" s="52" t="s">
        <v>62</v>
      </c>
    </row>
    <row r="730" spans="1:10" s="191" customFormat="1" x14ac:dyDescent="0.25">
      <c r="A730" t="s">
        <v>43</v>
      </c>
      <c r="B730" s="49">
        <v>17</v>
      </c>
      <c r="C730" s="51">
        <v>102348.84</v>
      </c>
      <c r="D730" s="52" t="s">
        <v>4315</v>
      </c>
      <c r="E730" s="52" t="s">
        <v>4312</v>
      </c>
      <c r="F730" s="52" t="s">
        <v>4314</v>
      </c>
      <c r="G730" s="52">
        <v>51</v>
      </c>
      <c r="H730" s="53">
        <v>43663</v>
      </c>
      <c r="I730" s="52" t="s">
        <v>62</v>
      </c>
    </row>
    <row r="731" spans="1:10" s="191" customFormat="1" x14ac:dyDescent="0.25">
      <c r="A731" t="s">
        <v>43</v>
      </c>
      <c r="B731" s="49">
        <v>17</v>
      </c>
      <c r="C731" s="51">
        <v>49400</v>
      </c>
      <c r="D731" s="52" t="s">
        <v>4315</v>
      </c>
      <c r="E731" s="52" t="s">
        <v>4316</v>
      </c>
      <c r="F731" s="52" t="s">
        <v>87</v>
      </c>
      <c r="G731" s="52">
        <v>19</v>
      </c>
      <c r="H731" s="53">
        <v>43663</v>
      </c>
      <c r="I731" s="52" t="s">
        <v>62</v>
      </c>
    </row>
    <row r="732" spans="1:10" x14ac:dyDescent="0.25">
      <c r="A732" t="s">
        <v>43</v>
      </c>
      <c r="B732" s="49">
        <v>17</v>
      </c>
      <c r="C732" s="51">
        <f>889185+20130.06</f>
        <v>909315.06</v>
      </c>
      <c r="D732" s="52" t="s">
        <v>4208</v>
      </c>
      <c r="E732" s="52" t="s">
        <v>4187</v>
      </c>
      <c r="F732" s="52" t="s">
        <v>52</v>
      </c>
      <c r="G732" s="53">
        <v>43661</v>
      </c>
      <c r="H732" s="52" t="s">
        <v>55</v>
      </c>
    </row>
    <row r="733" spans="1:10" x14ac:dyDescent="0.25">
      <c r="A733" t="s">
        <v>43</v>
      </c>
      <c r="B733" s="49">
        <v>17</v>
      </c>
      <c r="C733" s="51">
        <f>515955+13215.82</f>
        <v>529170.81999999995</v>
      </c>
      <c r="D733" s="52" t="s">
        <v>4209</v>
      </c>
      <c r="E733" s="52" t="s">
        <v>4188</v>
      </c>
      <c r="F733" s="52" t="s">
        <v>52</v>
      </c>
      <c r="G733" s="53">
        <v>43662</v>
      </c>
      <c r="H733" s="52" t="s">
        <v>55</v>
      </c>
    </row>
    <row r="734" spans="1:10" x14ac:dyDescent="0.25">
      <c r="A734" t="s">
        <v>59</v>
      </c>
      <c r="B734" s="49">
        <v>18</v>
      </c>
      <c r="C734" s="54">
        <f>34500*G734</f>
        <v>657259.5</v>
      </c>
      <c r="D734" s="55" t="s">
        <v>4318</v>
      </c>
      <c r="E734" s="55" t="s">
        <v>4434</v>
      </c>
      <c r="F734" s="55" t="s">
        <v>4365</v>
      </c>
      <c r="G734" s="55">
        <v>19.050999999999998</v>
      </c>
      <c r="H734" s="55">
        <v>38.130000000000003</v>
      </c>
      <c r="I734" s="57">
        <v>43664</v>
      </c>
      <c r="J734" s="55" t="s">
        <v>62</v>
      </c>
    </row>
    <row r="735" spans="1:10" s="191" customFormat="1" x14ac:dyDescent="0.25">
      <c r="A735" s="191" t="s">
        <v>59</v>
      </c>
      <c r="B735" s="192">
        <v>18</v>
      </c>
      <c r="C735" s="51">
        <f>31748.68*G735</f>
        <v>604558.36456000002</v>
      </c>
      <c r="D735" s="52" t="s">
        <v>4327</v>
      </c>
      <c r="E735" s="52" t="s">
        <v>4361</v>
      </c>
      <c r="F735" s="52" t="s">
        <v>4362</v>
      </c>
      <c r="G735" s="52">
        <v>19.042000000000002</v>
      </c>
      <c r="H735" s="52"/>
      <c r="I735" s="53">
        <v>43664</v>
      </c>
      <c r="J735" s="52" t="s">
        <v>62</v>
      </c>
    </row>
    <row r="736" spans="1:10" x14ac:dyDescent="0.25">
      <c r="A736" t="s">
        <v>59</v>
      </c>
      <c r="B736" s="49">
        <v>18</v>
      </c>
      <c r="C736" s="51">
        <f>781770+17504.4</f>
        <v>799274.4</v>
      </c>
      <c r="D736" s="52" t="s">
        <v>4210</v>
      </c>
      <c r="E736" s="52" t="s">
        <v>4211</v>
      </c>
      <c r="F736" s="52" t="s">
        <v>52</v>
      </c>
      <c r="G736" s="53">
        <v>43662</v>
      </c>
      <c r="H736" s="52" t="s">
        <v>55</v>
      </c>
    </row>
    <row r="737" spans="1:10" x14ac:dyDescent="0.25">
      <c r="A737" t="s">
        <v>59</v>
      </c>
      <c r="B737" s="49">
        <v>18</v>
      </c>
      <c r="C737" s="51">
        <f>659340+15841.48</f>
        <v>675181.48</v>
      </c>
      <c r="D737" s="52" t="s">
        <v>4212</v>
      </c>
      <c r="E737" s="52" t="s">
        <v>4193</v>
      </c>
      <c r="F737" s="52" t="s">
        <v>52</v>
      </c>
      <c r="G737" s="53">
        <v>43662</v>
      </c>
      <c r="H737" s="52" t="s">
        <v>55</v>
      </c>
    </row>
    <row r="738" spans="1:10" x14ac:dyDescent="0.25">
      <c r="A738" t="s">
        <v>59</v>
      </c>
      <c r="B738" s="49">
        <v>18</v>
      </c>
      <c r="C738" s="51">
        <v>62000</v>
      </c>
      <c r="D738" s="52" t="s">
        <v>4386</v>
      </c>
      <c r="E738" s="52" t="s">
        <v>4387</v>
      </c>
      <c r="F738" s="52" t="s">
        <v>4388</v>
      </c>
      <c r="G738" s="53" t="s">
        <v>4389</v>
      </c>
      <c r="H738" s="53">
        <v>43664</v>
      </c>
      <c r="I738" s="52" t="s">
        <v>62</v>
      </c>
    </row>
    <row r="739" spans="1:10" x14ac:dyDescent="0.25">
      <c r="A739" t="s">
        <v>70</v>
      </c>
      <c r="B739" s="49">
        <v>19</v>
      </c>
      <c r="C739" s="54">
        <f>35000*G739</f>
        <v>667380</v>
      </c>
      <c r="D739" s="55" t="s">
        <v>4317</v>
      </c>
      <c r="E739" s="55" t="s">
        <v>4458</v>
      </c>
      <c r="F739" s="55" t="s">
        <v>2738</v>
      </c>
      <c r="G739" s="55">
        <v>19.068000000000001</v>
      </c>
      <c r="H739" s="55">
        <v>38.270000000000003</v>
      </c>
      <c r="I739" s="57">
        <v>43665</v>
      </c>
      <c r="J739" s="55" t="s">
        <v>62</v>
      </c>
    </row>
    <row r="740" spans="1:10" x14ac:dyDescent="0.25">
      <c r="A740" t="s">
        <v>70</v>
      </c>
      <c r="B740" s="49">
        <v>19</v>
      </c>
      <c r="C740" s="51">
        <f>29566.41*G740</f>
        <v>563062.71204000001</v>
      </c>
      <c r="D740" s="52" t="s">
        <v>4326</v>
      </c>
      <c r="E740" s="52" t="s">
        <v>4380</v>
      </c>
      <c r="F740" s="52" t="s">
        <v>4381</v>
      </c>
      <c r="G740" s="52">
        <v>19.044</v>
      </c>
      <c r="H740" s="52"/>
      <c r="I740" s="53">
        <v>43665</v>
      </c>
      <c r="J740" s="52" t="s">
        <v>62</v>
      </c>
    </row>
    <row r="741" spans="1:10" x14ac:dyDescent="0.25">
      <c r="A741" t="s">
        <v>70</v>
      </c>
      <c r="B741" s="49">
        <v>19</v>
      </c>
      <c r="C741" s="51">
        <v>65778</v>
      </c>
      <c r="D741" s="52" t="s">
        <v>4330</v>
      </c>
      <c r="E741" s="52" t="s">
        <v>4329</v>
      </c>
      <c r="F741" s="52" t="s">
        <v>87</v>
      </c>
      <c r="G741" s="52">
        <v>19</v>
      </c>
      <c r="H741" s="53">
        <v>43668</v>
      </c>
      <c r="I741" s="52" t="s">
        <v>4419</v>
      </c>
    </row>
    <row r="742" spans="1:10" x14ac:dyDescent="0.25">
      <c r="A742" s="37" t="s">
        <v>89</v>
      </c>
      <c r="B742" s="49">
        <v>20</v>
      </c>
    </row>
    <row r="743" spans="1:10" x14ac:dyDescent="0.25">
      <c r="A743" s="37" t="s">
        <v>90</v>
      </c>
      <c r="B743" s="49">
        <v>21</v>
      </c>
    </row>
    <row r="744" spans="1:10" x14ac:dyDescent="0.25">
      <c r="A744" t="s">
        <v>91</v>
      </c>
      <c r="B744" s="49">
        <v>22</v>
      </c>
      <c r="C744" s="54">
        <f>38000*G744</f>
        <v>725153.99999999988</v>
      </c>
      <c r="D744" s="55" t="s">
        <v>4319</v>
      </c>
      <c r="E744" s="55" t="s">
        <v>4479</v>
      </c>
      <c r="F744" s="55" t="s">
        <v>3481</v>
      </c>
      <c r="G744" s="55">
        <v>19.082999999999998</v>
      </c>
      <c r="H744" s="55">
        <v>40.75</v>
      </c>
      <c r="I744" s="57">
        <v>43668</v>
      </c>
      <c r="J744" s="55" t="s">
        <v>62</v>
      </c>
    </row>
    <row r="745" spans="1:10" s="191" customFormat="1" x14ac:dyDescent="0.25">
      <c r="A745" s="191" t="s">
        <v>91</v>
      </c>
      <c r="B745" s="192">
        <v>22</v>
      </c>
      <c r="C745" s="51">
        <f>33239.68*G745</f>
        <v>634844.64832000004</v>
      </c>
      <c r="D745" s="52" t="s">
        <v>4400</v>
      </c>
      <c r="E745" s="52" t="s">
        <v>4401</v>
      </c>
      <c r="F745" s="52" t="s">
        <v>4402</v>
      </c>
      <c r="G745" s="52">
        <v>19.099</v>
      </c>
      <c r="H745" s="52">
        <v>36.340000000000003</v>
      </c>
      <c r="I745" s="53">
        <v>43668</v>
      </c>
      <c r="J745" s="52" t="s">
        <v>62</v>
      </c>
    </row>
    <row r="746" spans="1:10" x14ac:dyDescent="0.25">
      <c r="A746" t="s">
        <v>91</v>
      </c>
      <c r="B746" s="49">
        <v>22</v>
      </c>
      <c r="C746" s="51">
        <f>902715+20042.54</f>
        <v>922757.54</v>
      </c>
      <c r="D746" s="52" t="s">
        <v>4230</v>
      </c>
      <c r="E746" s="52" t="s">
        <v>4231</v>
      </c>
      <c r="F746" s="52" t="s">
        <v>52</v>
      </c>
      <c r="G746" s="53">
        <v>43663</v>
      </c>
      <c r="H746" s="52" t="s">
        <v>55</v>
      </c>
    </row>
    <row r="747" spans="1:10" x14ac:dyDescent="0.25">
      <c r="A747" t="s">
        <v>91</v>
      </c>
      <c r="B747" s="49">
        <v>22</v>
      </c>
      <c r="C747" s="51">
        <f>534930+13128.3</f>
        <v>548058.30000000005</v>
      </c>
      <c r="D747" s="52" t="s">
        <v>4233</v>
      </c>
      <c r="E747" s="52" t="s">
        <v>4232</v>
      </c>
      <c r="F747" s="52" t="s">
        <v>52</v>
      </c>
      <c r="G747" s="53">
        <v>43664</v>
      </c>
      <c r="H747" s="52" t="s">
        <v>55</v>
      </c>
    </row>
    <row r="748" spans="1:10" x14ac:dyDescent="0.25">
      <c r="A748" t="s">
        <v>91</v>
      </c>
      <c r="B748" s="49">
        <v>22</v>
      </c>
      <c r="C748" s="51">
        <f>888195+20130.06</f>
        <v>908325.06</v>
      </c>
      <c r="D748" s="52" t="s">
        <v>4331</v>
      </c>
      <c r="E748" s="52" t="s">
        <v>3435</v>
      </c>
      <c r="F748" s="52" t="s">
        <v>52</v>
      </c>
      <c r="G748" s="53">
        <v>43665</v>
      </c>
      <c r="H748" s="52" t="s">
        <v>55</v>
      </c>
    </row>
    <row r="749" spans="1:10" x14ac:dyDescent="0.25">
      <c r="A749" t="s">
        <v>91</v>
      </c>
      <c r="B749" s="49">
        <v>22</v>
      </c>
      <c r="C749" s="51">
        <f>67815+1750.44</f>
        <v>69565.440000000002</v>
      </c>
      <c r="D749" s="52" t="s">
        <v>4333</v>
      </c>
      <c r="E749" s="52" t="s">
        <v>4332</v>
      </c>
      <c r="F749" s="52" t="s">
        <v>52</v>
      </c>
      <c r="G749" s="53">
        <v>43665</v>
      </c>
      <c r="H749" s="52" t="s">
        <v>55</v>
      </c>
    </row>
    <row r="750" spans="1:10" x14ac:dyDescent="0.25">
      <c r="A750" t="s">
        <v>122</v>
      </c>
      <c r="B750" s="49">
        <v>23</v>
      </c>
      <c r="C750" s="54">
        <f>33000*G750</f>
        <v>633171</v>
      </c>
      <c r="D750" s="55" t="s">
        <v>4320</v>
      </c>
      <c r="E750" s="55"/>
      <c r="F750" s="55" t="s">
        <v>2739</v>
      </c>
      <c r="G750" s="55">
        <v>19.187000000000001</v>
      </c>
      <c r="H750" s="55"/>
      <c r="I750" s="57">
        <v>43669</v>
      </c>
      <c r="J750" s="55" t="s">
        <v>62</v>
      </c>
    </row>
    <row r="751" spans="1:10" s="191" customFormat="1" x14ac:dyDescent="0.25">
      <c r="A751" s="191" t="s">
        <v>122</v>
      </c>
      <c r="B751" s="192">
        <v>23</v>
      </c>
      <c r="C751" s="51">
        <f>35048.48*G751</f>
        <v>669320.82256000012</v>
      </c>
      <c r="D751" s="52" t="s">
        <v>4403</v>
      </c>
      <c r="E751" s="52" t="s">
        <v>4404</v>
      </c>
      <c r="F751" s="52" t="s">
        <v>4405</v>
      </c>
      <c r="G751" s="52">
        <v>19.097000000000001</v>
      </c>
      <c r="H751" s="52">
        <v>37.85</v>
      </c>
      <c r="I751" s="53">
        <v>43578</v>
      </c>
      <c r="J751" s="52" t="s">
        <v>62</v>
      </c>
    </row>
    <row r="752" spans="1:10" s="191" customFormat="1" x14ac:dyDescent="0.25">
      <c r="A752" s="191" t="s">
        <v>122</v>
      </c>
      <c r="B752" s="192">
        <v>23</v>
      </c>
      <c r="C752" s="51">
        <f>21750*43.1</f>
        <v>937425</v>
      </c>
      <c r="D752" s="52" t="s">
        <v>4374</v>
      </c>
      <c r="E752" s="52" t="s">
        <v>4393</v>
      </c>
      <c r="F752" s="52" t="s">
        <v>73</v>
      </c>
      <c r="G752" s="53">
        <v>43669</v>
      </c>
      <c r="H752" s="52" t="s">
        <v>55</v>
      </c>
    </row>
    <row r="753" spans="1:10" x14ac:dyDescent="0.25">
      <c r="A753" t="s">
        <v>122</v>
      </c>
      <c r="B753" s="49">
        <v>23</v>
      </c>
      <c r="C753" s="51">
        <f>945450+20042.54</f>
        <v>965492.54</v>
      </c>
      <c r="D753" s="52" t="s">
        <v>4336</v>
      </c>
      <c r="E753" s="52" t="s">
        <v>4337</v>
      </c>
      <c r="F753" s="52" t="s">
        <v>52</v>
      </c>
      <c r="G753" s="53">
        <v>43665</v>
      </c>
      <c r="H753" s="52" t="s">
        <v>55</v>
      </c>
    </row>
    <row r="754" spans="1:10" x14ac:dyDescent="0.25">
      <c r="A754" t="s">
        <v>122</v>
      </c>
      <c r="B754" s="49">
        <v>23</v>
      </c>
      <c r="C754" s="51">
        <f>72435+1750.44</f>
        <v>74185.440000000002</v>
      </c>
      <c r="D754" s="52" t="s">
        <v>4339</v>
      </c>
      <c r="E754" s="52" t="s">
        <v>4338</v>
      </c>
      <c r="F754" s="52" t="s">
        <v>52</v>
      </c>
      <c r="G754" s="53">
        <v>43668</v>
      </c>
      <c r="H754" s="52" t="s">
        <v>55</v>
      </c>
    </row>
    <row r="755" spans="1:10" x14ac:dyDescent="0.25">
      <c r="A755" t="s">
        <v>122</v>
      </c>
      <c r="B755" s="49">
        <v>23</v>
      </c>
      <c r="C755" s="51">
        <f>987195+20130.06</f>
        <v>1007325.06</v>
      </c>
      <c r="D755" s="52" t="s">
        <v>4340</v>
      </c>
      <c r="E755" s="52" t="s">
        <v>4341</v>
      </c>
      <c r="F755" s="52" t="s">
        <v>52</v>
      </c>
      <c r="G755" s="53">
        <v>43668</v>
      </c>
      <c r="H755" s="52" t="s">
        <v>55</v>
      </c>
    </row>
    <row r="756" spans="1:10" x14ac:dyDescent="0.25">
      <c r="A756" t="s">
        <v>122</v>
      </c>
      <c r="B756" s="49">
        <v>23</v>
      </c>
      <c r="C756" s="51">
        <f>68145+1750.44</f>
        <v>69895.44</v>
      </c>
      <c r="D756" s="52" t="s">
        <v>4343</v>
      </c>
      <c r="E756" s="52" t="s">
        <v>4342</v>
      </c>
      <c r="F756" s="52" t="s">
        <v>52</v>
      </c>
      <c r="G756" s="53">
        <v>43668</v>
      </c>
      <c r="H756" s="52" t="s">
        <v>55</v>
      </c>
    </row>
    <row r="757" spans="1:10" x14ac:dyDescent="0.25">
      <c r="A757" t="s">
        <v>43</v>
      </c>
      <c r="B757" s="49">
        <v>24</v>
      </c>
      <c r="C757" s="51">
        <f>937035+20042.54</f>
        <v>957077.54</v>
      </c>
      <c r="D757" s="52" t="s">
        <v>4344</v>
      </c>
      <c r="E757" s="52" t="s">
        <v>4296</v>
      </c>
      <c r="F757" s="52" t="s">
        <v>52</v>
      </c>
      <c r="G757" s="53">
        <v>43668</v>
      </c>
      <c r="H757" s="52" t="s">
        <v>55</v>
      </c>
    </row>
    <row r="758" spans="1:10" x14ac:dyDescent="0.25">
      <c r="A758" t="s">
        <v>43</v>
      </c>
      <c r="B758" s="49">
        <v>24</v>
      </c>
      <c r="C758" s="51">
        <f>536745+13215.82</f>
        <v>549960.81999999995</v>
      </c>
      <c r="D758" s="52" t="s">
        <v>4345</v>
      </c>
      <c r="E758" s="52" t="s">
        <v>4297</v>
      </c>
      <c r="F758" s="52" t="s">
        <v>52</v>
      </c>
      <c r="G758" s="53">
        <v>43669</v>
      </c>
      <c r="H758" s="52" t="s">
        <v>55</v>
      </c>
    </row>
    <row r="759" spans="1:10" s="191" customFormat="1" x14ac:dyDescent="0.25">
      <c r="A759" s="191" t="s">
        <v>43</v>
      </c>
      <c r="B759" s="192">
        <v>24</v>
      </c>
      <c r="C759" s="51">
        <f>34183.06*G759</f>
        <v>654366.31758000003</v>
      </c>
      <c r="D759" s="52" t="s">
        <v>4408</v>
      </c>
      <c r="E759" s="52" t="s">
        <v>4409</v>
      </c>
      <c r="F759" s="52" t="s">
        <v>4410</v>
      </c>
      <c r="G759" s="52">
        <v>19.143000000000001</v>
      </c>
      <c r="H759" s="52">
        <v>37.19</v>
      </c>
      <c r="I759" s="53">
        <v>43670</v>
      </c>
      <c r="J759" s="52" t="s">
        <v>62</v>
      </c>
    </row>
    <row r="760" spans="1:10" s="191" customFormat="1" x14ac:dyDescent="0.25">
      <c r="A760" s="191" t="s">
        <v>43</v>
      </c>
      <c r="B760" s="192">
        <v>24</v>
      </c>
      <c r="C760" s="51">
        <v>33060</v>
      </c>
      <c r="D760" s="52" t="s">
        <v>4461</v>
      </c>
      <c r="E760" s="52" t="s">
        <v>4460</v>
      </c>
      <c r="F760" s="52" t="s">
        <v>87</v>
      </c>
      <c r="G760" s="52">
        <v>19</v>
      </c>
      <c r="H760" s="53">
        <v>43671</v>
      </c>
      <c r="I760" s="52" t="s">
        <v>62</v>
      </c>
    </row>
    <row r="761" spans="1:10" x14ac:dyDescent="0.25">
      <c r="A761" t="s">
        <v>59</v>
      </c>
      <c r="B761" s="49">
        <v>25</v>
      </c>
      <c r="C761" s="51">
        <f>923175+17353.5</f>
        <v>940528.5</v>
      </c>
      <c r="D761" s="52" t="s">
        <v>4346</v>
      </c>
      <c r="E761" s="52" t="s">
        <v>4347</v>
      </c>
      <c r="F761" s="52" t="s">
        <v>52</v>
      </c>
      <c r="G761" s="53">
        <v>43670</v>
      </c>
      <c r="H761" s="52" t="s">
        <v>55</v>
      </c>
      <c r="I761" s="159" t="s">
        <v>4486</v>
      </c>
      <c r="J761" s="159"/>
    </row>
    <row r="762" spans="1:10" x14ac:dyDescent="0.25">
      <c r="A762" s="199" t="s">
        <v>59</v>
      </c>
      <c r="B762" s="49">
        <v>25</v>
      </c>
      <c r="C762" s="51">
        <f>542355+13128.3-3615.81</f>
        <v>551867.49</v>
      </c>
      <c r="D762" s="52" t="s">
        <v>4349</v>
      </c>
      <c r="E762" s="52" t="s">
        <v>4348</v>
      </c>
      <c r="F762" s="52" t="s">
        <v>52</v>
      </c>
      <c r="G762" s="53">
        <v>43672</v>
      </c>
      <c r="H762" s="52" t="s">
        <v>55</v>
      </c>
    </row>
    <row r="763" spans="1:10" x14ac:dyDescent="0.25">
      <c r="A763" t="s">
        <v>59</v>
      </c>
      <c r="B763" s="49">
        <v>25</v>
      </c>
      <c r="C763" s="54">
        <f>40000*G763</f>
        <v>765879.99999999988</v>
      </c>
      <c r="D763" s="55" t="s">
        <v>4321</v>
      </c>
      <c r="E763" s="55" t="s">
        <v>4530</v>
      </c>
      <c r="F763" s="55" t="s">
        <v>3669</v>
      </c>
      <c r="G763" s="55">
        <v>19.146999999999998</v>
      </c>
      <c r="H763" s="55">
        <v>44.83</v>
      </c>
      <c r="I763" s="57">
        <v>43671</v>
      </c>
      <c r="J763" s="55" t="s">
        <v>62</v>
      </c>
    </row>
    <row r="764" spans="1:10" x14ac:dyDescent="0.25">
      <c r="A764" t="s">
        <v>59</v>
      </c>
      <c r="B764" s="49">
        <v>25</v>
      </c>
      <c r="C764" s="54">
        <f>40000*G764</f>
        <v>765120</v>
      </c>
      <c r="D764" s="55" t="s">
        <v>4322</v>
      </c>
      <c r="E764" s="55" t="s">
        <v>4531</v>
      </c>
      <c r="F764" s="55" t="s">
        <v>3669</v>
      </c>
      <c r="G764" s="55">
        <v>19.128</v>
      </c>
      <c r="H764" s="55">
        <v>44.86</v>
      </c>
      <c r="I764" s="57">
        <v>43671</v>
      </c>
      <c r="J764" s="55" t="s">
        <v>62</v>
      </c>
    </row>
    <row r="765" spans="1:10" x14ac:dyDescent="0.25">
      <c r="A765" t="s">
        <v>59</v>
      </c>
      <c r="B765" s="49">
        <v>25</v>
      </c>
      <c r="C765" s="54">
        <f>42000*G765</f>
        <v>804173.99999999988</v>
      </c>
      <c r="D765" s="55" t="s">
        <v>4462</v>
      </c>
      <c r="E765" s="55" t="s">
        <v>4763</v>
      </c>
      <c r="F765" s="55" t="s">
        <v>4433</v>
      </c>
      <c r="G765" s="55">
        <v>19.146999999999998</v>
      </c>
      <c r="H765" s="55"/>
      <c r="I765" s="57">
        <v>43671</v>
      </c>
      <c r="J765" s="55" t="s">
        <v>62</v>
      </c>
    </row>
    <row r="766" spans="1:10" x14ac:dyDescent="0.25">
      <c r="A766" t="s">
        <v>70</v>
      </c>
      <c r="B766" s="49">
        <v>26</v>
      </c>
    </row>
    <row r="767" spans="1:10" x14ac:dyDescent="0.25">
      <c r="A767" s="37" t="s">
        <v>89</v>
      </c>
      <c r="B767" s="49">
        <v>27</v>
      </c>
    </row>
    <row r="768" spans="1:10" x14ac:dyDescent="0.25">
      <c r="A768" s="37" t="s">
        <v>90</v>
      </c>
      <c r="B768" s="49">
        <v>28</v>
      </c>
    </row>
    <row r="769" spans="1:10" x14ac:dyDescent="0.25">
      <c r="A769" t="s">
        <v>91</v>
      </c>
      <c r="B769" s="49">
        <v>29</v>
      </c>
      <c r="C769" s="54">
        <f>42000*G769</f>
        <v>802326.00000000012</v>
      </c>
      <c r="D769" s="55" t="s">
        <v>4323</v>
      </c>
      <c r="E769" s="55" t="s">
        <v>4668</v>
      </c>
      <c r="F769" s="55" t="s">
        <v>4433</v>
      </c>
      <c r="G769" s="55">
        <v>19.103000000000002</v>
      </c>
      <c r="H769" s="55"/>
      <c r="I769" s="57">
        <v>43675</v>
      </c>
      <c r="J769" s="55" t="s">
        <v>62</v>
      </c>
    </row>
    <row r="770" spans="1:10" s="191" customFormat="1" x14ac:dyDescent="0.25">
      <c r="A770" s="191" t="s">
        <v>91</v>
      </c>
      <c r="B770" s="192">
        <v>29</v>
      </c>
      <c r="C770" s="51">
        <f>41055.1*G770</f>
        <v>784275.57530000003</v>
      </c>
      <c r="D770" s="52" t="s">
        <v>4480</v>
      </c>
      <c r="E770" s="52" t="s">
        <v>4481</v>
      </c>
      <c r="F770" s="52" t="s">
        <v>4482</v>
      </c>
      <c r="G770" s="52">
        <v>19.103000000000002</v>
      </c>
      <c r="H770" s="52"/>
      <c r="I770" s="53">
        <v>43675</v>
      </c>
      <c r="J770" s="52" t="s">
        <v>62</v>
      </c>
    </row>
    <row r="771" spans="1:10" s="191" customFormat="1" x14ac:dyDescent="0.25">
      <c r="A771" s="191" t="s">
        <v>91</v>
      </c>
      <c r="B771" s="192">
        <v>29</v>
      </c>
      <c r="C771" s="51">
        <v>46153.64</v>
      </c>
      <c r="D771" s="52" t="s">
        <v>4537</v>
      </c>
      <c r="E771" s="52" t="s">
        <v>4536</v>
      </c>
      <c r="F771" s="52" t="s">
        <v>2582</v>
      </c>
      <c r="G771" s="272"/>
      <c r="H771" s="53">
        <v>43675</v>
      </c>
      <c r="I771" s="53" t="s">
        <v>62</v>
      </c>
      <c r="J771" s="52"/>
    </row>
    <row r="772" spans="1:10" x14ac:dyDescent="0.25">
      <c r="A772" t="s">
        <v>91</v>
      </c>
      <c r="B772" s="49">
        <v>29</v>
      </c>
      <c r="C772" s="51">
        <f>529262.5+13128.3</f>
        <v>542390.80000000005</v>
      </c>
      <c r="D772" s="52" t="s">
        <v>4371</v>
      </c>
      <c r="E772" s="52" t="s">
        <v>4372</v>
      </c>
      <c r="F772" s="52" t="s">
        <v>52</v>
      </c>
      <c r="G772" s="53">
        <v>43672</v>
      </c>
      <c r="H772" s="52" t="s">
        <v>55</v>
      </c>
    </row>
    <row r="773" spans="1:10" x14ac:dyDescent="0.25">
      <c r="A773" t="s">
        <v>91</v>
      </c>
      <c r="B773" s="49">
        <v>29</v>
      </c>
      <c r="C773" s="51">
        <f>899112.5+20130.06</f>
        <v>919242.56</v>
      </c>
      <c r="D773" s="52" t="s">
        <v>4373</v>
      </c>
      <c r="E773" s="52" t="s">
        <v>4353</v>
      </c>
      <c r="F773" s="52" t="s">
        <v>52</v>
      </c>
      <c r="G773" s="53">
        <v>43672</v>
      </c>
      <c r="H773" s="52" t="s">
        <v>55</v>
      </c>
    </row>
    <row r="774" spans="1:10" x14ac:dyDescent="0.25">
      <c r="A774" s="191" t="s">
        <v>91</v>
      </c>
      <c r="B774" s="49">
        <v>29</v>
      </c>
      <c r="C774" s="51">
        <f>513012.5+13303.34</f>
        <v>526315.84</v>
      </c>
      <c r="D774" s="52" t="s">
        <v>4367</v>
      </c>
      <c r="E774" s="52" t="s">
        <v>4368</v>
      </c>
      <c r="F774" s="52" t="s">
        <v>52</v>
      </c>
      <c r="G774" s="53">
        <v>43675</v>
      </c>
      <c r="H774" s="52" t="s">
        <v>55</v>
      </c>
    </row>
    <row r="775" spans="1:10" x14ac:dyDescent="0.25">
      <c r="A775" t="s">
        <v>91</v>
      </c>
      <c r="B775" s="49">
        <v>29</v>
      </c>
      <c r="C775" s="51">
        <f>951437.5+20042.54</f>
        <v>971480.04</v>
      </c>
      <c r="D775" s="52" t="s">
        <v>4369</v>
      </c>
      <c r="E775" s="52" t="s">
        <v>4370</v>
      </c>
      <c r="F775" s="52" t="s">
        <v>52</v>
      </c>
      <c r="G775" s="53">
        <v>43675</v>
      </c>
      <c r="H775" s="52" t="s">
        <v>55</v>
      </c>
    </row>
    <row r="776" spans="1:10" x14ac:dyDescent="0.25">
      <c r="A776" t="s">
        <v>122</v>
      </c>
      <c r="B776" s="49">
        <v>30</v>
      </c>
      <c r="C776" s="54">
        <f>45500*G776</f>
        <v>870005.49999999988</v>
      </c>
      <c r="D776" s="55" t="s">
        <v>4490</v>
      </c>
      <c r="E776" s="55" t="s">
        <v>4693</v>
      </c>
      <c r="F776" s="55" t="s">
        <v>4495</v>
      </c>
      <c r="G776" s="55">
        <v>19.120999999999999</v>
      </c>
      <c r="H776" s="55"/>
      <c r="I776" s="57">
        <v>43676</v>
      </c>
      <c r="J776" s="55" t="s">
        <v>62</v>
      </c>
    </row>
    <row r="777" spans="1:10" x14ac:dyDescent="0.25">
      <c r="A777" t="s">
        <v>122</v>
      </c>
      <c r="B777" s="49">
        <v>30</v>
      </c>
      <c r="C777" s="54">
        <f>45500*G777</f>
        <v>870005.49999999988</v>
      </c>
      <c r="D777" s="55" t="s">
        <v>4758</v>
      </c>
      <c r="E777" s="55" t="s">
        <v>4757</v>
      </c>
      <c r="F777" s="55" t="s">
        <v>4495</v>
      </c>
      <c r="G777" s="55">
        <v>19.120999999999999</v>
      </c>
      <c r="H777" s="55"/>
      <c r="I777" s="57">
        <v>43676</v>
      </c>
      <c r="J777" s="55" t="s">
        <v>62</v>
      </c>
    </row>
    <row r="778" spans="1:10" x14ac:dyDescent="0.25">
      <c r="A778" t="s">
        <v>122</v>
      </c>
      <c r="B778" s="49">
        <v>30</v>
      </c>
      <c r="C778" s="51">
        <v>886212</v>
      </c>
      <c r="D778" s="52" t="s">
        <v>4456</v>
      </c>
      <c r="E778" s="52" t="s">
        <v>4448</v>
      </c>
      <c r="F778" s="52" t="s">
        <v>73</v>
      </c>
      <c r="G778" s="53">
        <v>43675</v>
      </c>
      <c r="H778" s="52" t="s">
        <v>55</v>
      </c>
    </row>
    <row r="779" spans="1:10" x14ac:dyDescent="0.25">
      <c r="A779" s="191" t="s">
        <v>122</v>
      </c>
      <c r="B779" s="49">
        <v>30</v>
      </c>
      <c r="C779" s="51">
        <f>859360+20130.06</f>
        <v>879490.06</v>
      </c>
      <c r="D779" s="52" t="s">
        <v>4437</v>
      </c>
      <c r="E779" s="52" t="s">
        <v>4379</v>
      </c>
      <c r="F779" s="52" t="s">
        <v>52</v>
      </c>
      <c r="G779" s="53">
        <v>43676</v>
      </c>
      <c r="H779" s="52" t="s">
        <v>55</v>
      </c>
    </row>
    <row r="780" spans="1:10" x14ac:dyDescent="0.25">
      <c r="A780" t="s">
        <v>122</v>
      </c>
      <c r="B780" s="49">
        <v>30</v>
      </c>
      <c r="C780" s="51">
        <f>507840+13128.3</f>
        <v>520968.3</v>
      </c>
      <c r="D780" s="52" t="s">
        <v>4435</v>
      </c>
      <c r="E780" s="52" t="s">
        <v>4436</v>
      </c>
      <c r="F780" s="52" t="s">
        <v>52</v>
      </c>
      <c r="G780" s="53">
        <v>43675</v>
      </c>
      <c r="H780" s="52" t="s">
        <v>55</v>
      </c>
    </row>
    <row r="781" spans="1:10" x14ac:dyDescent="0.25">
      <c r="A781" t="s">
        <v>43</v>
      </c>
      <c r="B781" s="49">
        <v>31</v>
      </c>
      <c r="C781" s="51">
        <f>831360+20042.54-3630.4</f>
        <v>847772.14</v>
      </c>
      <c r="D781" s="52" t="s">
        <v>4438</v>
      </c>
      <c r="E781" s="52" t="s">
        <v>4439</v>
      </c>
      <c r="F781" s="52" t="s">
        <v>52</v>
      </c>
      <c r="G781" s="53">
        <v>43676</v>
      </c>
      <c r="H781" s="52" t="s">
        <v>55</v>
      </c>
    </row>
    <row r="782" spans="1:10" x14ac:dyDescent="0.25">
      <c r="A782" s="191" t="s">
        <v>43</v>
      </c>
      <c r="B782" s="49">
        <v>31</v>
      </c>
      <c r="C782" s="51">
        <f>864800+20042.54</f>
        <v>884842.54</v>
      </c>
      <c r="D782" s="52" t="s">
        <v>4438</v>
      </c>
      <c r="E782" s="52" t="s">
        <v>4440</v>
      </c>
      <c r="F782" s="52" t="s">
        <v>52</v>
      </c>
      <c r="G782" s="53">
        <v>43677</v>
      </c>
      <c r="H782" s="52" t="s">
        <v>55</v>
      </c>
    </row>
    <row r="783" spans="1:10" x14ac:dyDescent="0.25">
      <c r="A783" t="s">
        <v>43</v>
      </c>
      <c r="B783" s="49">
        <v>31</v>
      </c>
      <c r="C783" s="51">
        <f>131840+3500.88</f>
        <v>135340.88</v>
      </c>
      <c r="D783" s="52" t="s">
        <v>4441</v>
      </c>
      <c r="E783" s="52" t="s">
        <v>4442</v>
      </c>
      <c r="F783" s="52" t="s">
        <v>52</v>
      </c>
      <c r="G783" s="53">
        <v>43677</v>
      </c>
      <c r="H783" s="52" t="s">
        <v>55</v>
      </c>
    </row>
    <row r="784" spans="1:10" x14ac:dyDescent="0.25">
      <c r="A784" t="s">
        <v>43</v>
      </c>
      <c r="B784" s="49">
        <v>31</v>
      </c>
      <c r="C784" s="54">
        <f>41000*G784</f>
        <v>780804</v>
      </c>
      <c r="D784" s="55" t="s">
        <v>4491</v>
      </c>
      <c r="E784" s="55" t="s">
        <v>4687</v>
      </c>
      <c r="F784" s="55" t="s">
        <v>4508</v>
      </c>
      <c r="G784" s="55">
        <v>19.044</v>
      </c>
      <c r="H784" s="55"/>
      <c r="I784" s="57">
        <v>43677</v>
      </c>
      <c r="J784" s="55" t="s">
        <v>62</v>
      </c>
    </row>
    <row r="785" spans="1:10" x14ac:dyDescent="0.25">
      <c r="A785" s="61" t="s">
        <v>4281</v>
      </c>
    </row>
    <row r="786" spans="1:10" x14ac:dyDescent="0.25">
      <c r="A786" s="61" t="s">
        <v>59</v>
      </c>
      <c r="B786" s="49">
        <v>1</v>
      </c>
      <c r="C786" s="51">
        <f>40263.71*G786</f>
        <v>773063.23199999996</v>
      </c>
      <c r="D786" s="52" t="s">
        <v>4494</v>
      </c>
      <c r="E786" s="52" t="s">
        <v>4515</v>
      </c>
      <c r="F786" s="52" t="s">
        <v>4516</v>
      </c>
      <c r="G786" s="52">
        <v>19.2</v>
      </c>
      <c r="H786" s="52">
        <v>43.31</v>
      </c>
      <c r="I786" s="53">
        <v>43678</v>
      </c>
      <c r="J786" s="53" t="s">
        <v>62</v>
      </c>
    </row>
    <row r="787" spans="1:10" x14ac:dyDescent="0.25">
      <c r="A787" t="s">
        <v>59</v>
      </c>
      <c r="B787" s="49">
        <v>1</v>
      </c>
      <c r="C787" s="51">
        <v>728000</v>
      </c>
      <c r="D787" s="52" t="s">
        <v>4443</v>
      </c>
      <c r="E787" s="52" t="s">
        <v>4444</v>
      </c>
      <c r="F787" s="52" t="s">
        <v>4467</v>
      </c>
      <c r="G787" s="53">
        <v>43677</v>
      </c>
      <c r="H787" s="52" t="s">
        <v>55</v>
      </c>
    </row>
    <row r="788" spans="1:10" x14ac:dyDescent="0.25">
      <c r="A788" s="191" t="s">
        <v>59</v>
      </c>
      <c r="B788" s="49">
        <v>1</v>
      </c>
      <c r="C788" s="51">
        <v>157760</v>
      </c>
      <c r="D788" s="52" t="s">
        <v>4445</v>
      </c>
      <c r="E788" s="52" t="s">
        <v>4468</v>
      </c>
      <c r="F788" s="52" t="s">
        <v>4467</v>
      </c>
      <c r="G788" s="53">
        <v>43679</v>
      </c>
      <c r="H788" s="52" t="s">
        <v>55</v>
      </c>
    </row>
    <row r="789" spans="1:10" x14ac:dyDescent="0.25">
      <c r="A789" t="s">
        <v>59</v>
      </c>
      <c r="B789" s="49">
        <v>1</v>
      </c>
      <c r="C789" s="51">
        <f>15194.97+15194.97+7994.87</f>
        <v>38384.81</v>
      </c>
      <c r="D789" s="52" t="s">
        <v>4487</v>
      </c>
      <c r="E789" s="52" t="s">
        <v>4488</v>
      </c>
      <c r="F789" s="52" t="s">
        <v>4489</v>
      </c>
      <c r="G789" s="53">
        <v>43678</v>
      </c>
      <c r="H789" s="52" t="s">
        <v>55</v>
      </c>
    </row>
    <row r="790" spans="1:10" x14ac:dyDescent="0.25">
      <c r="A790" t="s">
        <v>59</v>
      </c>
      <c r="B790" s="49">
        <v>1</v>
      </c>
      <c r="C790" s="51">
        <f>40195.66*G790</f>
        <v>778991.89080000005</v>
      </c>
      <c r="D790" s="52" t="s">
        <v>4614</v>
      </c>
      <c r="E790" s="52" t="s">
        <v>4571</v>
      </c>
      <c r="F790" s="52" t="s">
        <v>4572</v>
      </c>
      <c r="G790" s="52">
        <v>19.38</v>
      </c>
      <c r="H790" s="52"/>
      <c r="I790" s="53">
        <v>43679</v>
      </c>
      <c r="J790" s="52" t="s">
        <v>62</v>
      </c>
    </row>
    <row r="791" spans="1:10" x14ac:dyDescent="0.25">
      <c r="A791" t="s">
        <v>70</v>
      </c>
      <c r="B791" s="49">
        <v>2</v>
      </c>
      <c r="C791" s="54">
        <f>35000*G791</f>
        <v>671054.99999999988</v>
      </c>
      <c r="D791" s="55" t="s">
        <v>4492</v>
      </c>
      <c r="E791" s="55" t="s">
        <v>4712</v>
      </c>
      <c r="F791" s="55" t="s">
        <v>2738</v>
      </c>
      <c r="G791" s="55">
        <v>19.172999999999998</v>
      </c>
      <c r="H791" s="55"/>
      <c r="I791" s="57">
        <v>43679</v>
      </c>
      <c r="J791" s="55" t="s">
        <v>62</v>
      </c>
    </row>
    <row r="792" spans="1:10" x14ac:dyDescent="0.25">
      <c r="A792" t="s">
        <v>70</v>
      </c>
      <c r="B792" s="49">
        <v>2</v>
      </c>
    </row>
    <row r="793" spans="1:10" x14ac:dyDescent="0.25">
      <c r="A793" s="37" t="s">
        <v>89</v>
      </c>
      <c r="B793" s="49">
        <v>3</v>
      </c>
    </row>
    <row r="794" spans="1:10" x14ac:dyDescent="0.25">
      <c r="A794" s="37" t="s">
        <v>90</v>
      </c>
      <c r="B794" s="49">
        <v>4</v>
      </c>
    </row>
    <row r="795" spans="1:10" s="191" customFormat="1" x14ac:dyDescent="0.25">
      <c r="A795" s="191" t="s">
        <v>91</v>
      </c>
      <c r="B795" s="192">
        <v>5</v>
      </c>
      <c r="C795" s="54">
        <f>37000*G795</f>
        <v>727420</v>
      </c>
      <c r="D795" s="55" t="s">
        <v>4493</v>
      </c>
      <c r="E795" s="55" t="s">
        <v>4713</v>
      </c>
      <c r="F795" s="55" t="s">
        <v>2831</v>
      </c>
      <c r="G795" s="55">
        <v>19.66</v>
      </c>
      <c r="H795" s="55"/>
      <c r="I795" s="57">
        <v>43682</v>
      </c>
      <c r="J795" s="55" t="s">
        <v>62</v>
      </c>
    </row>
    <row r="796" spans="1:10" s="191" customFormat="1" x14ac:dyDescent="0.25">
      <c r="A796" s="191" t="s">
        <v>91</v>
      </c>
      <c r="B796" s="192">
        <v>5</v>
      </c>
      <c r="C796" s="51">
        <f>41127.17*G796</f>
        <v>808560.16220000002</v>
      </c>
      <c r="D796" s="52" t="s">
        <v>4615</v>
      </c>
      <c r="E796" s="52" t="s">
        <v>4669</v>
      </c>
      <c r="F796" s="52" t="s">
        <v>4659</v>
      </c>
      <c r="G796" s="52">
        <v>19.66</v>
      </c>
      <c r="H796" s="52">
        <v>45.29</v>
      </c>
      <c r="I796" s="53">
        <v>43682</v>
      </c>
      <c r="J796" s="52" t="s">
        <v>62</v>
      </c>
    </row>
    <row r="797" spans="1:10" x14ac:dyDescent="0.25">
      <c r="A797" t="s">
        <v>91</v>
      </c>
      <c r="B797" s="49">
        <v>5</v>
      </c>
      <c r="C797" s="51">
        <v>694720</v>
      </c>
      <c r="D797" s="52" t="s">
        <v>4446</v>
      </c>
      <c r="E797" s="52" t="s">
        <v>4412</v>
      </c>
      <c r="F797" s="52" t="s">
        <v>4467</v>
      </c>
      <c r="G797" s="53">
        <v>43678</v>
      </c>
      <c r="H797" s="52" t="s">
        <v>55</v>
      </c>
    </row>
    <row r="798" spans="1:10" x14ac:dyDescent="0.25">
      <c r="A798" t="s">
        <v>91</v>
      </c>
      <c r="B798" s="49">
        <v>5</v>
      </c>
      <c r="C798" s="51">
        <v>778240</v>
      </c>
      <c r="D798" s="52" t="s">
        <v>4447</v>
      </c>
      <c r="E798" s="52" t="s">
        <v>4411</v>
      </c>
      <c r="F798" s="52" t="s">
        <v>4467</v>
      </c>
      <c r="G798" s="53">
        <v>43682</v>
      </c>
      <c r="H798" s="52" t="s">
        <v>55</v>
      </c>
    </row>
    <row r="799" spans="1:10" x14ac:dyDescent="0.25">
      <c r="A799" t="s">
        <v>91</v>
      </c>
      <c r="B799" s="49">
        <v>5</v>
      </c>
      <c r="C799" s="51">
        <f>815680+17504.4</f>
        <v>833184.4</v>
      </c>
      <c r="D799" s="52" t="s">
        <v>4449</v>
      </c>
      <c r="E799" s="52" t="s">
        <v>4415</v>
      </c>
      <c r="F799" s="52" t="s">
        <v>52</v>
      </c>
      <c r="G799" s="53">
        <v>43682</v>
      </c>
      <c r="H799" s="52" t="s">
        <v>55</v>
      </c>
    </row>
    <row r="800" spans="1:10" x14ac:dyDescent="0.25">
      <c r="A800" t="s">
        <v>91</v>
      </c>
      <c r="B800" s="49">
        <v>5</v>
      </c>
      <c r="C800" s="51">
        <f>679200+15753.96</f>
        <v>694953.96</v>
      </c>
      <c r="D800" s="52" t="s">
        <v>4450</v>
      </c>
      <c r="E800" s="52" t="s">
        <v>4416</v>
      </c>
      <c r="F800" s="52" t="s">
        <v>52</v>
      </c>
      <c r="G800" s="53">
        <v>43682</v>
      </c>
      <c r="H800" s="52" t="s">
        <v>55</v>
      </c>
    </row>
    <row r="801" spans="1:10" x14ac:dyDescent="0.25">
      <c r="A801" t="s">
        <v>91</v>
      </c>
      <c r="B801" s="49">
        <v>5</v>
      </c>
      <c r="C801" s="51">
        <v>65873</v>
      </c>
      <c r="D801" s="52" t="s">
        <v>4539</v>
      </c>
      <c r="E801" s="52" t="s">
        <v>4497</v>
      </c>
      <c r="F801" s="52" t="s">
        <v>4660</v>
      </c>
      <c r="G801" s="52"/>
      <c r="H801" s="53">
        <v>43682</v>
      </c>
      <c r="I801" s="52" t="s">
        <v>62</v>
      </c>
    </row>
    <row r="802" spans="1:10" x14ac:dyDescent="0.25">
      <c r="A802" t="s">
        <v>91</v>
      </c>
      <c r="B802" s="49">
        <v>5</v>
      </c>
      <c r="C802" s="51">
        <v>26500</v>
      </c>
      <c r="D802" s="52" t="s">
        <v>4663</v>
      </c>
      <c r="E802" s="52" t="s">
        <v>4529</v>
      </c>
      <c r="F802" s="52" t="s">
        <v>1918</v>
      </c>
      <c r="G802" s="53">
        <v>43677</v>
      </c>
      <c r="H802" s="53" t="s">
        <v>62</v>
      </c>
    </row>
    <row r="803" spans="1:10" x14ac:dyDescent="0.25">
      <c r="A803" t="s">
        <v>91</v>
      </c>
      <c r="B803" s="49">
        <v>5</v>
      </c>
      <c r="C803" s="51">
        <v>36501.519999999997</v>
      </c>
      <c r="D803" s="52" t="s">
        <v>4532</v>
      </c>
      <c r="E803" s="52" t="s">
        <v>4533</v>
      </c>
      <c r="F803" s="52" t="s">
        <v>4525</v>
      </c>
      <c r="G803" s="53">
        <v>43677</v>
      </c>
      <c r="H803" s="53" t="s">
        <v>62</v>
      </c>
    </row>
    <row r="804" spans="1:10" s="191" customFormat="1" x14ac:dyDescent="0.25">
      <c r="A804" s="191" t="s">
        <v>122</v>
      </c>
      <c r="B804" s="192">
        <v>6</v>
      </c>
      <c r="C804" s="51">
        <f>40455.61*G804</f>
        <v>794952.7365</v>
      </c>
      <c r="D804" s="52" t="s">
        <v>4616</v>
      </c>
      <c r="E804" s="52" t="s">
        <v>4780</v>
      </c>
      <c r="F804" s="283" t="s">
        <v>4678</v>
      </c>
      <c r="G804" s="52">
        <v>19.649999999999999</v>
      </c>
      <c r="H804" s="53"/>
      <c r="I804" s="53">
        <v>43683</v>
      </c>
      <c r="J804" s="52" t="s">
        <v>62</v>
      </c>
    </row>
    <row r="805" spans="1:10" x14ac:dyDescent="0.25">
      <c r="A805" t="s">
        <v>122</v>
      </c>
      <c r="B805" s="49">
        <v>6</v>
      </c>
      <c r="C805" s="51">
        <f>718672.5+17329.36-7259.49</f>
        <v>728742.37</v>
      </c>
      <c r="D805" s="52" t="s">
        <v>4452</v>
      </c>
      <c r="E805" s="52" t="s">
        <v>4453</v>
      </c>
      <c r="F805" s="52" t="s">
        <v>52</v>
      </c>
      <c r="G805" s="53">
        <v>43683</v>
      </c>
      <c r="H805" s="52" t="s">
        <v>55</v>
      </c>
    </row>
    <row r="806" spans="1:10" x14ac:dyDescent="0.25">
      <c r="A806" t="s">
        <v>122</v>
      </c>
      <c r="B806" s="49">
        <v>6</v>
      </c>
      <c r="C806" s="51">
        <f>170887.5+4376.1</f>
        <v>175263.6</v>
      </c>
      <c r="D806" s="52" t="s">
        <v>4454</v>
      </c>
      <c r="E806" s="52" t="s">
        <v>4455</v>
      </c>
      <c r="F806" s="52" t="s">
        <v>52</v>
      </c>
      <c r="G806" s="53">
        <v>43683</v>
      </c>
      <c r="H806" s="52" t="s">
        <v>55</v>
      </c>
    </row>
    <row r="807" spans="1:10" x14ac:dyDescent="0.25">
      <c r="A807" t="s">
        <v>122</v>
      </c>
      <c r="B807" s="49">
        <v>6</v>
      </c>
      <c r="C807" s="51">
        <f>22302.9*40.4</f>
        <v>901037.16</v>
      </c>
      <c r="D807" s="52" t="s">
        <v>4524</v>
      </c>
      <c r="E807" s="52" t="s">
        <v>4655</v>
      </c>
      <c r="F807" s="52" t="s">
        <v>73</v>
      </c>
      <c r="G807" s="53">
        <v>43683</v>
      </c>
      <c r="H807" s="52" t="s">
        <v>55</v>
      </c>
    </row>
    <row r="808" spans="1:10" x14ac:dyDescent="0.25">
      <c r="A808" t="s">
        <v>43</v>
      </c>
      <c r="B808" s="49">
        <v>7</v>
      </c>
      <c r="C808" s="54">
        <f>43000*G808</f>
        <v>848819.99999999988</v>
      </c>
      <c r="D808" s="55" t="s">
        <v>4773</v>
      </c>
      <c r="E808" s="55" t="s">
        <v>4774</v>
      </c>
      <c r="F808" s="55" t="s">
        <v>4688</v>
      </c>
      <c r="G808" s="55">
        <v>19.739999999999998</v>
      </c>
      <c r="H808" s="55"/>
      <c r="I808" s="57">
        <v>43684</v>
      </c>
      <c r="J808" s="55" t="s">
        <v>62</v>
      </c>
    </row>
    <row r="809" spans="1:10" x14ac:dyDescent="0.25">
      <c r="A809" t="s">
        <v>43</v>
      </c>
      <c r="B809" s="49">
        <v>7</v>
      </c>
      <c r="C809" s="54">
        <f>43000*G809</f>
        <v>848819.99999999988</v>
      </c>
      <c r="D809" s="55" t="s">
        <v>4748</v>
      </c>
      <c r="E809" s="55" t="s">
        <v>4755</v>
      </c>
      <c r="F809" s="55" t="s">
        <v>4688</v>
      </c>
      <c r="G809" s="55">
        <v>19.739999999999998</v>
      </c>
      <c r="H809" s="55"/>
      <c r="I809" s="57">
        <v>43684</v>
      </c>
      <c r="J809" s="55" t="s">
        <v>62</v>
      </c>
    </row>
    <row r="810" spans="1:10" x14ac:dyDescent="0.25">
      <c r="A810" t="s">
        <v>43</v>
      </c>
      <c r="B810" s="49">
        <v>7</v>
      </c>
      <c r="C810" s="134">
        <v>1573100.62</v>
      </c>
      <c r="D810" s="135" t="s">
        <v>4377</v>
      </c>
      <c r="E810" s="135" t="s">
        <v>4376</v>
      </c>
      <c r="F810" s="135" t="s">
        <v>3188</v>
      </c>
      <c r="G810" s="135">
        <v>85.8</v>
      </c>
      <c r="H810" s="136">
        <v>43689</v>
      </c>
      <c r="I810" s="135" t="s">
        <v>62</v>
      </c>
    </row>
    <row r="811" spans="1:10" x14ac:dyDescent="0.25">
      <c r="A811" t="s">
        <v>43</v>
      </c>
      <c r="B811" s="49">
        <v>7</v>
      </c>
      <c r="C811" s="51">
        <f>722767.5+17416.88</f>
        <v>740184.38</v>
      </c>
      <c r="D811" s="52" t="s">
        <v>4472</v>
      </c>
      <c r="E811" s="52" t="s">
        <v>4474</v>
      </c>
      <c r="F811" s="52" t="s">
        <v>52</v>
      </c>
      <c r="G811" s="53">
        <v>43684</v>
      </c>
      <c r="H811" s="52" t="s">
        <v>55</v>
      </c>
    </row>
    <row r="812" spans="1:10" x14ac:dyDescent="0.25">
      <c r="A812" t="s">
        <v>43</v>
      </c>
      <c r="B812" s="49">
        <v>7</v>
      </c>
      <c r="C812" s="51">
        <f>675045+15753.96</f>
        <v>690798.96</v>
      </c>
      <c r="D812" s="52" t="s">
        <v>4473</v>
      </c>
      <c r="E812" s="52" t="s">
        <v>4475</v>
      </c>
      <c r="F812" s="52" t="s">
        <v>52</v>
      </c>
      <c r="G812" s="53">
        <v>43684</v>
      </c>
      <c r="H812" s="52" t="s">
        <v>55</v>
      </c>
    </row>
    <row r="813" spans="1:10" x14ac:dyDescent="0.25">
      <c r="A813" t="s">
        <v>43</v>
      </c>
      <c r="B813" s="49">
        <v>7</v>
      </c>
      <c r="C813" s="51">
        <f>58717.5-28122</f>
        <v>30595.5</v>
      </c>
      <c r="D813" s="52" t="s">
        <v>4656</v>
      </c>
      <c r="E813" s="52" t="s">
        <v>4677</v>
      </c>
      <c r="F813" s="52" t="s">
        <v>4525</v>
      </c>
      <c r="G813" s="53">
        <v>43684</v>
      </c>
      <c r="H813" s="52" t="s">
        <v>62</v>
      </c>
    </row>
    <row r="814" spans="1:10" x14ac:dyDescent="0.25">
      <c r="A814" t="s">
        <v>59</v>
      </c>
      <c r="B814" s="49">
        <v>8</v>
      </c>
      <c r="C814" s="54">
        <f>40000*G814</f>
        <v>784800</v>
      </c>
      <c r="D814" s="286" t="s">
        <v>4613</v>
      </c>
      <c r="E814" s="55" t="s">
        <v>4769</v>
      </c>
      <c r="F814" s="55" t="s">
        <v>3669</v>
      </c>
      <c r="G814" s="55">
        <v>19.62</v>
      </c>
      <c r="H814" s="55"/>
      <c r="I814" s="57">
        <v>43685</v>
      </c>
      <c r="J814" s="55" t="s">
        <v>62</v>
      </c>
    </row>
    <row r="815" spans="1:10" x14ac:dyDescent="0.25">
      <c r="A815" t="s">
        <v>59</v>
      </c>
      <c r="B815" s="49">
        <v>8</v>
      </c>
      <c r="C815" s="51">
        <f>820260+17504.4-4101.3</f>
        <v>833663.1</v>
      </c>
      <c r="D815" s="52" t="s">
        <v>4476</v>
      </c>
      <c r="E815" s="52" t="s">
        <v>4509</v>
      </c>
      <c r="F815" s="52" t="s">
        <v>52</v>
      </c>
      <c r="G815" s="53">
        <v>43685</v>
      </c>
      <c r="H815" s="52" t="s">
        <v>55</v>
      </c>
      <c r="I815" s="191"/>
      <c r="J815" s="191"/>
    </row>
    <row r="816" spans="1:10" x14ac:dyDescent="0.25">
      <c r="A816" t="s">
        <v>59</v>
      </c>
      <c r="B816" s="49">
        <v>8</v>
      </c>
      <c r="C816" s="51">
        <f>611572.5+15753.96</f>
        <v>627326.46</v>
      </c>
      <c r="D816" s="52" t="s">
        <v>4477</v>
      </c>
      <c r="E816" s="52" t="s">
        <v>4471</v>
      </c>
      <c r="F816" s="52" t="s">
        <v>52</v>
      </c>
      <c r="G816" s="53">
        <v>43685</v>
      </c>
      <c r="H816" s="52" t="s">
        <v>55</v>
      </c>
    </row>
    <row r="817" spans="1:10" x14ac:dyDescent="0.25">
      <c r="A817" t="s">
        <v>59</v>
      </c>
      <c r="B817" s="49">
        <v>8</v>
      </c>
      <c r="C817" s="51">
        <v>52920</v>
      </c>
      <c r="D817" s="52" t="s">
        <v>4721</v>
      </c>
      <c r="E817" s="52" t="s">
        <v>4719</v>
      </c>
      <c r="F817" s="52" t="s">
        <v>4720</v>
      </c>
      <c r="G817" s="284">
        <v>60</v>
      </c>
      <c r="H817" s="53">
        <v>43686</v>
      </c>
      <c r="I817" s="52" t="s">
        <v>62</v>
      </c>
    </row>
    <row r="818" spans="1:10" x14ac:dyDescent="0.25">
      <c r="A818" t="s">
        <v>70</v>
      </c>
      <c r="B818" s="49">
        <v>9</v>
      </c>
      <c r="C818" s="51">
        <f>41609.09*G818</f>
        <v>814705.98219999985</v>
      </c>
      <c r="D818" s="52" t="s">
        <v>4617</v>
      </c>
      <c r="E818" s="52" t="s">
        <v>4695</v>
      </c>
      <c r="F818" s="52" t="s">
        <v>4696</v>
      </c>
      <c r="G818" s="52">
        <v>19.579999999999998</v>
      </c>
      <c r="H818" s="52"/>
      <c r="I818" s="53">
        <v>43686</v>
      </c>
      <c r="J818" s="52" t="s">
        <v>62</v>
      </c>
    </row>
    <row r="819" spans="1:10" x14ac:dyDescent="0.25">
      <c r="A819" s="37" t="s">
        <v>89</v>
      </c>
      <c r="B819" s="49">
        <v>10</v>
      </c>
    </row>
    <row r="820" spans="1:10" x14ac:dyDescent="0.25">
      <c r="A820" s="37" t="s">
        <v>90</v>
      </c>
      <c r="B820" s="49">
        <v>11</v>
      </c>
    </row>
    <row r="821" spans="1:10" x14ac:dyDescent="0.25">
      <c r="A821" s="191" t="s">
        <v>91</v>
      </c>
      <c r="B821" s="49">
        <v>12</v>
      </c>
      <c r="C821" s="54">
        <f>44000*G821</f>
        <v>869440.00000000012</v>
      </c>
      <c r="D821" s="55" t="s">
        <v>4618</v>
      </c>
      <c r="E821" s="55" t="s">
        <v>4789</v>
      </c>
      <c r="F821" s="55" t="s">
        <v>4714</v>
      </c>
      <c r="G821" s="55">
        <v>19.760000000000002</v>
      </c>
      <c r="H821" s="55"/>
      <c r="I821" s="57">
        <v>43689</v>
      </c>
      <c r="J821" s="55" t="s">
        <v>62</v>
      </c>
    </row>
    <row r="822" spans="1:10" s="191" customFormat="1" x14ac:dyDescent="0.25">
      <c r="A822" s="191" t="s">
        <v>91</v>
      </c>
      <c r="B822" s="192">
        <v>12</v>
      </c>
      <c r="C822" s="51">
        <f>41578.02*G822</f>
        <v>817008.09299999988</v>
      </c>
      <c r="D822" s="52" t="s">
        <v>4623</v>
      </c>
      <c r="E822" s="52" t="s">
        <v>4735</v>
      </c>
      <c r="F822" s="52" t="s">
        <v>4734</v>
      </c>
      <c r="G822" s="52">
        <v>19.649999999999999</v>
      </c>
      <c r="H822" s="52">
        <v>46.05</v>
      </c>
      <c r="I822" s="53">
        <v>43690</v>
      </c>
      <c r="J822" s="52" t="s">
        <v>62</v>
      </c>
    </row>
    <row r="823" spans="1:10" x14ac:dyDescent="0.25">
      <c r="A823" t="s">
        <v>91</v>
      </c>
      <c r="B823" s="49">
        <v>12</v>
      </c>
      <c r="C823" s="51">
        <v>95908.56</v>
      </c>
      <c r="D823" s="52" t="s">
        <v>4699</v>
      </c>
      <c r="E823" s="52" t="s">
        <v>4698</v>
      </c>
      <c r="F823" s="52" t="s">
        <v>4525</v>
      </c>
      <c r="G823" s="53">
        <v>43694</v>
      </c>
      <c r="H823" s="52" t="s">
        <v>62</v>
      </c>
    </row>
    <row r="824" spans="1:10" s="191" customFormat="1" x14ac:dyDescent="0.25">
      <c r="A824" t="s">
        <v>91</v>
      </c>
      <c r="B824" s="49">
        <v>12</v>
      </c>
      <c r="C824" s="51">
        <f>787185+17504.4</f>
        <v>804689.4</v>
      </c>
      <c r="D824" s="52" t="s">
        <v>4512</v>
      </c>
      <c r="E824" s="52" t="s">
        <v>4498</v>
      </c>
      <c r="F824" s="52" t="s">
        <v>52</v>
      </c>
      <c r="G824" s="53">
        <v>43689</v>
      </c>
      <c r="H824" s="52" t="s">
        <v>55</v>
      </c>
    </row>
    <row r="825" spans="1:10" x14ac:dyDescent="0.25">
      <c r="A825" t="s">
        <v>91</v>
      </c>
      <c r="B825" s="49">
        <v>12</v>
      </c>
      <c r="C825" s="51">
        <f>525892.5+11377.86</f>
        <v>537270.36</v>
      </c>
      <c r="D825" s="52" t="s">
        <v>4512</v>
      </c>
      <c r="E825" s="52" t="s">
        <v>4499</v>
      </c>
      <c r="F825" s="52" t="s">
        <v>52</v>
      </c>
      <c r="G825" s="53">
        <v>43689</v>
      </c>
      <c r="H825" s="52" t="s">
        <v>55</v>
      </c>
    </row>
    <row r="826" spans="1:10" x14ac:dyDescent="0.25">
      <c r="A826" t="s">
        <v>91</v>
      </c>
      <c r="B826" s="49">
        <v>12</v>
      </c>
      <c r="C826" s="51">
        <f>748755+17591.92</f>
        <v>766346.92</v>
      </c>
      <c r="D826" s="52" t="s">
        <v>4751</v>
      </c>
      <c r="E826" s="52" t="s">
        <v>4510</v>
      </c>
      <c r="F826" s="52" t="s">
        <v>52</v>
      </c>
      <c r="G826" s="53">
        <v>43691</v>
      </c>
      <c r="H826" s="52" t="s">
        <v>55</v>
      </c>
    </row>
    <row r="827" spans="1:10" x14ac:dyDescent="0.25">
      <c r="A827" t="s">
        <v>91</v>
      </c>
      <c r="B827" s="49">
        <v>12</v>
      </c>
      <c r="C827" s="51">
        <f>461947.5+11377.86</f>
        <v>473325.36</v>
      </c>
      <c r="D827" s="52" t="s">
        <v>4752</v>
      </c>
      <c r="E827" s="52" t="s">
        <v>4511</v>
      </c>
      <c r="F827" s="52" t="s">
        <v>52</v>
      </c>
      <c r="G827" s="53">
        <v>43690</v>
      </c>
      <c r="H827" s="52" t="s">
        <v>55</v>
      </c>
    </row>
    <row r="828" spans="1:10" s="191" customFormat="1" x14ac:dyDescent="0.25">
      <c r="A828" t="s">
        <v>91</v>
      </c>
      <c r="B828" s="49">
        <v>12</v>
      </c>
      <c r="C828" s="51">
        <v>79402</v>
      </c>
      <c r="D828" s="52" t="s">
        <v>4664</v>
      </c>
      <c r="E828" s="52" t="s">
        <v>4661</v>
      </c>
      <c r="F828" s="52" t="s">
        <v>4660</v>
      </c>
      <c r="G828" s="52"/>
      <c r="H828" s="53">
        <v>43689</v>
      </c>
      <c r="I828" s="52" t="s">
        <v>62</v>
      </c>
    </row>
    <row r="829" spans="1:10" x14ac:dyDescent="0.25">
      <c r="A829" t="s">
        <v>122</v>
      </c>
      <c r="B829" s="49">
        <v>13</v>
      </c>
      <c r="C829" s="54">
        <f>43000*G829</f>
        <v>841080</v>
      </c>
      <c r="D829" s="55" t="s">
        <v>4619</v>
      </c>
      <c r="E829" s="55" t="s">
        <v>4816</v>
      </c>
      <c r="F829" s="55" t="s">
        <v>4743</v>
      </c>
      <c r="G829" s="55">
        <v>19.559999999999999</v>
      </c>
      <c r="H829" s="55"/>
      <c r="I829" s="57">
        <v>43690</v>
      </c>
      <c r="J829" s="55" t="s">
        <v>62</v>
      </c>
    </row>
    <row r="830" spans="1:10" x14ac:dyDescent="0.25">
      <c r="A830" t="s">
        <v>122</v>
      </c>
      <c r="B830" s="49">
        <v>13</v>
      </c>
      <c r="C830" s="51">
        <f>70215+1750.44</f>
        <v>71965.440000000002</v>
      </c>
      <c r="D830" s="52" t="s">
        <v>4520</v>
      </c>
      <c r="E830" s="52" t="s">
        <v>4521</v>
      </c>
      <c r="F830" s="52" t="s">
        <v>52</v>
      </c>
      <c r="G830" s="53">
        <v>43690</v>
      </c>
      <c r="H830" s="52" t="s">
        <v>55</v>
      </c>
    </row>
    <row r="831" spans="1:10" x14ac:dyDescent="0.25">
      <c r="A831" t="s">
        <v>122</v>
      </c>
      <c r="B831" s="49">
        <v>13</v>
      </c>
      <c r="C831" s="51">
        <f>691300+17504.4</f>
        <v>708804.4</v>
      </c>
      <c r="D831" s="52" t="s">
        <v>4522</v>
      </c>
      <c r="E831" s="52" t="s">
        <v>4523</v>
      </c>
      <c r="F831" s="52" t="s">
        <v>52</v>
      </c>
      <c r="G831" s="53">
        <v>43691</v>
      </c>
      <c r="H831" s="52" t="s">
        <v>55</v>
      </c>
    </row>
    <row r="832" spans="1:10" x14ac:dyDescent="0.25">
      <c r="A832" t="s">
        <v>122</v>
      </c>
      <c r="B832" s="49">
        <v>13</v>
      </c>
      <c r="C832" s="51">
        <v>854172</v>
      </c>
      <c r="D832" s="52" t="s">
        <v>4708</v>
      </c>
      <c r="E832" s="52" t="s">
        <v>4741</v>
      </c>
      <c r="F832" s="52" t="s">
        <v>73</v>
      </c>
      <c r="G832" s="53">
        <v>43690</v>
      </c>
      <c r="H832" s="52" t="s">
        <v>55</v>
      </c>
    </row>
    <row r="833" spans="1:10" x14ac:dyDescent="0.25">
      <c r="A833" t="s">
        <v>43</v>
      </c>
      <c r="B833" s="49">
        <v>14</v>
      </c>
      <c r="C833" s="54">
        <f>43000*G833</f>
        <v>841510</v>
      </c>
      <c r="D833" s="55" t="s">
        <v>4620</v>
      </c>
      <c r="E833" s="55"/>
      <c r="F833" s="55" t="s">
        <v>4743</v>
      </c>
      <c r="G833" s="55">
        <v>19.57</v>
      </c>
      <c r="H833" s="55"/>
      <c r="I833" s="57">
        <v>43691</v>
      </c>
      <c r="J833" s="55" t="s">
        <v>62</v>
      </c>
    </row>
    <row r="834" spans="1:10" s="191" customFormat="1" x14ac:dyDescent="0.25">
      <c r="A834" s="191" t="s">
        <v>43</v>
      </c>
      <c r="B834" s="192">
        <v>14</v>
      </c>
      <c r="C834" s="51">
        <f>40723.34*G834</f>
        <v>792476.19640000002</v>
      </c>
      <c r="D834" s="52" t="s">
        <v>4624</v>
      </c>
      <c r="E834" s="52" t="s">
        <v>4767</v>
      </c>
      <c r="F834" s="52" t="s">
        <v>4768</v>
      </c>
      <c r="G834" s="52">
        <v>19.46</v>
      </c>
      <c r="H834" s="52"/>
      <c r="I834" s="53">
        <v>43691</v>
      </c>
      <c r="J834" s="52" t="s">
        <v>62</v>
      </c>
    </row>
    <row r="835" spans="1:10" x14ac:dyDescent="0.25">
      <c r="A835" t="s">
        <v>43</v>
      </c>
      <c r="B835" s="49">
        <v>14</v>
      </c>
      <c r="C835" s="51">
        <v>464991.63</v>
      </c>
      <c r="D835" s="52" t="s">
        <v>4762</v>
      </c>
      <c r="E835" s="52" t="s">
        <v>4504</v>
      </c>
      <c r="F835" s="52" t="s">
        <v>1804</v>
      </c>
      <c r="G835" s="52">
        <v>93</v>
      </c>
      <c r="H835" s="53">
        <v>43696</v>
      </c>
      <c r="I835" s="52" t="s">
        <v>62</v>
      </c>
    </row>
    <row r="836" spans="1:10" x14ac:dyDescent="0.25">
      <c r="A836" t="s">
        <v>43</v>
      </c>
      <c r="B836" s="49">
        <v>14</v>
      </c>
      <c r="C836" s="51">
        <f>720750+17504.4</f>
        <v>738254.4</v>
      </c>
      <c r="D836" s="52" t="s">
        <v>4567</v>
      </c>
      <c r="E836" s="52" t="s">
        <v>4565</v>
      </c>
      <c r="F836" s="52" t="s">
        <v>52</v>
      </c>
      <c r="G836" s="53">
        <v>43693</v>
      </c>
      <c r="H836" s="52" t="s">
        <v>55</v>
      </c>
    </row>
    <row r="837" spans="1:10" x14ac:dyDescent="0.25">
      <c r="A837" t="s">
        <v>43</v>
      </c>
      <c r="B837" s="49">
        <v>14</v>
      </c>
      <c r="C837" s="51">
        <f>453065+11552.9</f>
        <v>464617.9</v>
      </c>
      <c r="D837" s="52" t="s">
        <v>4568</v>
      </c>
      <c r="E837" s="52" t="s">
        <v>4566</v>
      </c>
      <c r="F837" s="52" t="s">
        <v>52</v>
      </c>
      <c r="G837" s="53">
        <v>43693</v>
      </c>
      <c r="H837" s="52" t="s">
        <v>55</v>
      </c>
    </row>
    <row r="838" spans="1:10" x14ac:dyDescent="0.25">
      <c r="A838" t="s">
        <v>59</v>
      </c>
      <c r="B838" s="49">
        <v>15</v>
      </c>
      <c r="C838" s="54">
        <f>44000*G838</f>
        <v>866360</v>
      </c>
      <c r="D838" s="55" t="s">
        <v>4621</v>
      </c>
      <c r="E838" s="55"/>
      <c r="F838" s="55" t="s">
        <v>4714</v>
      </c>
      <c r="G838" s="55">
        <v>19.690000000000001</v>
      </c>
      <c r="H838" s="57"/>
      <c r="I838" s="57">
        <v>43692</v>
      </c>
      <c r="J838" s="55" t="s">
        <v>62</v>
      </c>
    </row>
    <row r="839" spans="1:10" s="191" customFormat="1" x14ac:dyDescent="0.25">
      <c r="A839" s="191" t="s">
        <v>59</v>
      </c>
      <c r="B839" s="192">
        <v>15</v>
      </c>
      <c r="C839" s="51">
        <v>322986</v>
      </c>
      <c r="D839" s="52" t="s">
        <v>4644</v>
      </c>
      <c r="E839" s="52" t="s">
        <v>4643</v>
      </c>
      <c r="F839" s="52" t="s">
        <v>4645</v>
      </c>
      <c r="G839" s="52">
        <v>37.5</v>
      </c>
      <c r="H839" s="53">
        <v>43690</v>
      </c>
      <c r="I839" s="52" t="s">
        <v>62</v>
      </c>
    </row>
    <row r="840" spans="1:10" x14ac:dyDescent="0.25">
      <c r="A840" t="s">
        <v>59</v>
      </c>
      <c r="B840" s="49">
        <v>15</v>
      </c>
      <c r="C840" s="51">
        <f>732530+17591.92</f>
        <v>750121.92</v>
      </c>
      <c r="D840" s="52" t="s">
        <v>4648</v>
      </c>
      <c r="E840" s="52" t="s">
        <v>4646</v>
      </c>
      <c r="F840" s="52" t="s">
        <v>52</v>
      </c>
      <c r="G840" s="53">
        <v>43696</v>
      </c>
      <c r="H840" s="52" t="s">
        <v>55</v>
      </c>
    </row>
    <row r="841" spans="1:10" x14ac:dyDescent="0.25">
      <c r="A841" t="s">
        <v>59</v>
      </c>
      <c r="B841" s="49">
        <v>15</v>
      </c>
      <c r="C841" s="51">
        <f>419895+11377.86</f>
        <v>431272.86</v>
      </c>
      <c r="D841" s="52" t="s">
        <v>4649</v>
      </c>
      <c r="E841" s="52" t="s">
        <v>4647</v>
      </c>
      <c r="F841" s="52" t="s">
        <v>52</v>
      </c>
      <c r="G841" s="53">
        <v>43692</v>
      </c>
      <c r="H841" s="52" t="s">
        <v>55</v>
      </c>
    </row>
    <row r="842" spans="1:10" x14ac:dyDescent="0.25">
      <c r="A842" t="s">
        <v>59</v>
      </c>
      <c r="B842" s="49">
        <v>15</v>
      </c>
      <c r="C842" s="3">
        <v>1575606.92</v>
      </c>
      <c r="D842" s="191" t="s">
        <v>4722</v>
      </c>
      <c r="E842" s="191" t="s">
        <v>2980</v>
      </c>
      <c r="F842" s="191" t="s">
        <v>4723</v>
      </c>
    </row>
    <row r="843" spans="1:10" x14ac:dyDescent="0.25">
      <c r="A843" t="s">
        <v>70</v>
      </c>
      <c r="B843" s="49">
        <v>16</v>
      </c>
      <c r="C843" s="54">
        <f>43000*G843</f>
        <v>845638</v>
      </c>
      <c r="D843" s="55" t="s">
        <v>4622</v>
      </c>
      <c r="E843" s="55"/>
      <c r="F843" s="55" t="s">
        <v>4743</v>
      </c>
      <c r="G843" s="55">
        <v>19.666</v>
      </c>
      <c r="H843" s="57"/>
      <c r="I843" s="57">
        <v>43693</v>
      </c>
      <c r="J843" s="55" t="s">
        <v>62</v>
      </c>
    </row>
    <row r="844" spans="1:10" x14ac:dyDescent="0.25">
      <c r="A844" t="s">
        <v>70</v>
      </c>
      <c r="B844" s="49">
        <v>16</v>
      </c>
      <c r="C844" s="51">
        <f>39913.8*G844</f>
        <v>782709.61800000002</v>
      </c>
      <c r="D844" s="52" t="s">
        <v>4625</v>
      </c>
      <c r="E844" s="52" t="s">
        <v>4753</v>
      </c>
      <c r="F844" s="52" t="s">
        <v>4754</v>
      </c>
      <c r="G844" s="52">
        <v>19.61</v>
      </c>
      <c r="H844" s="52">
        <v>46.03</v>
      </c>
      <c r="I844" s="53">
        <v>43693</v>
      </c>
      <c r="J844" s="52" t="s">
        <v>62</v>
      </c>
    </row>
    <row r="845" spans="1:10" s="191" customFormat="1" x14ac:dyDescent="0.25">
      <c r="A845" t="s">
        <v>70</v>
      </c>
      <c r="B845" s="49">
        <v>16</v>
      </c>
      <c r="C845" s="193"/>
    </row>
    <row r="846" spans="1:10" x14ac:dyDescent="0.25">
      <c r="A846" s="37" t="s">
        <v>89</v>
      </c>
      <c r="B846" s="49">
        <v>17</v>
      </c>
    </row>
    <row r="847" spans="1:10" x14ac:dyDescent="0.25">
      <c r="A847" s="37" t="s">
        <v>90</v>
      </c>
      <c r="B847" s="49">
        <v>18</v>
      </c>
    </row>
    <row r="848" spans="1:10" x14ac:dyDescent="0.25">
      <c r="A848" t="s">
        <v>91</v>
      </c>
      <c r="B848" s="49">
        <v>19</v>
      </c>
      <c r="C848" s="54">
        <f>15000*G848</f>
        <v>298335</v>
      </c>
      <c r="D848" s="55" t="s">
        <v>4626</v>
      </c>
      <c r="E848" s="55"/>
      <c r="F848" s="55" t="s">
        <v>4814</v>
      </c>
      <c r="G848" s="55">
        <v>19.888999999999999</v>
      </c>
      <c r="H848" s="55"/>
      <c r="I848" s="57">
        <v>43696</v>
      </c>
      <c r="J848" s="55" t="s">
        <v>62</v>
      </c>
    </row>
    <row r="849" spans="1:10" x14ac:dyDescent="0.25">
      <c r="A849" t="s">
        <v>91</v>
      </c>
      <c r="B849" s="49">
        <v>19</v>
      </c>
      <c r="C849" s="3">
        <f>34108.27*G849</f>
        <v>675343.74599999993</v>
      </c>
      <c r="D849" t="s">
        <v>4630</v>
      </c>
      <c r="E849" t="s">
        <v>4790</v>
      </c>
      <c r="F849" t="s">
        <v>4791</v>
      </c>
      <c r="G849" s="37">
        <v>19.8</v>
      </c>
    </row>
    <row r="850" spans="1:10" x14ac:dyDescent="0.25">
      <c r="A850" t="s">
        <v>91</v>
      </c>
      <c r="B850" s="49">
        <v>19</v>
      </c>
      <c r="C850" s="51">
        <f>737800+17329.36</f>
        <v>755129.36</v>
      </c>
      <c r="D850" s="52" t="s">
        <v>4665</v>
      </c>
      <c r="E850" s="52" t="s">
        <v>4666</v>
      </c>
      <c r="F850" s="52" t="s">
        <v>52</v>
      </c>
      <c r="G850" s="53">
        <v>43696</v>
      </c>
      <c r="H850" s="52" t="s">
        <v>55</v>
      </c>
    </row>
    <row r="851" spans="1:10" x14ac:dyDescent="0.25">
      <c r="A851" t="s">
        <v>91</v>
      </c>
      <c r="B851" s="49">
        <v>19</v>
      </c>
      <c r="C851" s="51">
        <f>66495+1750.44</f>
        <v>68245.440000000002</v>
      </c>
      <c r="D851" s="52" t="s">
        <v>4667</v>
      </c>
      <c r="E851" s="52" t="s">
        <v>4657</v>
      </c>
      <c r="F851" s="52" t="s">
        <v>52</v>
      </c>
      <c r="G851" s="53">
        <v>43696</v>
      </c>
      <c r="H851" s="52" t="s">
        <v>55</v>
      </c>
    </row>
    <row r="852" spans="1:10" x14ac:dyDescent="0.25">
      <c r="A852" t="s">
        <v>91</v>
      </c>
      <c r="B852" s="49">
        <v>19</v>
      </c>
      <c r="C852" s="3">
        <v>699758.15</v>
      </c>
      <c r="D852" t="s">
        <v>4674</v>
      </c>
      <c r="E852" t="s">
        <v>4673</v>
      </c>
      <c r="F852" t="s">
        <v>4675</v>
      </c>
      <c r="G852" s="191"/>
    </row>
    <row r="853" spans="1:10" x14ac:dyDescent="0.25">
      <c r="A853" t="s">
        <v>91</v>
      </c>
      <c r="B853" s="49">
        <v>19</v>
      </c>
      <c r="C853" s="3">
        <v>151784.16</v>
      </c>
      <c r="D853" t="s">
        <v>4674</v>
      </c>
      <c r="E853" t="s">
        <v>4676</v>
      </c>
      <c r="F853" t="s">
        <v>4314</v>
      </c>
      <c r="G853" s="191"/>
    </row>
    <row r="854" spans="1:10" x14ac:dyDescent="0.25">
      <c r="A854" t="s">
        <v>91</v>
      </c>
      <c r="B854" s="49">
        <v>19</v>
      </c>
      <c r="C854" s="3">
        <f>765702.5+18904.75</f>
        <v>784607.25</v>
      </c>
      <c r="D854" t="s">
        <v>4680</v>
      </c>
      <c r="E854" t="s">
        <v>4689</v>
      </c>
      <c r="F854" t="s">
        <v>52</v>
      </c>
    </row>
    <row r="855" spans="1:10" x14ac:dyDescent="0.25">
      <c r="A855" t="s">
        <v>122</v>
      </c>
      <c r="B855" s="49">
        <v>20</v>
      </c>
      <c r="C855" s="3">
        <f>33453.93*G855</f>
        <v>662387.81400000001</v>
      </c>
      <c r="D855" t="s">
        <v>4631</v>
      </c>
      <c r="E855" t="s">
        <v>4811</v>
      </c>
      <c r="F855" t="s">
        <v>4812</v>
      </c>
      <c r="G855" s="37">
        <v>19.8</v>
      </c>
    </row>
    <row r="856" spans="1:10" x14ac:dyDescent="0.25">
      <c r="A856" t="s">
        <v>122</v>
      </c>
      <c r="B856" s="49">
        <v>20</v>
      </c>
      <c r="C856" s="3">
        <f>778665+19254.84-3539.53</f>
        <v>794380.30999999994</v>
      </c>
      <c r="D856" t="s">
        <v>4690</v>
      </c>
      <c r="E856" t="s">
        <v>4694</v>
      </c>
      <c r="F856" t="s">
        <v>52</v>
      </c>
      <c r="G856" s="191"/>
    </row>
    <row r="857" spans="1:10" x14ac:dyDescent="0.25">
      <c r="A857" t="s">
        <v>122</v>
      </c>
      <c r="B857" s="49">
        <v>20</v>
      </c>
      <c r="C857" s="3">
        <v>746419</v>
      </c>
      <c r="D857" t="s">
        <v>4810</v>
      </c>
      <c r="E857" t="s">
        <v>4809</v>
      </c>
      <c r="F857" t="s">
        <v>73</v>
      </c>
    </row>
    <row r="858" spans="1:10" x14ac:dyDescent="0.25">
      <c r="A858" t="s">
        <v>43</v>
      </c>
      <c r="B858" s="49">
        <v>21</v>
      </c>
      <c r="C858" s="63">
        <f>18000*G858</f>
        <v>356400</v>
      </c>
      <c r="D858" s="64" t="s">
        <v>4628</v>
      </c>
      <c r="E858" s="64"/>
      <c r="F858" s="64" t="s">
        <v>4822</v>
      </c>
      <c r="G858" s="37">
        <v>19.8</v>
      </c>
      <c r="H858" s="64"/>
      <c r="I858" s="64"/>
      <c r="J858" s="64"/>
    </row>
    <row r="859" spans="1:10" x14ac:dyDescent="0.25">
      <c r="A859" t="s">
        <v>43</v>
      </c>
      <c r="B859" s="49">
        <v>21</v>
      </c>
      <c r="C859" s="63">
        <f>18000*G859</f>
        <v>356400</v>
      </c>
      <c r="D859" s="64" t="s">
        <v>4629</v>
      </c>
      <c r="E859" s="64"/>
      <c r="F859" s="64" t="s">
        <v>4822</v>
      </c>
      <c r="G859" s="37">
        <v>19.8</v>
      </c>
      <c r="H859" s="64"/>
      <c r="I859" s="64"/>
      <c r="J859" s="64"/>
    </row>
    <row r="860" spans="1:10" x14ac:dyDescent="0.25">
      <c r="A860" t="s">
        <v>43</v>
      </c>
      <c r="B860" s="49">
        <v>21</v>
      </c>
      <c r="C860" s="3">
        <f>651175+17504.4</f>
        <v>668679.4</v>
      </c>
      <c r="D860" t="s">
        <v>4703</v>
      </c>
      <c r="E860" t="s">
        <v>4700</v>
      </c>
      <c r="F860" t="s">
        <v>52</v>
      </c>
    </row>
    <row r="861" spans="1:10" x14ac:dyDescent="0.25">
      <c r="A861" t="s">
        <v>43</v>
      </c>
      <c r="B861" s="49">
        <v>21</v>
      </c>
      <c r="C861" s="3">
        <f>417545+11377.86</f>
        <v>428922.86</v>
      </c>
      <c r="D861" t="s">
        <v>4704</v>
      </c>
      <c r="E861" t="s">
        <v>4702</v>
      </c>
      <c r="F861" t="s">
        <v>52</v>
      </c>
    </row>
    <row r="862" spans="1:10" x14ac:dyDescent="0.25">
      <c r="A862" t="s">
        <v>43</v>
      </c>
      <c r="B862" s="49">
        <v>21</v>
      </c>
    </row>
    <row r="863" spans="1:10" x14ac:dyDescent="0.25">
      <c r="A863" t="s">
        <v>59</v>
      </c>
      <c r="B863" s="49">
        <v>22</v>
      </c>
      <c r="C863" s="63"/>
      <c r="D863" s="64" t="s">
        <v>4627</v>
      </c>
      <c r="E863" s="64"/>
      <c r="F863" s="64"/>
      <c r="G863" s="37">
        <v>19.8</v>
      </c>
      <c r="H863" s="64"/>
      <c r="I863" s="64"/>
      <c r="J863" s="64"/>
    </row>
    <row r="864" spans="1:10" x14ac:dyDescent="0.25">
      <c r="A864" t="s">
        <v>59</v>
      </c>
      <c r="B864" s="49">
        <v>22</v>
      </c>
      <c r="C864" s="3">
        <f>748470+17504.4</f>
        <v>765974.4</v>
      </c>
      <c r="D864" t="s">
        <v>4710</v>
      </c>
      <c r="E864" t="s">
        <v>4709</v>
      </c>
      <c r="F864" t="s">
        <v>52</v>
      </c>
    </row>
    <row r="865" spans="1:10" x14ac:dyDescent="0.25">
      <c r="A865" t="s">
        <v>59</v>
      </c>
      <c r="B865" s="49">
        <v>22</v>
      </c>
      <c r="C865" s="3">
        <f>469852.5+11290.34-3642.31</f>
        <v>477500.53</v>
      </c>
      <c r="D865" s="191" t="s">
        <v>4736</v>
      </c>
      <c r="E865" t="s">
        <v>4716</v>
      </c>
      <c r="F865" t="s">
        <v>52</v>
      </c>
    </row>
    <row r="866" spans="1:10" x14ac:dyDescent="0.25">
      <c r="A866" t="s">
        <v>70</v>
      </c>
      <c r="B866" s="49">
        <v>23</v>
      </c>
      <c r="C866" s="3">
        <f>32572.17*G866</f>
        <v>644928.96600000001</v>
      </c>
      <c r="D866" s="191" t="s">
        <v>4632</v>
      </c>
      <c r="E866" t="s">
        <v>4807</v>
      </c>
      <c r="F866" t="s">
        <v>4808</v>
      </c>
      <c r="G866" s="37">
        <v>19.8</v>
      </c>
    </row>
    <row r="867" spans="1:10" x14ac:dyDescent="0.25">
      <c r="A867" s="37" t="s">
        <v>89</v>
      </c>
      <c r="B867" s="49">
        <v>24</v>
      </c>
    </row>
    <row r="868" spans="1:10" x14ac:dyDescent="0.25">
      <c r="A868" s="37" t="s">
        <v>90</v>
      </c>
      <c r="B868" s="49">
        <v>25</v>
      </c>
    </row>
    <row r="869" spans="1:10" x14ac:dyDescent="0.25">
      <c r="A869" t="s">
        <v>91</v>
      </c>
      <c r="B869" s="49">
        <v>26</v>
      </c>
      <c r="C869" s="63"/>
      <c r="D869" s="64" t="s">
        <v>4635</v>
      </c>
      <c r="E869" s="64"/>
      <c r="F869" s="64"/>
      <c r="G869" s="37">
        <v>19.5</v>
      </c>
      <c r="H869" s="64"/>
      <c r="I869" s="64"/>
      <c r="J869" s="64"/>
    </row>
    <row r="870" spans="1:10" x14ac:dyDescent="0.25">
      <c r="A870" t="s">
        <v>91</v>
      </c>
      <c r="B870" s="49">
        <v>26</v>
      </c>
      <c r="C870" s="63"/>
      <c r="D870" s="64" t="s">
        <v>4636</v>
      </c>
      <c r="E870" s="64"/>
      <c r="F870" s="64"/>
      <c r="G870" s="37">
        <v>19.5</v>
      </c>
      <c r="H870" s="64"/>
      <c r="I870" s="64"/>
      <c r="J870" s="64"/>
    </row>
    <row r="871" spans="1:10" x14ac:dyDescent="0.25">
      <c r="A871" t="s">
        <v>91</v>
      </c>
      <c r="B871" s="49">
        <v>26</v>
      </c>
      <c r="C871" s="63"/>
      <c r="D871" s="64" t="s">
        <v>4637</v>
      </c>
      <c r="E871" s="64"/>
      <c r="F871" s="64"/>
      <c r="G871" s="37">
        <v>19.5</v>
      </c>
      <c r="H871" s="64"/>
      <c r="I871" s="64"/>
      <c r="J871" s="64"/>
    </row>
    <row r="872" spans="1:10" x14ac:dyDescent="0.25">
      <c r="A872" t="s">
        <v>91</v>
      </c>
      <c r="B872" s="49">
        <v>26</v>
      </c>
      <c r="C872" s="3">
        <f>742980+17504.4</f>
        <v>760484.4</v>
      </c>
      <c r="D872" s="191" t="s">
        <v>4739</v>
      </c>
      <c r="E872" t="s">
        <v>4738</v>
      </c>
      <c r="F872" t="s">
        <v>52</v>
      </c>
    </row>
    <row r="873" spans="1:10" x14ac:dyDescent="0.25">
      <c r="A873" t="s">
        <v>91</v>
      </c>
      <c r="B873" s="49">
        <v>26</v>
      </c>
      <c r="C873" s="3">
        <f>455822.5+11377.86</f>
        <v>467200.36</v>
      </c>
      <c r="D873" s="191" t="s">
        <v>4711</v>
      </c>
      <c r="E873" t="s">
        <v>4737</v>
      </c>
      <c r="F873" t="s">
        <v>52</v>
      </c>
    </row>
    <row r="874" spans="1:10" x14ac:dyDescent="0.25">
      <c r="A874" t="s">
        <v>91</v>
      </c>
      <c r="B874" s="49">
        <v>26</v>
      </c>
      <c r="C874" s="3">
        <f>730780+17416.88</f>
        <v>748196.88</v>
      </c>
      <c r="D874" s="191" t="s">
        <v>4749</v>
      </c>
      <c r="E874" t="s">
        <v>3679</v>
      </c>
      <c r="F874" t="s">
        <v>52</v>
      </c>
    </row>
    <row r="875" spans="1:10" x14ac:dyDescent="0.25">
      <c r="A875" t="s">
        <v>91</v>
      </c>
      <c r="B875" s="49">
        <v>26</v>
      </c>
      <c r="C875" s="3">
        <f>463905+11377.86</f>
        <v>475282.86</v>
      </c>
      <c r="D875" s="191" t="s">
        <v>4750</v>
      </c>
      <c r="E875" t="s">
        <v>4747</v>
      </c>
      <c r="F875" t="s">
        <v>52</v>
      </c>
    </row>
    <row r="876" spans="1:10" x14ac:dyDescent="0.25">
      <c r="A876" t="s">
        <v>122</v>
      </c>
      <c r="B876" s="49">
        <v>27</v>
      </c>
      <c r="C876" s="63"/>
      <c r="D876" s="64" t="s">
        <v>4634</v>
      </c>
      <c r="E876" s="64"/>
      <c r="F876" s="64"/>
      <c r="G876" s="37">
        <v>19.5</v>
      </c>
      <c r="H876" s="64"/>
      <c r="I876" s="64"/>
      <c r="J876" s="64"/>
    </row>
    <row r="877" spans="1:10" x14ac:dyDescent="0.25">
      <c r="A877" t="s">
        <v>122</v>
      </c>
      <c r="B877" s="49">
        <v>27</v>
      </c>
      <c r="C877" s="3">
        <f>790200+18992.27</f>
        <v>809192.27</v>
      </c>
      <c r="D877" s="191" t="s">
        <v>4772</v>
      </c>
      <c r="E877" t="s">
        <v>4771</v>
      </c>
      <c r="F877" t="s">
        <v>52</v>
      </c>
    </row>
    <row r="878" spans="1:10" x14ac:dyDescent="0.25">
      <c r="A878" t="s">
        <v>43</v>
      </c>
      <c r="B878" s="49">
        <v>28</v>
      </c>
      <c r="D878" t="s">
        <v>4641</v>
      </c>
      <c r="G878" s="37">
        <v>19.5</v>
      </c>
    </row>
    <row r="879" spans="1:10" x14ac:dyDescent="0.25">
      <c r="A879" t="s">
        <v>43</v>
      </c>
      <c r="B879" s="49">
        <v>28</v>
      </c>
      <c r="C879" s="3">
        <f>844200+21792.98-10170.9</f>
        <v>855822.08</v>
      </c>
      <c r="D879" t="s">
        <v>4784</v>
      </c>
      <c r="E879" t="s">
        <v>4799</v>
      </c>
      <c r="F879" t="s">
        <v>52</v>
      </c>
    </row>
    <row r="880" spans="1:10" x14ac:dyDescent="0.25">
      <c r="A880" t="s">
        <v>43</v>
      </c>
      <c r="B880" s="49">
        <v>28</v>
      </c>
      <c r="C880" s="3">
        <f>401400+11377.86</f>
        <v>412777.86</v>
      </c>
      <c r="D880" t="s">
        <v>4785</v>
      </c>
      <c r="E880" t="s">
        <v>4783</v>
      </c>
      <c r="F880" t="s">
        <v>52</v>
      </c>
    </row>
    <row r="881" spans="1:12" x14ac:dyDescent="0.25">
      <c r="A881" t="s">
        <v>59</v>
      </c>
      <c r="B881" s="49">
        <v>29</v>
      </c>
      <c r="C881" s="63"/>
      <c r="D881" s="64" t="s">
        <v>4638</v>
      </c>
      <c r="E881" s="64"/>
      <c r="F881" s="64"/>
      <c r="G881" s="37">
        <v>19.5</v>
      </c>
      <c r="H881" s="64"/>
      <c r="I881" s="64"/>
      <c r="J881" s="64"/>
    </row>
    <row r="882" spans="1:12" x14ac:dyDescent="0.25">
      <c r="A882" t="s">
        <v>59</v>
      </c>
      <c r="B882" s="49">
        <v>29</v>
      </c>
      <c r="C882" s="3">
        <f>848700+21792.98-3408.3</f>
        <v>867084.67999999993</v>
      </c>
      <c r="D882" t="s">
        <v>4793</v>
      </c>
      <c r="E882" t="s">
        <v>4792</v>
      </c>
      <c r="F882" t="s">
        <v>52</v>
      </c>
    </row>
    <row r="883" spans="1:12" x14ac:dyDescent="0.25">
      <c r="A883" t="s">
        <v>59</v>
      </c>
      <c r="B883" s="49">
        <v>29</v>
      </c>
      <c r="C883" s="3">
        <f>427950+11377.86</f>
        <v>439327.86</v>
      </c>
      <c r="D883" t="s">
        <v>4788</v>
      </c>
      <c r="E883" t="s">
        <v>4787</v>
      </c>
      <c r="F883" t="s">
        <v>52</v>
      </c>
    </row>
    <row r="884" spans="1:12" x14ac:dyDescent="0.25">
      <c r="A884" t="s">
        <v>70</v>
      </c>
      <c r="B884" s="49">
        <v>30</v>
      </c>
      <c r="C884" s="63"/>
      <c r="D884" s="64" t="s">
        <v>4639</v>
      </c>
      <c r="E884" s="64"/>
      <c r="F884" s="64"/>
      <c r="G884" s="37">
        <v>19.5</v>
      </c>
      <c r="H884" s="64"/>
      <c r="I884" s="64"/>
      <c r="J884" s="64"/>
    </row>
    <row r="885" spans="1:12" x14ac:dyDescent="0.25">
      <c r="A885" t="s">
        <v>70</v>
      </c>
      <c r="B885" s="192">
        <v>30</v>
      </c>
      <c r="C885" s="193"/>
      <c r="D885" s="191" t="s">
        <v>4642</v>
      </c>
      <c r="E885" s="191"/>
      <c r="F885" s="191"/>
      <c r="G885" s="37">
        <v>19.5</v>
      </c>
      <c r="H885" s="191"/>
      <c r="I885" s="191"/>
      <c r="J885" s="191"/>
      <c r="K885" s="191"/>
      <c r="L885" s="191"/>
    </row>
    <row r="886" spans="1:12" x14ac:dyDescent="0.25">
      <c r="A886" t="s">
        <v>70</v>
      </c>
      <c r="B886" s="49">
        <v>30</v>
      </c>
    </row>
    <row r="887" spans="1:12" x14ac:dyDescent="0.25">
      <c r="A887" s="37" t="s">
        <v>89</v>
      </c>
      <c r="B887" s="49">
        <v>31</v>
      </c>
    </row>
    <row r="888" spans="1:12" x14ac:dyDescent="0.25">
      <c r="A888" t="s">
        <v>4633</v>
      </c>
    </row>
    <row r="889" spans="1:12" x14ac:dyDescent="0.25">
      <c r="A889" s="37" t="s">
        <v>90</v>
      </c>
      <c r="B889" s="49">
        <v>1</v>
      </c>
    </row>
    <row r="890" spans="1:12" x14ac:dyDescent="0.25">
      <c r="A890" t="s">
        <v>91</v>
      </c>
      <c r="B890" s="49">
        <v>2</v>
      </c>
      <c r="C890" s="63"/>
      <c r="D890" s="64" t="s">
        <v>4640</v>
      </c>
      <c r="E890" s="64"/>
      <c r="F890" s="64"/>
      <c r="G890" s="37">
        <v>19.5</v>
      </c>
      <c r="H890" s="64"/>
      <c r="I890" s="64"/>
      <c r="J890" s="64"/>
    </row>
    <row r="891" spans="1:12" x14ac:dyDescent="0.25">
      <c r="A891" s="191" t="s">
        <v>91</v>
      </c>
      <c r="B891" s="49">
        <v>2</v>
      </c>
      <c r="C891" s="3">
        <f>643800+17504.34</f>
        <v>661304.34</v>
      </c>
      <c r="D891" t="s">
        <v>4805</v>
      </c>
      <c r="E891" t="s">
        <v>4804</v>
      </c>
      <c r="F891" t="s">
        <v>52</v>
      </c>
    </row>
    <row r="892" spans="1:12" x14ac:dyDescent="0.25">
      <c r="A892" s="191" t="s">
        <v>91</v>
      </c>
      <c r="B892" s="49">
        <v>2</v>
      </c>
      <c r="C892" s="3">
        <f>395850+11377.86</f>
        <v>407227.86</v>
      </c>
      <c r="D892" t="s">
        <v>4806</v>
      </c>
      <c r="E892" t="s">
        <v>4803</v>
      </c>
      <c r="F892" t="s">
        <v>52</v>
      </c>
    </row>
    <row r="893" spans="1:12" x14ac:dyDescent="0.25">
      <c r="A893" s="191" t="s">
        <v>91</v>
      </c>
      <c r="B893" s="49">
        <v>2</v>
      </c>
    </row>
    <row r="894" spans="1:12" x14ac:dyDescent="0.25">
      <c r="A894" t="s">
        <v>91</v>
      </c>
      <c r="B894" s="49">
        <v>2</v>
      </c>
    </row>
    <row r="895" spans="1:12" x14ac:dyDescent="0.25">
      <c r="A895" t="s">
        <v>122</v>
      </c>
      <c r="B895" s="49">
        <v>3</v>
      </c>
    </row>
    <row r="896" spans="1:12" x14ac:dyDescent="0.25">
      <c r="A896" t="s">
        <v>43</v>
      </c>
      <c r="B896" s="49">
        <v>4</v>
      </c>
    </row>
    <row r="897" spans="1:2" x14ac:dyDescent="0.25">
      <c r="A897" t="s">
        <v>59</v>
      </c>
      <c r="B897" s="49">
        <v>5</v>
      </c>
    </row>
    <row r="898" spans="1:2" x14ac:dyDescent="0.25">
      <c r="A898" t="s">
        <v>70</v>
      </c>
      <c r="B898" s="49">
        <v>6</v>
      </c>
    </row>
    <row r="899" spans="1:2" x14ac:dyDescent="0.25">
      <c r="A899" s="37" t="s">
        <v>89</v>
      </c>
      <c r="B899" s="49">
        <v>7</v>
      </c>
    </row>
    <row r="900" spans="1:2" x14ac:dyDescent="0.25">
      <c r="A900" s="37" t="s">
        <v>90</v>
      </c>
      <c r="B900" s="49">
        <v>8</v>
      </c>
    </row>
    <row r="901" spans="1:2" x14ac:dyDescent="0.25">
      <c r="A901" t="s">
        <v>91</v>
      </c>
      <c r="B901" s="49">
        <v>9</v>
      </c>
    </row>
    <row r="902" spans="1:2" x14ac:dyDescent="0.25">
      <c r="A902" t="s">
        <v>122</v>
      </c>
      <c r="B902" s="49">
        <v>10</v>
      </c>
    </row>
    <row r="903" spans="1:2" x14ac:dyDescent="0.25">
      <c r="A903" t="s">
        <v>43</v>
      </c>
      <c r="B903" s="49">
        <v>11</v>
      </c>
    </row>
    <row r="904" spans="1:2" x14ac:dyDescent="0.25">
      <c r="A904" t="s">
        <v>59</v>
      </c>
      <c r="B904" s="49">
        <v>12</v>
      </c>
    </row>
    <row r="905" spans="1:2" x14ac:dyDescent="0.25">
      <c r="A905" t="s">
        <v>70</v>
      </c>
      <c r="B905" s="49">
        <v>13</v>
      </c>
    </row>
    <row r="906" spans="1:2" x14ac:dyDescent="0.25">
      <c r="A906" s="37" t="s">
        <v>89</v>
      </c>
      <c r="B906" s="49">
        <v>14</v>
      </c>
    </row>
    <row r="907" spans="1:2" x14ac:dyDescent="0.25">
      <c r="A907" s="37" t="s">
        <v>90</v>
      </c>
      <c r="B907" s="49">
        <v>15</v>
      </c>
    </row>
    <row r="908" spans="1:2" x14ac:dyDescent="0.25">
      <c r="A908" t="s">
        <v>91</v>
      </c>
      <c r="B908" s="49">
        <v>16</v>
      </c>
    </row>
    <row r="909" spans="1:2" x14ac:dyDescent="0.25">
      <c r="A909" t="s">
        <v>122</v>
      </c>
      <c r="B909" s="49">
        <v>17</v>
      </c>
    </row>
    <row r="910" spans="1:2" x14ac:dyDescent="0.25">
      <c r="A910" t="s">
        <v>43</v>
      </c>
      <c r="B910" s="49">
        <v>18</v>
      </c>
    </row>
    <row r="911" spans="1:2" x14ac:dyDescent="0.25">
      <c r="A911" t="s">
        <v>59</v>
      </c>
      <c r="B911" s="49">
        <v>19</v>
      </c>
    </row>
    <row r="912" spans="1:2" x14ac:dyDescent="0.25">
      <c r="A912" t="s">
        <v>70</v>
      </c>
      <c r="B912" s="49">
        <v>20</v>
      </c>
    </row>
    <row r="913" spans="1:2" x14ac:dyDescent="0.25">
      <c r="A913" s="37" t="s">
        <v>89</v>
      </c>
      <c r="B913" s="49">
        <v>21</v>
      </c>
    </row>
    <row r="914" spans="1:2" x14ac:dyDescent="0.25">
      <c r="A914" s="37" t="s">
        <v>90</v>
      </c>
      <c r="B914" s="49">
        <v>22</v>
      </c>
    </row>
    <row r="915" spans="1:2" x14ac:dyDescent="0.25">
      <c r="A915" t="s">
        <v>91</v>
      </c>
      <c r="B915" s="49">
        <v>23</v>
      </c>
    </row>
    <row r="916" spans="1:2" x14ac:dyDescent="0.25">
      <c r="A916" t="s">
        <v>122</v>
      </c>
      <c r="B916" s="49">
        <v>24</v>
      </c>
    </row>
    <row r="917" spans="1:2" x14ac:dyDescent="0.25">
      <c r="A917" t="s">
        <v>43</v>
      </c>
      <c r="B917" s="49">
        <v>25</v>
      </c>
    </row>
    <row r="918" spans="1:2" x14ac:dyDescent="0.25">
      <c r="A918" t="s">
        <v>59</v>
      </c>
      <c r="B918" s="49">
        <v>26</v>
      </c>
    </row>
    <row r="919" spans="1:2" x14ac:dyDescent="0.25">
      <c r="A919" t="s">
        <v>70</v>
      </c>
      <c r="B919" s="49">
        <v>27</v>
      </c>
    </row>
    <row r="920" spans="1:2" x14ac:dyDescent="0.25">
      <c r="A920" s="37" t="s">
        <v>89</v>
      </c>
      <c r="B920" s="49">
        <v>28</v>
      </c>
    </row>
    <row r="921" spans="1:2" x14ac:dyDescent="0.25">
      <c r="A921" s="37" t="s">
        <v>90</v>
      </c>
      <c r="B921" s="49">
        <v>29</v>
      </c>
    </row>
    <row r="922" spans="1:2" x14ac:dyDescent="0.25">
      <c r="A922" t="s">
        <v>91</v>
      </c>
      <c r="B922" s="49">
        <v>30</v>
      </c>
    </row>
  </sheetData>
  <phoneticPr fontId="1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pagos</vt:lpstr>
      <vt:lpstr>pagos varios</vt:lpstr>
      <vt:lpstr>cierres</vt:lpstr>
      <vt:lpstr>Seaboard</vt:lpstr>
      <vt:lpstr>Tyson</vt:lpstr>
      <vt:lpstr>smithfield</vt:lpstr>
      <vt:lpstr>Proledo</vt:lpstr>
      <vt:lpstr>Zavaleta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cortes</dc:creator>
  <cp:lastModifiedBy>Rouss</cp:lastModifiedBy>
  <cp:lastPrinted>2019-03-30T19:57:42Z</cp:lastPrinted>
  <dcterms:created xsi:type="dcterms:W3CDTF">2018-12-27T20:36:01Z</dcterms:created>
  <dcterms:modified xsi:type="dcterms:W3CDTF">2019-08-20T15:08:50Z</dcterms:modified>
</cp:coreProperties>
</file>