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01 DOCUEMENTOS\CENTRAL  # 09 SEPTIEMBRE 2019\"/>
    </mc:Choice>
  </mc:AlternateContent>
  <xr:revisionPtr revIDLastSave="0" documentId="13_ncr:1_{3DF373C0-D0BB-4E67-A0D6-DDBC201BF1AC}" xr6:coauthVersionLast="45" xr6:coauthVersionMax="45" xr10:uidLastSave="{00000000-0000-0000-0000-000000000000}"/>
  <bookViews>
    <workbookView xWindow="-120" yWindow="-120" windowWidth="24240" windowHeight="13140" firstSheet="14" activeTab="16" xr2:uid="{00000000-000D-0000-FFFF-FFFF00000000}"/>
  </bookViews>
  <sheets>
    <sheet name=" 4 CARNES   7 ENERO   2019    " sheetId="1" r:id="rId1"/>
    <sheet name="REMISIONES  7 ENERO 2019   " sheetId="2" r:id="rId2"/>
    <sheet name="4 CARNES 9 FEBRERO" sheetId="3" r:id="rId3"/>
    <sheet name="REMISIONES  FEBRERO  2019" sheetId="9" r:id="rId4"/>
    <sheet name="4 CARNES   8 MARZO  2019  " sheetId="12" r:id="rId5"/>
    <sheet name="REMISIONES  MARZO  2019   " sheetId="11" r:id="rId6"/>
    <sheet name="4 CARNES  5 DE ABRIL  2019  " sheetId="14" r:id="rId7"/>
    <sheet name="REMISIONES ABRIL 2019" sheetId="13" r:id="rId8"/>
    <sheet name="4 CARNES   MAYO    2019" sheetId="15" r:id="rId9"/>
    <sheet name="REMISIONES  MAYO    2019   " sheetId="10" r:id="rId10"/>
    <sheet name="4 CARNES  JUNIO   2019   " sheetId="19" r:id="rId11"/>
    <sheet name="REMISIONES  JUNIO   2019   " sheetId="18" r:id="rId12"/>
    <sheet name="4 CARNES  J U L I O  2019" sheetId="17" r:id="rId13"/>
    <sheet name="REMISIONES   JULIO   2019   " sheetId="16" r:id="rId14"/>
    <sheet name="4 CARNES AGOSTO 2019  " sheetId="22" r:id="rId15"/>
    <sheet name="REMISIONES  AGOSTO  2019   " sheetId="21" r:id="rId16"/>
    <sheet name="4 CARNES SEPTIEMBRE 2019      " sheetId="23" r:id="rId17"/>
    <sheet name="REMISIONES  SEPTIEMBRE  2019  " sheetId="26" r:id="rId18"/>
    <sheet name="Hoja2" sheetId="24" r:id="rId19"/>
    <sheet name="Hoja5" sheetId="25" r:id="rId20"/>
    <sheet name="Hoja3" sheetId="20" r:id="rId21"/>
    <sheet name="Hoja4" sheetId="4" r:id="rId22"/>
    <sheet name="D A N I E L A   " sheetId="5" r:id="rId23"/>
    <sheet name="Hoja6" sheetId="6" r:id="rId24"/>
    <sheet name="Hoja7" sheetId="7" r:id="rId25"/>
    <sheet name="Hoja8" sheetId="8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8" i="26" l="1"/>
  <c r="P26" i="23" l="1"/>
  <c r="Q26" i="23" s="1"/>
  <c r="P22" i="23" l="1"/>
  <c r="M20" i="23" l="1"/>
  <c r="M19" i="23"/>
  <c r="P19" i="23" s="1"/>
  <c r="Q19" i="23" s="1"/>
  <c r="M18" i="23"/>
  <c r="P13" i="23" l="1"/>
  <c r="M15" i="23"/>
  <c r="P15" i="23" s="1"/>
  <c r="M14" i="23" l="1"/>
  <c r="M9" i="23" l="1"/>
  <c r="P5" i="23"/>
  <c r="M8" i="23"/>
  <c r="P8" i="23" s="1"/>
  <c r="M7" i="23" l="1"/>
  <c r="M6" i="23" l="1"/>
  <c r="M27" i="23" s="1"/>
  <c r="E40" i="26"/>
  <c r="C40" i="26"/>
  <c r="F3" i="26"/>
  <c r="F4" i="26" s="1"/>
  <c r="F5" i="26" s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9" i="26" s="1"/>
  <c r="F40" i="26" s="1"/>
  <c r="K34" i="23"/>
  <c r="I28" i="23"/>
  <c r="F28" i="23"/>
  <c r="C28" i="23"/>
  <c r="N27" i="23"/>
  <c r="P25" i="23"/>
  <c r="Q25" i="23" s="1"/>
  <c r="P24" i="23"/>
  <c r="Q24" i="23" s="1"/>
  <c r="P23" i="23"/>
  <c r="Q23" i="23" s="1"/>
  <c r="Q22" i="23"/>
  <c r="P21" i="23"/>
  <c r="Q21" i="23" s="1"/>
  <c r="P20" i="23"/>
  <c r="Q20" i="23" s="1"/>
  <c r="P18" i="23"/>
  <c r="Q18" i="23" s="1"/>
  <c r="R18" i="23"/>
  <c r="P17" i="23"/>
  <c r="Q17" i="23" s="1"/>
  <c r="P16" i="23"/>
  <c r="Q16" i="23" s="1"/>
  <c r="V15" i="23"/>
  <c r="Q15" i="23"/>
  <c r="P14" i="23"/>
  <c r="Q14" i="23" s="1"/>
  <c r="Q13" i="23"/>
  <c r="P12" i="23"/>
  <c r="Q12" i="23" s="1"/>
  <c r="L28" i="23"/>
  <c r="P10" i="23"/>
  <c r="Q10" i="23" s="1"/>
  <c r="P9" i="23"/>
  <c r="Q9" i="23" s="1"/>
  <c r="Q8" i="23"/>
  <c r="P7" i="23"/>
  <c r="Q7" i="23" s="1"/>
  <c r="P6" i="23" l="1"/>
  <c r="Q6" i="23" s="1"/>
  <c r="M29" i="23"/>
  <c r="K30" i="23"/>
  <c r="F31" i="23" s="1"/>
  <c r="F34" i="23" s="1"/>
  <c r="F37" i="23" s="1"/>
  <c r="K32" i="23" s="1"/>
  <c r="K36" i="23" s="1"/>
  <c r="Q5" i="23"/>
  <c r="P11" i="23"/>
  <c r="Q11" i="23" s="1"/>
  <c r="Q27" i="23" l="1"/>
  <c r="P27" i="23"/>
  <c r="N44" i="22" l="1"/>
  <c r="M44" i="22"/>
  <c r="L45" i="22"/>
  <c r="I45" i="22"/>
  <c r="F45" i="22"/>
  <c r="C45" i="22"/>
  <c r="P34" i="22"/>
  <c r="L16" i="22"/>
  <c r="L15" i="22"/>
  <c r="P19" i="22"/>
  <c r="Q19" i="22" s="1"/>
  <c r="L14" i="22"/>
  <c r="L12" i="22"/>
  <c r="P5" i="22" s="1"/>
  <c r="L13" i="22"/>
  <c r="C73" i="21" l="1"/>
  <c r="M22" i="22"/>
  <c r="F56" i="21" l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M42" i="22" l="1"/>
  <c r="L21" i="22"/>
  <c r="R17" i="22"/>
  <c r="M40" i="22"/>
  <c r="P40" i="22" s="1"/>
  <c r="Q40" i="22" s="1"/>
  <c r="M38" i="22" l="1"/>
  <c r="P36" i="22" l="1"/>
  <c r="P35" i="22"/>
  <c r="Q32" i="22" l="1"/>
  <c r="P32" i="22"/>
  <c r="P26" i="22"/>
  <c r="M33" i="22"/>
  <c r="P33" i="22" s="1"/>
  <c r="Q33" i="22" s="1"/>
  <c r="Q34" i="22"/>
  <c r="Q35" i="22"/>
  <c r="Q36" i="22"/>
  <c r="P37" i="22"/>
  <c r="Q37" i="22" s="1"/>
  <c r="P38" i="22"/>
  <c r="Q38" i="22" s="1"/>
  <c r="P39" i="22"/>
  <c r="Q39" i="22" s="1"/>
  <c r="P41" i="22"/>
  <c r="Q41" i="22" s="1"/>
  <c r="P42" i="22"/>
  <c r="Q42" i="22" s="1"/>
  <c r="P43" i="22"/>
  <c r="Q43" i="22" s="1"/>
  <c r="P31" i="22" l="1"/>
  <c r="M24" i="22" l="1"/>
  <c r="P24" i="22" s="1"/>
  <c r="Q24" i="22" s="1"/>
  <c r="M15" i="22" l="1"/>
  <c r="M14" i="22" l="1"/>
  <c r="P6" i="22"/>
  <c r="P13" i="22"/>
  <c r="M12" i="22"/>
  <c r="P12" i="22" s="1"/>
  <c r="Q12" i="22" s="1"/>
  <c r="M11" i="22"/>
  <c r="Q13" i="22" l="1"/>
  <c r="F46" i="18"/>
  <c r="Q6" i="22" l="1"/>
  <c r="P7" i="22"/>
  <c r="P8" i="22"/>
  <c r="Q8" i="22" s="1"/>
  <c r="P9" i="22"/>
  <c r="Q9" i="22" s="1"/>
  <c r="P10" i="22"/>
  <c r="Q10" i="22" s="1"/>
  <c r="P11" i="22"/>
  <c r="Q11" i="22" s="1"/>
  <c r="P14" i="22"/>
  <c r="Q14" i="22" s="1"/>
  <c r="P15" i="22"/>
  <c r="Q15" i="22" s="1"/>
  <c r="P16" i="22"/>
  <c r="Q16" i="22" s="1"/>
  <c r="P17" i="22"/>
  <c r="Q17" i="22" s="1"/>
  <c r="P18" i="22"/>
  <c r="Q18" i="22" s="1"/>
  <c r="P20" i="22"/>
  <c r="Q20" i="22" s="1"/>
  <c r="P21" i="22"/>
  <c r="Q21" i="22" s="1"/>
  <c r="P22" i="22"/>
  <c r="Q22" i="22" s="1"/>
  <c r="P23" i="22"/>
  <c r="Q23" i="22" s="1"/>
  <c r="P25" i="22"/>
  <c r="Q25" i="22" s="1"/>
  <c r="Q26" i="22"/>
  <c r="P27" i="22"/>
  <c r="Q27" i="22" s="1"/>
  <c r="P28" i="22"/>
  <c r="Q28" i="22" s="1"/>
  <c r="P29" i="22"/>
  <c r="Q29" i="22" s="1"/>
  <c r="P30" i="22"/>
  <c r="Q30" i="22" s="1"/>
  <c r="E73" i="21"/>
  <c r="F3" i="2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72" i="21" s="1"/>
  <c r="F73" i="21" s="1"/>
  <c r="K51" i="22"/>
  <c r="R44" i="22"/>
  <c r="V29" i="22"/>
  <c r="R18" i="22"/>
  <c r="V15" i="22"/>
  <c r="Q7" i="22" l="1"/>
  <c r="P44" i="22"/>
  <c r="K47" i="22"/>
  <c r="F48" i="22" s="1"/>
  <c r="M46" i="22"/>
  <c r="Q5" i="22"/>
  <c r="Q44" i="22" s="1"/>
  <c r="P28" i="17"/>
  <c r="Q33" i="17"/>
  <c r="P33" i="17"/>
  <c r="M34" i="17"/>
  <c r="F51" i="22" l="1"/>
  <c r="F54" i="22" s="1"/>
  <c r="K49" i="22" s="1"/>
  <c r="K53" i="22" s="1"/>
  <c r="N34" i="17"/>
  <c r="M31" i="17"/>
  <c r="P27" i="17" l="1"/>
  <c r="P20" i="17"/>
  <c r="P26" i="17" l="1"/>
  <c r="M20" i="17" l="1"/>
  <c r="M19" i="17"/>
  <c r="P6" i="17" l="1"/>
  <c r="P13" i="17"/>
  <c r="P7" i="17" l="1"/>
  <c r="E58" i="16" l="1"/>
  <c r="C58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K41" i="17"/>
  <c r="L35" i="17"/>
  <c r="I35" i="17"/>
  <c r="F35" i="17"/>
  <c r="C35" i="17"/>
  <c r="R34" i="17"/>
  <c r="P32" i="17"/>
  <c r="Q32" i="17" s="1"/>
  <c r="P31" i="17"/>
  <c r="P30" i="17"/>
  <c r="Q30" i="17" s="1"/>
  <c r="V29" i="17"/>
  <c r="P29" i="17"/>
  <c r="Q29" i="17" s="1"/>
  <c r="Q28" i="17"/>
  <c r="Q27" i="17"/>
  <c r="Q26" i="17"/>
  <c r="P25" i="17"/>
  <c r="Q25" i="17" s="1"/>
  <c r="P24" i="17"/>
  <c r="Q24" i="17" s="1"/>
  <c r="P23" i="17"/>
  <c r="Q23" i="17" s="1"/>
  <c r="P22" i="17"/>
  <c r="Q22" i="17" s="1"/>
  <c r="P21" i="17"/>
  <c r="Q21" i="17" s="1"/>
  <c r="Q20" i="17"/>
  <c r="P19" i="17"/>
  <c r="Q19" i="17" s="1"/>
  <c r="R18" i="17"/>
  <c r="P18" i="17"/>
  <c r="Q18" i="17" s="1"/>
  <c r="P17" i="17"/>
  <c r="Q17" i="17" s="1"/>
  <c r="P16" i="17"/>
  <c r="Q16" i="17" s="1"/>
  <c r="V15" i="17"/>
  <c r="P15" i="17"/>
  <c r="Q15" i="17" s="1"/>
  <c r="P14" i="17"/>
  <c r="Q14" i="17" s="1"/>
  <c r="Q13" i="17"/>
  <c r="P12" i="17"/>
  <c r="Q12" i="17" s="1"/>
  <c r="P11" i="17"/>
  <c r="Q11" i="17" s="1"/>
  <c r="P10" i="17"/>
  <c r="Q10" i="17" s="1"/>
  <c r="P9" i="17"/>
  <c r="Q9" i="17" s="1"/>
  <c r="P8" i="17"/>
  <c r="Q8" i="17" s="1"/>
  <c r="Q7" i="17"/>
  <c r="P5" i="17"/>
  <c r="Q5" i="17" s="1"/>
  <c r="K37" i="17" l="1"/>
  <c r="F38" i="17" s="1"/>
  <c r="F41" i="17" s="1"/>
  <c r="F44" i="17" s="1"/>
  <c r="K39" i="17" s="1"/>
  <c r="K43" i="17" s="1"/>
  <c r="M36" i="17"/>
  <c r="Q6" i="17"/>
  <c r="Q34" i="17" s="1"/>
  <c r="P34" i="17" l="1"/>
  <c r="M32" i="19" l="1"/>
  <c r="P31" i="19"/>
  <c r="P30" i="19"/>
  <c r="P26" i="19"/>
  <c r="P29" i="19"/>
  <c r="P28" i="19" l="1"/>
  <c r="P27" i="19" l="1"/>
  <c r="Q27" i="19" s="1"/>
  <c r="Q28" i="19"/>
  <c r="Q30" i="19"/>
  <c r="Q31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9" i="19"/>
  <c r="Q5" i="19"/>
  <c r="M22" i="19" l="1"/>
  <c r="P20" i="19" l="1"/>
  <c r="P6" i="19" l="1"/>
  <c r="P8" i="19"/>
  <c r="P13" i="19" l="1"/>
  <c r="P14" i="19"/>
  <c r="P15" i="19"/>
  <c r="P16" i="19"/>
  <c r="P17" i="19"/>
  <c r="P18" i="19"/>
  <c r="P19" i="19"/>
  <c r="P21" i="19"/>
  <c r="P22" i="19"/>
  <c r="P23" i="19"/>
  <c r="P24" i="19"/>
  <c r="Q24" i="19" s="1"/>
  <c r="P25" i="19"/>
  <c r="Q25" i="19" s="1"/>
  <c r="P12" i="19"/>
  <c r="P7" i="19" l="1"/>
  <c r="M6" i="19" l="1"/>
  <c r="E47" i="18" l="1"/>
  <c r="C4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K40" i="19"/>
  <c r="L34" i="19"/>
  <c r="I34" i="19"/>
  <c r="F34" i="19"/>
  <c r="C34" i="19"/>
  <c r="R33" i="19"/>
  <c r="N33" i="19"/>
  <c r="P32" i="19"/>
  <c r="Q32" i="19" s="1"/>
  <c r="Q33" i="19" s="1"/>
  <c r="V29" i="19"/>
  <c r="Q26" i="19"/>
  <c r="R18" i="19"/>
  <c r="V15" i="19"/>
  <c r="P11" i="19"/>
  <c r="P10" i="19"/>
  <c r="P9" i="19"/>
  <c r="M33" i="19"/>
  <c r="F47" i="18" l="1"/>
  <c r="F45" i="18"/>
  <c r="M35" i="19"/>
  <c r="K36" i="19"/>
  <c r="F37" i="19" s="1"/>
  <c r="F40" i="19" s="1"/>
  <c r="F43" i="19" s="1"/>
  <c r="K38" i="19" s="1"/>
  <c r="K42" i="19" s="1"/>
  <c r="P5" i="19"/>
  <c r="P33" i="19" s="1"/>
  <c r="M21" i="15"/>
  <c r="P21" i="15" l="1"/>
  <c r="I34" i="15"/>
  <c r="F34" i="15"/>
  <c r="C34" i="15"/>
  <c r="P30" i="15" l="1"/>
  <c r="P27" i="15"/>
  <c r="M26" i="15"/>
  <c r="P26" i="15" s="1"/>
  <c r="P25" i="15"/>
  <c r="P28" i="15"/>
  <c r="P29" i="15"/>
  <c r="P31" i="15"/>
  <c r="P32" i="15"/>
  <c r="P24" i="15"/>
  <c r="P23" i="15"/>
  <c r="M23" i="15"/>
  <c r="P22" i="15"/>
  <c r="M20" i="15"/>
  <c r="P20" i="15" s="1"/>
  <c r="P19" i="15"/>
  <c r="P13" i="15" l="1"/>
  <c r="M12" i="15"/>
  <c r="P11" i="15"/>
  <c r="P10" i="15"/>
  <c r="P8" i="15"/>
  <c r="P6" i="15"/>
  <c r="M5" i="15"/>
  <c r="P5" i="15" s="1"/>
  <c r="E58" i="10"/>
  <c r="C58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K40" i="15" l="1"/>
  <c r="R33" i="15"/>
  <c r="Q33" i="15"/>
  <c r="N33" i="15"/>
  <c r="V29" i="15"/>
  <c r="P18" i="15"/>
  <c r="P17" i="15"/>
  <c r="P16" i="15"/>
  <c r="V15" i="15"/>
  <c r="P15" i="15"/>
  <c r="L34" i="15"/>
  <c r="P14" i="15"/>
  <c r="P12" i="15"/>
  <c r="P9" i="15"/>
  <c r="M33" i="15"/>
  <c r="P7" i="15"/>
  <c r="M35" i="15" l="1"/>
  <c r="K36" i="15"/>
  <c r="F37" i="15" s="1"/>
  <c r="F40" i="15" s="1"/>
  <c r="F43" i="15" s="1"/>
  <c r="K38" i="15" s="1"/>
  <c r="K42" i="15" s="1"/>
  <c r="R18" i="15"/>
  <c r="P33" i="15"/>
  <c r="F52" i="13"/>
  <c r="F53" i="13" s="1"/>
  <c r="F54" i="13" s="1"/>
  <c r="F55" i="13" s="1"/>
  <c r="M42" i="14" l="1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L15" i="14"/>
  <c r="P27" i="14" s="1"/>
  <c r="P26" i="14"/>
  <c r="P25" i="14"/>
  <c r="P24" i="14"/>
  <c r="P23" i="14"/>
  <c r="P22" i="14"/>
  <c r="P21" i="14"/>
  <c r="M20" i="14"/>
  <c r="P20" i="14" s="1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I41" i="14" l="1"/>
  <c r="C41" i="14"/>
  <c r="F41" i="14"/>
  <c r="N40" i="14"/>
  <c r="M40" i="14"/>
  <c r="R40" i="14"/>
  <c r="M35" i="14" l="1"/>
  <c r="R18" i="14"/>
  <c r="M10" i="1" l="1"/>
  <c r="M20" i="3" l="1"/>
  <c r="M16" i="14" l="1"/>
  <c r="M33" i="14" l="1"/>
  <c r="M27" i="14"/>
  <c r="M26" i="14"/>
  <c r="M18" i="14" l="1"/>
  <c r="R13" i="14" l="1"/>
  <c r="M11" i="14"/>
  <c r="M8" i="14"/>
  <c r="R12" i="14"/>
  <c r="E58" i="13"/>
  <c r="C58" i="13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K47" i="14"/>
  <c r="Q40" i="14"/>
  <c r="V29" i="14"/>
  <c r="V15" i="14"/>
  <c r="L41" i="14"/>
  <c r="F16" i="13" l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K43" i="14"/>
  <c r="F44" i="14" l="1"/>
  <c r="F47" i="14" s="1"/>
  <c r="F50" i="14" s="1"/>
  <c r="K45" i="14" s="1"/>
  <c r="K49" i="14" s="1"/>
  <c r="F39" i="13"/>
  <c r="F40" i="13" s="1"/>
  <c r="F41" i="13" s="1"/>
  <c r="F42" i="13" s="1"/>
  <c r="F43" i="13" s="1"/>
  <c r="F44" i="13" s="1"/>
  <c r="F45" i="13" s="1"/>
  <c r="F46" i="13" s="1"/>
  <c r="F47" i="13" s="1"/>
  <c r="F48" i="13" s="1"/>
  <c r="F49" i="13" l="1"/>
  <c r="F50" i="13" s="1"/>
  <c r="F51" i="13" s="1"/>
  <c r="F56" i="13" s="1"/>
  <c r="F57" i="13" s="1"/>
  <c r="F58" i="13" s="1"/>
  <c r="N33" i="12"/>
  <c r="L13" i="12"/>
  <c r="C34" i="12" l="1"/>
  <c r="P32" i="12" s="1"/>
  <c r="L34" i="12"/>
  <c r="P30" i="12" s="1"/>
  <c r="I34" i="12"/>
  <c r="P16" i="12"/>
  <c r="C43" i="11"/>
  <c r="K36" i="12" l="1"/>
  <c r="P31" i="12"/>
  <c r="M32" i="12"/>
  <c r="M29" i="12" l="1"/>
  <c r="M10" i="12" l="1"/>
  <c r="M8" i="12" l="1"/>
  <c r="M33" i="12" s="1"/>
  <c r="M35" i="12" s="1"/>
  <c r="P29" i="12" s="1"/>
  <c r="P33" i="12" s="1"/>
  <c r="E43" i="11" l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K40" i="12"/>
  <c r="F34" i="12"/>
  <c r="O33" i="12"/>
  <c r="T29" i="12"/>
  <c r="T15" i="12"/>
  <c r="F38" i="11" l="1"/>
  <c r="F39" i="11" s="1"/>
  <c r="F40" i="11" s="1"/>
  <c r="F41" i="11" s="1"/>
  <c r="F42" i="11" s="1"/>
  <c r="F43" i="11" s="1"/>
  <c r="F37" i="12"/>
  <c r="F40" i="12" s="1"/>
  <c r="F43" i="12" s="1"/>
  <c r="K38" i="12" s="1"/>
  <c r="K42" i="12" s="1"/>
  <c r="C39" i="9"/>
  <c r="O32" i="3" l="1"/>
  <c r="N32" i="3"/>
  <c r="F5" i="9"/>
  <c r="F6" i="9" s="1"/>
  <c r="F7" i="9" s="1"/>
  <c r="M27" i="3" l="1"/>
  <c r="J6" i="5" l="1"/>
  <c r="M6" i="5" s="1"/>
  <c r="M7" i="5" l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17" i="3"/>
  <c r="M11" i="3" l="1"/>
  <c r="E39" i="9" l="1"/>
  <c r="F3" i="9"/>
  <c r="F4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S29" i="3"/>
  <c r="S15" i="3"/>
  <c r="K39" i="3"/>
  <c r="L33" i="3"/>
  <c r="F33" i="3"/>
  <c r="C33" i="3"/>
  <c r="I33" i="3"/>
  <c r="M32" i="3"/>
  <c r="M34" i="3" s="1"/>
  <c r="N38" i="1"/>
  <c r="Q43" i="1"/>
  <c r="C62" i="2"/>
  <c r="E6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37" i="9" l="1"/>
  <c r="F38" i="9" s="1"/>
  <c r="F39" i="9" s="1"/>
  <c r="K35" i="3"/>
  <c r="F59" i="2"/>
  <c r="F60" i="2" s="1"/>
  <c r="F61" i="2" s="1"/>
  <c r="F62" i="2" s="1"/>
  <c r="M37" i="1"/>
  <c r="M35" i="1"/>
  <c r="AG38" i="1"/>
  <c r="AF35" i="1"/>
  <c r="F36" i="3" l="1"/>
  <c r="F39" i="3" s="1"/>
  <c r="F42" i="3" s="1"/>
  <c r="K37" i="3" s="1"/>
  <c r="K41" i="3" s="1"/>
  <c r="K45" i="1"/>
  <c r="L39" i="1"/>
  <c r="F39" i="1"/>
  <c r="C39" i="1"/>
  <c r="F44" i="1" s="1"/>
  <c r="I21" i="1"/>
  <c r="M20" i="1"/>
  <c r="I14" i="1"/>
  <c r="M5" i="1"/>
  <c r="M38" i="1" l="1"/>
  <c r="I39" i="1"/>
  <c r="K41" i="1" s="1"/>
  <c r="C4" i="5"/>
  <c r="C6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42" i="1" l="1"/>
  <c r="F45" i="1" s="1"/>
  <c r="F48" i="1" s="1"/>
  <c r="K43" i="1" s="1"/>
  <c r="K47" i="1" s="1"/>
  <c r="AP16" i="1"/>
  <c r="AP30" i="1"/>
  <c r="AB21" i="1" l="1"/>
  <c r="AB14" i="1"/>
  <c r="AF20" i="1"/>
  <c r="AF5" i="1" l="1"/>
  <c r="AF38" i="1" s="1"/>
  <c r="AD45" i="1" l="1"/>
  <c r="AE39" i="1"/>
  <c r="AB39" i="1"/>
  <c r="Y39" i="1"/>
  <c r="V39" i="1"/>
  <c r="Y44" i="1" s="1"/>
  <c r="AD41" i="1" l="1"/>
  <c r="Y42" i="1" s="1"/>
  <c r="Y45" i="1" s="1"/>
  <c r="Y48" i="1" s="1"/>
  <c r="AD43" i="1" s="1"/>
  <c r="AD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N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60CAC6-4BD0-4A00-A9DB-3C54EEE0E2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1FFD567-B7BF-451C-B2F4-53B611BCA47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7EB4ADF-6604-4E9E-9BE1-49FF31F6A9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8B5A9B-0EA5-4D2A-B780-C543DEC8C45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W4" authorId="0" shapeId="0" xr:uid="{578FB3CF-B8A4-42B7-8816-2334698E979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0" shapeId="0" xr:uid="{91FB216A-12C2-479F-A46A-DF0BCEA220E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 xr:uid="{41F4FB17-7A19-49B6-8BF3-8F7648B48C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F34E5E-080C-4288-B187-B021CFE1F2E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B1B13EB-148F-4D63-8DBB-0C8F4C805AB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DE0CFFA5-99E5-423E-97AF-45D5ECE1D2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312734C7-ED71-416D-B8B8-FC0F177B34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EDC5A16A-EBAF-46F3-BEA6-25D7532930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F5514A1-48D6-4FB5-9855-D105121DCCB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E60267A-BDB2-42BF-95A8-ACEFD65D477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DE867EE-1878-40F6-A374-770979B033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2CEA7568-A921-4B74-B5AA-1F8633D9DCC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F1267C1-C3C5-4467-AC97-302D07B2BD0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93C6347-CF40-4BAA-8EAA-A44841036C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9CCAE9E-13BE-4EE2-8402-EB6992B32DB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C24B861-0BA7-49EE-A6F6-797A00D9381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DE7EA671-8A19-4CD9-81A3-53B648F1366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C4E6A074-5E9D-4B0A-AC45-E9C8A86344B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417B2088-8D7A-4F61-8C44-F0AFA8F693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53C9B57-1500-4C27-A0B3-D336E41A1A8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BF6CF0A2-1FAF-4A91-8F30-B33111B8924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AE084ACD-01A0-4C81-8BEF-52DF041F13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6842819B-1D5D-4F75-9122-9E48884577D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667AA6E-0FF6-49CD-9372-542F6768B76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C81DC99-3E2C-4A62-BB13-7C2BE254500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815358E7-D747-4DA5-9089-6495AA3824B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095370CF-846D-4596-AAA0-1446150426F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AB8369D-03B1-4BC5-82AC-AC958BAA16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D00E068-36E4-4495-A323-482867D38A4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1FFDE19-899F-425D-B8C5-0EB17E9D1BC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84364D74-1325-424F-BDD3-6CDC0BA7A43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55DB5D95-3C98-4B1C-B703-9B644A64C87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6FE81BDD-5002-476F-9AB5-F8C5FB65F1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D2C1CFA0-05A4-45E8-A983-AFA525CDC40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EEDF76B-B525-4EB4-A2AA-A498F6CFAF6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<sst xmlns="http://schemas.openxmlformats.org/spreadsheetml/2006/main" count="1702" uniqueCount="690">
  <si>
    <t>Elaborado por Rosy Tellez</t>
  </si>
  <si>
    <t>}</t>
  </si>
  <si>
    <t>MORRALLA EN CAJA DE 11 SUR   2,800.00  +  $ 1,200.00 Total    $  4,000.00</t>
  </si>
  <si>
    <t>COMPRAS</t>
  </si>
  <si>
    <t>REPOSICION</t>
  </si>
  <si>
    <t>INVENTARIO INICIAL</t>
  </si>
  <si>
    <t xml:space="preserve">VENTAS  </t>
  </si>
  <si>
    <t xml:space="preserve"> </t>
  </si>
  <si>
    <t>BANCO</t>
  </si>
  <si>
    <t>TELEFONOS</t>
  </si>
  <si>
    <t xml:space="preserve">LUZ  </t>
  </si>
  <si>
    <t>RENTA</t>
  </si>
  <si>
    <t>VIGILANCIA</t>
  </si>
  <si>
    <t>TOTAL</t>
  </si>
  <si>
    <t>GRAN TOTAL GASTOS</t>
  </si>
  <si>
    <t>VENTAS NETAS</t>
  </si>
  <si>
    <t>PROVEEDOREES</t>
  </si>
  <si>
    <t>SUB TOTAL</t>
  </si>
  <si>
    <t xml:space="preserve">COMPRAS VARIAS </t>
  </si>
  <si>
    <t>Sub Total 1</t>
  </si>
  <si>
    <t>INVENTARIO  INICIAL</t>
  </si>
  <si>
    <t>.</t>
  </si>
  <si>
    <t>MAS</t>
  </si>
  <si>
    <t>CREDITOS</t>
  </si>
  <si>
    <t>INVENTARIO FINAL</t>
  </si>
  <si>
    <t xml:space="preserve">Sub Total 2 </t>
  </si>
  <si>
    <t xml:space="preserve">                  </t>
  </si>
  <si>
    <t>REMISIONES  ABASTO 4 CARNES       2 0 1 9</t>
  </si>
  <si>
    <r>
      <t xml:space="preserve">con fecha 07  </t>
    </r>
    <r>
      <rPr>
        <b/>
        <sz val="12"/>
        <color rgb="FF0000FF"/>
        <rFont val="Calibri"/>
        <family val="2"/>
        <scheme val="minor"/>
      </rPr>
      <t xml:space="preserve"> de  2019</t>
    </r>
  </si>
  <si>
    <t xml:space="preserve">BALANCE      ABASTO 4 CARNES      E N E R O   2 0 1 9 </t>
  </si>
  <si>
    <t>NOMINA 03</t>
  </si>
  <si>
    <t>NOMINA 04</t>
  </si>
  <si>
    <t>FINIQUITO Daniela</t>
  </si>
  <si>
    <t>Verificacion</t>
  </si>
  <si>
    <t>Nissan SM-39219</t>
  </si>
  <si>
    <t>Res/Pollo</t>
  </si>
  <si>
    <t>TARJETAS</t>
  </si>
  <si>
    <t>Pollo/-salsas</t>
  </si>
  <si>
    <t xml:space="preserve">Res   </t>
  </si>
  <si>
    <t>CONTADOR</t>
  </si>
  <si>
    <t>Finiquito Monica</t>
  </si>
  <si>
    <t>ELIAS</t>
  </si>
  <si>
    <t>NOMINA 02</t>
  </si>
  <si>
    <t>RES</t>
  </si>
  <si>
    <t xml:space="preserve">Choque Ismael </t>
  </si>
  <si>
    <t xml:space="preserve">POLLO  </t>
  </si>
  <si>
    <t>Remodelacion caja</t>
  </si>
  <si>
    <t>PEPE</t>
  </si>
  <si>
    <t>VERDURA</t>
  </si>
  <si>
    <t>POLLO</t>
  </si>
  <si>
    <t>x cobro nota anterior</t>
  </si>
  <si>
    <t>MAIZ</t>
  </si>
  <si>
    <t>Res/Pollo-V</t>
  </si>
  <si>
    <t>Res/pollo</t>
  </si>
  <si>
    <t>pollo/cond</t>
  </si>
  <si>
    <t>POLLO/MAIZ</t>
  </si>
  <si>
    <t>RETIROS DE 4 CARNES</t>
  </si>
  <si>
    <t>RES/POLLO</t>
  </si>
  <si>
    <t>NOMINA FAUSTO</t>
  </si>
  <si>
    <t>POLLO-/SALSAS</t>
  </si>
  <si>
    <t>Pollo/chorizo</t>
  </si>
  <si>
    <t>12961 G</t>
  </si>
  <si>
    <t>13061 G</t>
  </si>
  <si>
    <t>13194 G</t>
  </si>
  <si>
    <t>13252 G</t>
  </si>
  <si>
    <t>13312 G</t>
  </si>
  <si>
    <t>13387 G</t>
  </si>
  <si>
    <t>13401 G</t>
  </si>
  <si>
    <t>13464 G</t>
  </si>
  <si>
    <t>13471 G</t>
  </si>
  <si>
    <t>13914 G</t>
  </si>
  <si>
    <t>13676 G</t>
  </si>
  <si>
    <t>13677 G</t>
  </si>
  <si>
    <t>14123 G</t>
  </si>
  <si>
    <t>14248 G</t>
  </si>
  <si>
    <t>14397 G</t>
  </si>
  <si>
    <t>14492 G</t>
  </si>
  <si>
    <t>14516 G</t>
  </si>
  <si>
    <t>14655 G</t>
  </si>
  <si>
    <t>14674 G</t>
  </si>
  <si>
    <t>14686 G</t>
  </si>
  <si>
    <t>14879 G</t>
  </si>
  <si>
    <t>14983 G</t>
  </si>
  <si>
    <t>15020 G</t>
  </si>
  <si>
    <t>15195 G</t>
  </si>
  <si>
    <t>15143 G</t>
  </si>
  <si>
    <t>15354 G</t>
  </si>
  <si>
    <t>15597 G</t>
  </si>
  <si>
    <t>15598 G</t>
  </si>
  <si>
    <t>15625 G</t>
  </si>
  <si>
    <t>15660 G</t>
  </si>
  <si>
    <t>15839 G</t>
  </si>
  <si>
    <t>15894 G</t>
  </si>
  <si>
    <t>16023 G</t>
  </si>
  <si>
    <t>16189 G</t>
  </si>
  <si>
    <t>GANANCIA</t>
  </si>
  <si>
    <t>PAGOS</t>
  </si>
  <si>
    <t>FECHA</t>
  </si>
  <si>
    <t>#</t>
  </si>
  <si>
    <t>IMPORTE</t>
  </si>
  <si>
    <t>HERRERO</t>
  </si>
  <si>
    <t>RES/POLLO/MAIZ</t>
  </si>
  <si>
    <t>NOMINA 05</t>
  </si>
  <si>
    <t>Sobrante</t>
  </si>
  <si>
    <t>pollo</t>
  </si>
  <si>
    <t>aplica sobrante</t>
  </si>
  <si>
    <t>pollo/chorizo</t>
  </si>
  <si>
    <t>Daniela</t>
  </si>
  <si>
    <t xml:space="preserve">ABASTO 4 CARNES   DEUDA  </t>
  </si>
  <si>
    <t>DANIELA MOLINA AGUILAR</t>
  </si>
  <si>
    <t xml:space="preserve">P A G O S </t>
  </si>
  <si>
    <t>16420 G</t>
  </si>
  <si>
    <t>16421 G</t>
  </si>
  <si>
    <t>16580 G</t>
  </si>
  <si>
    <t>Fumi/Elias-Pepe</t>
  </si>
  <si>
    <t>16792 G</t>
  </si>
  <si>
    <t>16793 G</t>
  </si>
  <si>
    <t>16913 G</t>
  </si>
  <si>
    <t>16950 G</t>
  </si>
  <si>
    <t>17046 G</t>
  </si>
  <si>
    <t>17091 G</t>
  </si>
  <si>
    <t>17216 G</t>
  </si>
  <si>
    <t>17201 G</t>
  </si>
  <si>
    <t>17340 G</t>
  </si>
  <si>
    <t>17495 G</t>
  </si>
  <si>
    <t>17723 G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</si>
  <si>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</si>
  <si>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SALDO</t>
  </si>
  <si>
    <t xml:space="preserve">BALANCE      ABASTO 4 CARNES      F E B R E R O      2 0 1 9 </t>
  </si>
  <si>
    <t>NOMINA 06</t>
  </si>
  <si>
    <t>NOMINA 07</t>
  </si>
  <si>
    <t xml:space="preserve">FINIQUITO </t>
  </si>
  <si>
    <t>NOMINA 08</t>
  </si>
  <si>
    <t>NOMINA 09</t>
  </si>
  <si>
    <t>NOMINA 10</t>
  </si>
  <si>
    <t>Michoondas</t>
  </si>
  <si>
    <t>POLLO/Verdura</t>
  </si>
  <si>
    <t>pollo/maiz*Cond</t>
  </si>
  <si>
    <t xml:space="preserve">RES  </t>
  </si>
  <si>
    <t>POLLO-ARABE</t>
  </si>
  <si>
    <t>ISMAEL MANZANO LUIS</t>
  </si>
  <si>
    <t>Choque</t>
  </si>
  <si>
    <t>RES/POLLO-MAIZ</t>
  </si>
  <si>
    <t>SALSAS-CHORIZO</t>
  </si>
  <si>
    <t>RES-POLLO-MAZI</t>
  </si>
  <si>
    <t>ARABE</t>
  </si>
  <si>
    <t xml:space="preserve">RES-POLLO  </t>
  </si>
  <si>
    <t>POLLO-MAIZ-ARABE</t>
  </si>
  <si>
    <t>RES-POLLO-CHORIZO</t>
  </si>
  <si>
    <t>RES-SALSAS</t>
  </si>
  <si>
    <t>17900 G</t>
  </si>
  <si>
    <t>17998 G</t>
  </si>
  <si>
    <t>18141 G</t>
  </si>
  <si>
    <t>18242 G</t>
  </si>
  <si>
    <t>18433 G</t>
  </si>
  <si>
    <t>18472 G</t>
  </si>
  <si>
    <t>18473 G</t>
  </si>
  <si>
    <t>18503 G</t>
  </si>
  <si>
    <t>18626 G</t>
  </si>
  <si>
    <t>18805 G</t>
  </si>
  <si>
    <t>18905 G</t>
  </si>
  <si>
    <t>19072 G</t>
  </si>
  <si>
    <t>19313 G</t>
  </si>
  <si>
    <t>19514 G</t>
  </si>
  <si>
    <t>19531 G</t>
  </si>
  <si>
    <t>19640 G</t>
  </si>
  <si>
    <t>19671 G</t>
  </si>
  <si>
    <t>16790 G</t>
  </si>
  <si>
    <t>19984 G</t>
  </si>
  <si>
    <t>20036 G</t>
  </si>
  <si>
    <t>20087 G</t>
  </si>
  <si>
    <t>20134 G</t>
  </si>
  <si>
    <t>20245 G</t>
  </si>
  <si>
    <t>20727 G</t>
  </si>
  <si>
    <t>20730 G</t>
  </si>
  <si>
    <t>20764 G</t>
  </si>
  <si>
    <t>20859 G</t>
  </si>
  <si>
    <t>21104 G</t>
  </si>
  <si>
    <t>NOMINA 11</t>
  </si>
  <si>
    <t>NOMINA 12</t>
  </si>
  <si>
    <t>NOMINA 13</t>
  </si>
  <si>
    <t>NOMINA 14</t>
  </si>
  <si>
    <t xml:space="preserve">BALANCE      ABASTO 4 CARNES      M A R Z O      2 0 1 9 </t>
  </si>
  <si>
    <t>RES-POLLO-</t>
  </si>
  <si>
    <t>POLLO-MAIZ</t>
  </si>
  <si>
    <t>NOMINA</t>
  </si>
  <si>
    <t>POLLO-Chorizop</t>
  </si>
  <si>
    <t>RES-POLLO- MAIZ</t>
  </si>
  <si>
    <t>POLLO-Verdura</t>
  </si>
  <si>
    <t>21241 G</t>
  </si>
  <si>
    <t>21449 G</t>
  </si>
  <si>
    <t>21628 G</t>
  </si>
  <si>
    <t>21630 G</t>
  </si>
  <si>
    <t>POLLO/CHORIZO</t>
  </si>
  <si>
    <t>POLLO-RES</t>
  </si>
  <si>
    <t>POLLO-Condimentos</t>
  </si>
  <si>
    <t xml:space="preserve">RES/POLLO   </t>
  </si>
  <si>
    <t>POLLO-Chorizo</t>
  </si>
  <si>
    <t>RES/POLLO-SALSAS</t>
  </si>
  <si>
    <t>pollo-maiz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</si>
  <si>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</si>
  <si>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</si>
  <si>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</si>
  <si>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</si>
  <si>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</si>
  <si>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</si>
  <si>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</si>
  <si>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</si>
  <si>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</si>
  <si>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</si>
  <si>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</si>
  <si>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</si>
  <si>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</si>
  <si>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</si>
  <si>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</si>
  <si>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</si>
  <si>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A-10</t>
  </si>
  <si>
    <t>A-11</t>
  </si>
  <si>
    <t>S-11-12-13</t>
  </si>
  <si>
    <t>21819 G</t>
  </si>
  <si>
    <t>21927 G</t>
  </si>
  <si>
    <t>22050 G</t>
  </si>
  <si>
    <t>22058 G</t>
  </si>
  <si>
    <t>22296 G</t>
  </si>
  <si>
    <t>22434 G</t>
  </si>
  <si>
    <t>22631 G</t>
  </si>
  <si>
    <t>22647 G</t>
  </si>
  <si>
    <t>22743 G</t>
  </si>
  <si>
    <t>22841 G</t>
  </si>
  <si>
    <t>22934 G</t>
  </si>
  <si>
    <t>22944 G</t>
  </si>
  <si>
    <t>22987 G</t>
  </si>
  <si>
    <t>22993 G</t>
  </si>
  <si>
    <t>23039 G</t>
  </si>
  <si>
    <t>23167 G</t>
  </si>
  <si>
    <t>23333 G</t>
  </si>
  <si>
    <t>23351 G</t>
  </si>
  <si>
    <t>23408 G</t>
  </si>
  <si>
    <t>23564 G</t>
  </si>
  <si>
    <t>23694 G</t>
  </si>
  <si>
    <t>23819 G</t>
  </si>
  <si>
    <t>23853 G</t>
  </si>
  <si>
    <t>23872 G</t>
  </si>
  <si>
    <t>24161 G</t>
  </si>
  <si>
    <t>24187 G</t>
  </si>
  <si>
    <t>24188 G</t>
  </si>
  <si>
    <t>24425 G</t>
  </si>
  <si>
    <t>24385 G</t>
  </si>
  <si>
    <t>Nom Jaqueline</t>
  </si>
  <si>
    <t xml:space="preserve">BALANCE      ABASTO 4 CARNES      A B R I L       2 0 1 9 </t>
  </si>
  <si>
    <t>POLLO--RES-VERDURA</t>
  </si>
  <si>
    <t>NOMINA 15</t>
  </si>
  <si>
    <t>NOMINA 16</t>
  </si>
  <si>
    <t>NOMINA 17</t>
  </si>
  <si>
    <t>RES-Pollo</t>
  </si>
  <si>
    <t>Pollo-Tostadas</t>
  </si>
  <si>
    <t>MAIZ-VERDURA</t>
  </si>
  <si>
    <t>S-10</t>
  </si>
  <si>
    <t>S-11</t>
  </si>
  <si>
    <t>RES-POLLO-MAIZ</t>
  </si>
  <si>
    <t>Tocineta-manchego-Chorizo</t>
  </si>
  <si>
    <t>24517 G</t>
  </si>
  <si>
    <t>24522 G</t>
  </si>
  <si>
    <t>24529 G</t>
  </si>
  <si>
    <t>24625 G</t>
  </si>
  <si>
    <t>24640 G</t>
  </si>
  <si>
    <t>24661 G</t>
  </si>
  <si>
    <t>24734 G</t>
  </si>
  <si>
    <t>24742 G</t>
  </si>
  <si>
    <t>24957 G</t>
  </si>
  <si>
    <t>,00094 H</t>
  </si>
  <si>
    <t>00289 H</t>
  </si>
  <si>
    <t>POLLO-SALSA</t>
  </si>
  <si>
    <t>RES-MAIZ-TOSTADAS</t>
  </si>
  <si>
    <t>RES-POLLO</t>
  </si>
  <si>
    <t>V.SANTO</t>
  </si>
  <si>
    <t>RES-POLLO-MAIEZ</t>
  </si>
  <si>
    <t>MAIZ-SALSA</t>
  </si>
  <si>
    <t xml:space="preserve">La fecha del deposito de la venta del 1 de febrero esta con fecha             21-1-19 x que era venta de PABLO y yo lo envie a 4 CARNES  por eso  se hace la correcion de DEPOSITO </t>
  </si>
  <si>
    <t>NOMINA 18</t>
  </si>
  <si>
    <t>POLLO-Chorizo-tocino</t>
  </si>
  <si>
    <t>salsas</t>
  </si>
  <si>
    <t>RES-MAIZ-POLLO</t>
  </si>
  <si>
    <t>COMPRA NISSAN</t>
  </si>
  <si>
    <t>00379 H</t>
  </si>
  <si>
    <t>00380 H</t>
  </si>
  <si>
    <t>00382 H</t>
  </si>
  <si>
    <t>00509 H</t>
  </si>
  <si>
    <t>00619 H</t>
  </si>
  <si>
    <t>00811 H</t>
  </si>
  <si>
    <t>00906 H</t>
  </si>
  <si>
    <t>00987 H</t>
  </si>
  <si>
    <t>01031 H</t>
  </si>
  <si>
    <t>01034 H</t>
  </si>
  <si>
    <t>01152 H</t>
  </si>
  <si>
    <t>01153 H</t>
  </si>
  <si>
    <t>01214 H</t>
  </si>
  <si>
    <t>01298 H</t>
  </si>
  <si>
    <t>01333 H</t>
  </si>
  <si>
    <t>01417 H</t>
  </si>
  <si>
    <t>01684 H</t>
  </si>
  <si>
    <t>01766 H</t>
  </si>
  <si>
    <t>01884 H</t>
  </si>
  <si>
    <t>01981 H</t>
  </si>
  <si>
    <t>02265 H</t>
  </si>
  <si>
    <t>02222 H</t>
  </si>
  <si>
    <t>02358 H</t>
  </si>
  <si>
    <t>02505 H</t>
  </si>
  <si>
    <t>02636 H</t>
  </si>
  <si>
    <t>02704 H</t>
  </si>
  <si>
    <t>02857 H</t>
  </si>
  <si>
    <t>02912 H</t>
  </si>
  <si>
    <t>02989 H</t>
  </si>
  <si>
    <t>03053 H</t>
  </si>
  <si>
    <t>03059 H</t>
  </si>
  <si>
    <t>03063 H</t>
  </si>
  <si>
    <t>03134 H</t>
  </si>
  <si>
    <t>03136 H</t>
  </si>
  <si>
    <t>03210 H</t>
  </si>
  <si>
    <t>03299 H</t>
  </si>
  <si>
    <t>03300 H</t>
  </si>
  <si>
    <t>03409 H</t>
  </si>
  <si>
    <t>03440 H</t>
  </si>
  <si>
    <t>03535 H</t>
  </si>
  <si>
    <t>3741 H</t>
  </si>
  <si>
    <t>3749 H</t>
  </si>
  <si>
    <t>NOMINA 19</t>
  </si>
  <si>
    <t>NOMINA 21</t>
  </si>
  <si>
    <t>NOMINA 22</t>
  </si>
  <si>
    <t xml:space="preserve">NOMINA </t>
  </si>
  <si>
    <t xml:space="preserve">BALANCE      ABASTO 4 CARNES      M A Y O .      2 0 1 9 </t>
  </si>
  <si>
    <t>NOMINA # 19</t>
  </si>
  <si>
    <t>POLLO-Salsa</t>
  </si>
  <si>
    <t>Proteccion Civil</t>
  </si>
  <si>
    <t>MAIZ--POLLO</t>
  </si>
  <si>
    <t>QUESO</t>
  </si>
  <si>
    <t>NOMINA 20</t>
  </si>
  <si>
    <t>NOMINA # 20</t>
  </si>
  <si>
    <t>RES-CHORIZO</t>
  </si>
  <si>
    <t>Chistorra--MAIZ</t>
  </si>
  <si>
    <t>POLLO-Res</t>
  </si>
  <si>
    <t>NOMINA # 21</t>
  </si>
  <si>
    <t>POLLO-SALSAS</t>
  </si>
  <si>
    <t>RES-MAIZ</t>
  </si>
  <si>
    <t>NOMINA # 22</t>
  </si>
  <si>
    <t>FUMIGACION</t>
  </si>
  <si>
    <t>3915 H</t>
  </si>
  <si>
    <t>3930 H</t>
  </si>
  <si>
    <t>4046 H</t>
  </si>
  <si>
    <t>4065 H</t>
  </si>
  <si>
    <t>4113 H</t>
  </si>
  <si>
    <t>4302 H</t>
  </si>
  <si>
    <t>4303 H</t>
  </si>
  <si>
    <t>4587 H</t>
  </si>
  <si>
    <t>4589 H</t>
  </si>
  <si>
    <t>4652 H</t>
  </si>
  <si>
    <t>4657 H</t>
  </si>
  <si>
    <t>4758 H</t>
  </si>
  <si>
    <t>4863 H</t>
  </si>
  <si>
    <t>4994 H</t>
  </si>
  <si>
    <t>5164 H</t>
  </si>
  <si>
    <t>5193 H</t>
  </si>
  <si>
    <t>5337 H</t>
  </si>
  <si>
    <t>5490 H</t>
  </si>
  <si>
    <t>5512 H</t>
  </si>
  <si>
    <t>5702 H</t>
  </si>
  <si>
    <t>5875 H</t>
  </si>
  <si>
    <t>5926 H</t>
  </si>
  <si>
    <t>6008 H</t>
  </si>
  <si>
    <t>6126 H</t>
  </si>
  <si>
    <t>6220 H</t>
  </si>
  <si>
    <t>6288 H</t>
  </si>
  <si>
    <t>6514 H</t>
  </si>
  <si>
    <t>6565 H</t>
  </si>
  <si>
    <t>6698 H</t>
  </si>
  <si>
    <t>6838 H</t>
  </si>
  <si>
    <t>6853 H</t>
  </si>
  <si>
    <t>7028 H</t>
  </si>
  <si>
    <t>6 Junio.,2019</t>
  </si>
  <si>
    <t xml:space="preserve">BALANCE      ABASTO 4 CARNES      J U N I O .      2 0 1 9 </t>
  </si>
  <si>
    <t>NOMINA 23</t>
  </si>
  <si>
    <t>NOMINA 24</t>
  </si>
  <si>
    <t>NOMINA 25</t>
  </si>
  <si>
    <t>NOMINA 26</t>
  </si>
  <si>
    <t>NOMINA 27</t>
  </si>
  <si>
    <t>S-14</t>
  </si>
  <si>
    <t>S-15</t>
  </si>
  <si>
    <t>S-16-17</t>
  </si>
  <si>
    <t>S-18</t>
  </si>
  <si>
    <t>S-*19</t>
  </si>
  <si>
    <t>S-20-21</t>
  </si>
  <si>
    <t>S-22-23</t>
  </si>
  <si>
    <t>S-24-25</t>
  </si>
  <si>
    <t>RES-POLLO-Condimentos</t>
  </si>
  <si>
    <t>RES-Manchego-tocineta-salsas-condimentos</t>
  </si>
  <si>
    <t>S-26</t>
  </si>
  <si>
    <t xml:space="preserve">RES-POLLO   </t>
  </si>
  <si>
    <t xml:space="preserve">Cambio x </t>
  </si>
  <si>
    <t>CANCELACION DE TIKETS</t>
  </si>
  <si>
    <t>RES-Chorizo</t>
  </si>
  <si>
    <t>Pollo-arabe</t>
  </si>
  <si>
    <t>S-27</t>
  </si>
  <si>
    <t>VACACIONES</t>
  </si>
  <si>
    <t>Antonio Ramos</t>
  </si>
  <si>
    <t>RES-POLLO-Chorizxo</t>
  </si>
  <si>
    <t>POLLO-TOSTADAS</t>
  </si>
  <si>
    <t>POLLO-MAIZ-RES</t>
  </si>
  <si>
    <t>NOMINA-26</t>
  </si>
  <si>
    <t>S-28</t>
  </si>
  <si>
    <t>RES-Chorizo-Salsas</t>
  </si>
  <si>
    <t>Queso-Chistorra-Tocineta</t>
  </si>
  <si>
    <t xml:space="preserve">BALANCE      ABASTO 4 CARNES      J U L I O .      2 0 1 9 </t>
  </si>
  <si>
    <t>NOMINA 28</t>
  </si>
  <si>
    <t>NOMINA 29</t>
  </si>
  <si>
    <t>NOMINA 30</t>
  </si>
  <si>
    <t>NOMINA 31</t>
  </si>
  <si>
    <t>7177 H</t>
  </si>
  <si>
    <t>7136 H</t>
  </si>
  <si>
    <t>7137 H</t>
  </si>
  <si>
    <t>7204 H</t>
  </si>
  <si>
    <t>7361 H</t>
  </si>
  <si>
    <t>7386 H</t>
  </si>
  <si>
    <t>7674 H</t>
  </si>
  <si>
    <t>7888 H</t>
  </si>
  <si>
    <t>7895 H</t>
  </si>
  <si>
    <t>7929 H</t>
  </si>
  <si>
    <t>7936 H</t>
  </si>
  <si>
    <t>8060 H</t>
  </si>
  <si>
    <t>8206 H</t>
  </si>
  <si>
    <t>8247 H</t>
  </si>
  <si>
    <t>8413 H</t>
  </si>
  <si>
    <t>8697 H</t>
  </si>
  <si>
    <t>8708 H</t>
  </si>
  <si>
    <t>8713 H</t>
  </si>
  <si>
    <t>8717 H</t>
  </si>
  <si>
    <t>8927 H</t>
  </si>
  <si>
    <t>9069 H</t>
  </si>
  <si>
    <t>9124 H</t>
  </si>
  <si>
    <t>9315 H</t>
  </si>
  <si>
    <t>9346 H</t>
  </si>
  <si>
    <t>9349 H</t>
  </si>
  <si>
    <t>9508 H</t>
  </si>
  <si>
    <t>9510 H</t>
  </si>
  <si>
    <t>9622 H</t>
  </si>
  <si>
    <t>9635 H</t>
  </si>
  <si>
    <t>9728 H</t>
  </si>
  <si>
    <t>9797 H</t>
  </si>
  <si>
    <t>9846 H</t>
  </si>
  <si>
    <t>9905 H</t>
  </si>
  <si>
    <t>9949 H</t>
  </si>
  <si>
    <t>9948 H</t>
  </si>
  <si>
    <t>9958 H</t>
  </si>
  <si>
    <t>10124 H</t>
  </si>
  <si>
    <t>10181 H</t>
  </si>
  <si>
    <t>10182 H</t>
  </si>
  <si>
    <t>10183 H</t>
  </si>
  <si>
    <t>10299 H</t>
  </si>
  <si>
    <t>10358 H</t>
  </si>
  <si>
    <t>10542 H</t>
  </si>
  <si>
    <t>10543 H</t>
  </si>
  <si>
    <t>GASTOS</t>
  </si>
  <si>
    <t>CHORIZO</t>
  </si>
  <si>
    <t>s-29</t>
  </si>
  <si>
    <t>CHORIZO--POLLO</t>
  </si>
  <si>
    <t>SALSAS</t>
  </si>
  <si>
    <t>S-30</t>
  </si>
  <si>
    <t>RES-POLLO-TOCINETA</t>
  </si>
  <si>
    <t>CHORIZO-SALSAS</t>
  </si>
  <si>
    <t>NOMINA-30</t>
  </si>
  <si>
    <t>RES-POLLO-Chorizo</t>
  </si>
  <si>
    <t>S-31-32</t>
  </si>
  <si>
    <t>10690 H</t>
  </si>
  <si>
    <t>10724 H</t>
  </si>
  <si>
    <t>10731 H</t>
  </si>
  <si>
    <t>10759 H</t>
  </si>
  <si>
    <t>10789 H</t>
  </si>
  <si>
    <t>10935 H</t>
  </si>
  <si>
    <t>10997 H</t>
  </si>
  <si>
    <t>11018 H</t>
  </si>
  <si>
    <t>11085 H</t>
  </si>
  <si>
    <t>11142 H</t>
  </si>
  <si>
    <t>11221 H</t>
  </si>
  <si>
    <t>11226 H</t>
  </si>
  <si>
    <t>11431 H</t>
  </si>
  <si>
    <t>11499 H</t>
  </si>
  <si>
    <t>11572 H</t>
  </si>
  <si>
    <t>11722 H</t>
  </si>
  <si>
    <t>11801 H</t>
  </si>
  <si>
    <t>11836 H</t>
  </si>
  <si>
    <t>11847 H</t>
  </si>
  <si>
    <t>11954 H</t>
  </si>
  <si>
    <t>11955 H</t>
  </si>
  <si>
    <t>11971 H</t>
  </si>
  <si>
    <t>12088 H</t>
  </si>
  <si>
    <t>12091 H</t>
  </si>
  <si>
    <t>12202 H</t>
  </si>
  <si>
    <t>12232 H</t>
  </si>
  <si>
    <t>12250 H</t>
  </si>
  <si>
    <t>12291 H</t>
  </si>
  <si>
    <t>12354 H</t>
  </si>
  <si>
    <t>12356 H</t>
  </si>
  <si>
    <t>12387 H</t>
  </si>
  <si>
    <t>12427 H</t>
  </si>
  <si>
    <t>12462 H</t>
  </si>
  <si>
    <t>12536 H</t>
  </si>
  <si>
    <t>12538 H</t>
  </si>
  <si>
    <t>12599 H</t>
  </si>
  <si>
    <t>12629 H</t>
  </si>
  <si>
    <t>12648 H</t>
  </si>
  <si>
    <t>12898 H</t>
  </si>
  <si>
    <t>12909 H</t>
  </si>
  <si>
    <t>13051 H</t>
  </si>
  <si>
    <t>13082 H</t>
  </si>
  <si>
    <t>13101 H</t>
  </si>
  <si>
    <t>13186 H</t>
  </si>
  <si>
    <t>13233 H</t>
  </si>
  <si>
    <t>13336 H</t>
  </si>
  <si>
    <t>13431 H</t>
  </si>
  <si>
    <t>13549 H</t>
  </si>
  <si>
    <t>13570 H</t>
  </si>
  <si>
    <t>13601 H</t>
  </si>
  <si>
    <t>13734 H</t>
  </si>
  <si>
    <t>NOMINA 32</t>
  </si>
  <si>
    <t>NOMINA 33</t>
  </si>
  <si>
    <t>NOMINA 34</t>
  </si>
  <si>
    <t>NOMINA 35</t>
  </si>
  <si>
    <t xml:space="preserve">BALANCE      ABASTO 4 CARNES      AGOSTO  .      2 0 1 9 </t>
  </si>
  <si>
    <t>NOMINA-34</t>
  </si>
  <si>
    <t>13852 H</t>
  </si>
  <si>
    <t>13926 H</t>
  </si>
  <si>
    <t>13932 H</t>
  </si>
  <si>
    <t>13954 H</t>
  </si>
  <si>
    <t>14000 H</t>
  </si>
  <si>
    <t>14003 H</t>
  </si>
  <si>
    <t>POLLO-MAIZ-Chorizo</t>
  </si>
  <si>
    <t xml:space="preserve">RES      </t>
  </si>
  <si>
    <t>Devolucion</t>
  </si>
  <si>
    <t>RES--POLLO</t>
  </si>
  <si>
    <t>POLLO-CHORIZO</t>
  </si>
  <si>
    <t>POLLO-MAIZ-TOCINETA</t>
  </si>
  <si>
    <t>S-33-34</t>
  </si>
  <si>
    <t>s-35</t>
  </si>
  <si>
    <t>POLLO-Tostadas</t>
  </si>
  <si>
    <t>RES-POLLO-VERDURA</t>
  </si>
  <si>
    <t>Tostadas</t>
  </si>
  <si>
    <t>RES-POLLO-SALSAS</t>
  </si>
  <si>
    <t>BOCINA</t>
  </si>
  <si>
    <t>FINIQUITO</t>
  </si>
  <si>
    <t>Abraham corona</t>
  </si>
  <si>
    <t>X TAJETAS NO ENVIADAS</t>
  </si>
  <si>
    <t>S-36</t>
  </si>
  <si>
    <t xml:space="preserve">VACACIONES </t>
  </si>
  <si>
    <t>Manuel Atlatenco</t>
  </si>
  <si>
    <t>CANACO</t>
  </si>
  <si>
    <t>RES-POZOLE-ARABE</t>
  </si>
  <si>
    <t>SEMANA 36</t>
  </si>
  <si>
    <t>NOMINA 36</t>
  </si>
  <si>
    <t>POLLO-TOSINETA-MANCHEGO</t>
  </si>
  <si>
    <t>sueldo</t>
  </si>
  <si>
    <t>14195 H</t>
  </si>
  <si>
    <t>14311 H</t>
  </si>
  <si>
    <t>14312 H</t>
  </si>
  <si>
    <t>14355 H</t>
  </si>
  <si>
    <t>14424 H</t>
  </si>
  <si>
    <t>RP 8118</t>
  </si>
  <si>
    <t>14558 H</t>
  </si>
  <si>
    <t>14621 H</t>
  </si>
  <si>
    <t>14673 H</t>
  </si>
  <si>
    <t>14704 H</t>
  </si>
  <si>
    <t>14779 H</t>
  </si>
  <si>
    <t>14908 H</t>
  </si>
  <si>
    <t>15018 H</t>
  </si>
  <si>
    <t>15143 H</t>
  </si>
  <si>
    <t>15178 H</t>
  </si>
  <si>
    <t>15180 H</t>
  </si>
  <si>
    <t>15373 H</t>
  </si>
  <si>
    <t>15394 H</t>
  </si>
  <si>
    <t>15455 H</t>
  </si>
  <si>
    <t>15509 H</t>
  </si>
  <si>
    <t>15511 H</t>
  </si>
  <si>
    <t>15564 H</t>
  </si>
  <si>
    <t>15683 H</t>
  </si>
  <si>
    <t>15961 H</t>
  </si>
  <si>
    <t>15815 H</t>
  </si>
  <si>
    <t>15682 H</t>
  </si>
  <si>
    <t>15847 H</t>
  </si>
  <si>
    <t>16011 H</t>
  </si>
  <si>
    <t>16111 H</t>
  </si>
  <si>
    <t>16128 H</t>
  </si>
  <si>
    <t>16138 H</t>
  </si>
  <si>
    <t>16269 H</t>
  </si>
  <si>
    <t>16410 H</t>
  </si>
  <si>
    <t>16619 H</t>
  </si>
  <si>
    <t>16673 H</t>
  </si>
  <si>
    <t>16726 H</t>
  </si>
  <si>
    <t>16740 H</t>
  </si>
  <si>
    <t>16742 H</t>
  </si>
  <si>
    <t>16985 H</t>
  </si>
  <si>
    <t>17029 H</t>
  </si>
  <si>
    <t>17031 H</t>
  </si>
  <si>
    <t>17163 H</t>
  </si>
  <si>
    <t>17202 H</t>
  </si>
  <si>
    <t>17319 H</t>
  </si>
  <si>
    <t>17413 H</t>
  </si>
  <si>
    <t>17416 H</t>
  </si>
  <si>
    <t>17459 H</t>
  </si>
  <si>
    <t>17532 H</t>
  </si>
  <si>
    <t>17576 H</t>
  </si>
  <si>
    <t>17638 H</t>
  </si>
  <si>
    <t>17648 H</t>
  </si>
  <si>
    <t>17693 H</t>
  </si>
  <si>
    <t>17750 H</t>
  </si>
  <si>
    <t>17815 H</t>
  </si>
  <si>
    <t>17819 H</t>
  </si>
  <si>
    <t>17896 H</t>
  </si>
  <si>
    <t>17985 H</t>
  </si>
  <si>
    <t>17954 H</t>
  </si>
  <si>
    <t>18007 H</t>
  </si>
  <si>
    <t>18178 H</t>
  </si>
  <si>
    <t>18091 H</t>
  </si>
  <si>
    <t>18264 H</t>
  </si>
  <si>
    <t>rollos termicos</t>
  </si>
  <si>
    <t xml:space="preserve">Fecha </t>
  </si>
  <si>
    <t xml:space="preserve">BALANCE      ABASTO 4 CARNES    SEPTIEMBRE .      2 0 1 9 </t>
  </si>
  <si>
    <t>NOMINA 37</t>
  </si>
  <si>
    <t>NOMINA 38</t>
  </si>
  <si>
    <t>NOMINA 39</t>
  </si>
  <si>
    <t>NOMINA 40</t>
  </si>
  <si>
    <t>NOMINA 41</t>
  </si>
  <si>
    <t>NOMINA 42</t>
  </si>
  <si>
    <t>S-39</t>
  </si>
  <si>
    <t>S-40</t>
  </si>
  <si>
    <t>S-41</t>
  </si>
  <si>
    <t>POLLO-RES-CHORIZO</t>
  </si>
  <si>
    <t>S-37-38---(35-36)</t>
  </si>
  <si>
    <t>RES-POLLO-TOSTADAS</t>
  </si>
  <si>
    <t xml:space="preserve">RES   </t>
  </si>
  <si>
    <t>S-38---( 37--)</t>
  </si>
  <si>
    <t>RES--MAIZ</t>
  </si>
  <si>
    <t>CHORIZO-PEREJIL</t>
  </si>
  <si>
    <t>RES-TOSTADAS</t>
  </si>
  <si>
    <t># 88545</t>
  </si>
  <si>
    <t>#  88546</t>
  </si>
  <si>
    <t># 88585</t>
  </si>
  <si>
    <t>#  88586</t>
  </si>
  <si>
    <t># 88591</t>
  </si>
  <si>
    <t>#  88593</t>
  </si>
  <si>
    <t># 88592</t>
  </si>
  <si>
    <t>#   88594</t>
  </si>
  <si>
    <t>#  88631</t>
  </si>
  <si>
    <t>#  88633</t>
  </si>
  <si>
    <t># 88724</t>
  </si>
  <si>
    <t># 88725</t>
  </si>
  <si>
    <t>POLLO-CHORIZO-TOSINETA</t>
  </si>
  <si>
    <t>S-18-19</t>
  </si>
  <si>
    <t>18421 H</t>
  </si>
  <si>
    <t>18508 H</t>
  </si>
  <si>
    <t>18541 H</t>
  </si>
  <si>
    <t>18634 H</t>
  </si>
  <si>
    <t>18657 H</t>
  </si>
  <si>
    <t>18659 H</t>
  </si>
  <si>
    <t>18697 H</t>
  </si>
  <si>
    <t>18828 H</t>
  </si>
  <si>
    <t>18829 H</t>
  </si>
  <si>
    <t>18831 H</t>
  </si>
  <si>
    <t>18855 H</t>
  </si>
  <si>
    <t>18980 H</t>
  </si>
  <si>
    <t>19167 H</t>
  </si>
  <si>
    <t>19242 H</t>
  </si>
  <si>
    <t>19301 H</t>
  </si>
  <si>
    <t>19345 H</t>
  </si>
  <si>
    <t>19443 H</t>
  </si>
  <si>
    <t>19461 H</t>
  </si>
  <si>
    <t>19572 H</t>
  </si>
  <si>
    <t>19636 H</t>
  </si>
  <si>
    <t>19716 H</t>
  </si>
  <si>
    <t>19717 H</t>
  </si>
  <si>
    <t>19788 H</t>
  </si>
  <si>
    <t>19793 H</t>
  </si>
  <si>
    <t>19946 H</t>
  </si>
  <si>
    <t>20127 H</t>
  </si>
  <si>
    <t>20321 H</t>
  </si>
  <si>
    <t>20329 H</t>
  </si>
  <si>
    <t>20426 H</t>
  </si>
  <si>
    <t>20466 H</t>
  </si>
  <si>
    <t>20553 H</t>
  </si>
  <si>
    <t>20655 H</t>
  </si>
  <si>
    <t>20671 H</t>
  </si>
  <si>
    <t>20791 H</t>
  </si>
  <si>
    <t>Foto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</si>
</sst>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  <numFmt numFmtId="167" formatCode="[$-C0A]d\-mmm\-yy;@"/>
    <numFmt numFmtId="168" formatCode="[$$-80A]#,##0.00;\-[$$-80A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530B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7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ill="1"/>
    <xf numFmtId="0" fontId="0" fillId="3" borderId="0" xfId="0" applyFill="1"/>
    <xf numFmtId="44" fontId="2" fillId="3" borderId="0" xfId="1" applyFont="1" applyFill="1"/>
    <xf numFmtId="44" fontId="7" fillId="0" borderId="4" xfId="1" applyFont="1" applyBorder="1" applyAlignment="1">
      <alignment horizontal="center"/>
    </xf>
    <xf numFmtId="0" fontId="7" fillId="0" borderId="0" xfId="0" applyFont="1" applyAlignment="1">
      <alignment horizontal="center"/>
    </xf>
    <xf numFmtId="44" fontId="8" fillId="3" borderId="0" xfId="1" applyFont="1" applyFill="1"/>
    <xf numFmtId="0" fontId="8" fillId="3" borderId="0" xfId="0" applyFont="1" applyFill="1"/>
    <xf numFmtId="0" fontId="10" fillId="0" borderId="1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0" fillId="0" borderId="0" xfId="0" applyNumberFormat="1"/>
    <xf numFmtId="44" fontId="8" fillId="4" borderId="0" xfId="1" applyFont="1" applyFill="1" applyAlignment="1">
      <alignment horizontal="center"/>
    </xf>
    <xf numFmtId="16" fontId="0" fillId="0" borderId="0" xfId="0" applyNumberFormat="1"/>
    <xf numFmtId="44" fontId="2" fillId="0" borderId="12" xfId="1" applyFont="1" applyBorder="1"/>
    <xf numFmtId="165" fontId="14" fillId="0" borderId="0" xfId="0" applyNumberFormat="1" applyFont="1"/>
    <xf numFmtId="15" fontId="2" fillId="0" borderId="13" xfId="0" applyNumberFormat="1" applyFont="1" applyBorder="1"/>
    <xf numFmtId="0" fontId="2" fillId="0" borderId="0" xfId="0" applyFont="1"/>
    <xf numFmtId="44" fontId="2" fillId="0" borderId="0" xfId="1" applyFont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5" fontId="15" fillId="0" borderId="0" xfId="0" applyNumberFormat="1" applyFont="1"/>
    <xf numFmtId="15" fontId="2" fillId="0" borderId="15" xfId="0" applyNumberFormat="1" applyFont="1" applyBorder="1"/>
    <xf numFmtId="44" fontId="2" fillId="0" borderId="17" xfId="1" applyFont="1" applyBorder="1"/>
    <xf numFmtId="15" fontId="16" fillId="0" borderId="0" xfId="1" applyNumberFormat="1" applyFont="1"/>
    <xf numFmtId="165" fontId="2" fillId="0" borderId="3" xfId="0" applyNumberFormat="1" applyFont="1" applyBorder="1"/>
    <xf numFmtId="0" fontId="12" fillId="0" borderId="0" xfId="0" applyFont="1"/>
    <xf numFmtId="16" fontId="2" fillId="0" borderId="0" xfId="1" applyNumberFormat="1" applyFont="1"/>
    <xf numFmtId="0" fontId="2" fillId="6" borderId="0" xfId="0" applyFont="1" applyFill="1"/>
    <xf numFmtId="44" fontId="17" fillId="0" borderId="0" xfId="1" applyFont="1"/>
    <xf numFmtId="166" fontId="12" fillId="0" borderId="0" xfId="0" applyNumberFormat="1" applyFont="1"/>
    <xf numFmtId="165" fontId="12" fillId="0" borderId="0" xfId="0" applyNumberFormat="1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44" fontId="2" fillId="0" borderId="0" xfId="0" applyNumberFormat="1" applyFont="1"/>
    <xf numFmtId="16" fontId="2" fillId="0" borderId="0" xfId="1" applyNumberFormat="1" applyFont="1" applyAlignment="1">
      <alignment horizontal="center"/>
    </xf>
    <xf numFmtId="165" fontId="6" fillId="0" borderId="0" xfId="0" applyNumberFormat="1" applyFont="1"/>
    <xf numFmtId="16" fontId="2" fillId="0" borderId="0" xfId="1" applyNumberFormat="1" applyFont="1" applyAlignment="1">
      <alignment horizontal="right"/>
    </xf>
    <xf numFmtId="44" fontId="2" fillId="0" borderId="22" xfId="1" applyFont="1" applyBorder="1"/>
    <xf numFmtId="16" fontId="2" fillId="0" borderId="1" xfId="0" applyNumberFormat="1" applyFont="1" applyBorder="1"/>
    <xf numFmtId="44" fontId="2" fillId="0" borderId="23" xfId="1" applyFont="1" applyBorder="1"/>
    <xf numFmtId="44" fontId="2" fillId="0" borderId="24" xfId="1" applyFont="1" applyBorder="1"/>
    <xf numFmtId="0" fontId="18" fillId="0" borderId="0" xfId="0" applyFont="1"/>
    <xf numFmtId="164" fontId="19" fillId="0" borderId="20" xfId="0" applyNumberFormat="1" applyFont="1" applyBorder="1" applyAlignment="1">
      <alignment horizontal="center"/>
    </xf>
    <xf numFmtId="44" fontId="2" fillId="0" borderId="21" xfId="1" applyFont="1" applyBorder="1"/>
    <xf numFmtId="0" fontId="0" fillId="0" borderId="25" xfId="0" applyBorder="1"/>
    <xf numFmtId="44" fontId="1" fillId="0" borderId="26" xfId="1" applyBorder="1"/>
    <xf numFmtId="0" fontId="2" fillId="0" borderId="27" xfId="0" applyFont="1" applyBorder="1"/>
    <xf numFmtId="165" fontId="2" fillId="0" borderId="28" xfId="0" applyNumberFormat="1" applyFont="1" applyBorder="1"/>
    <xf numFmtId="164" fontId="12" fillId="0" borderId="0" xfId="0" applyNumberFormat="1" applyFont="1" applyAlignment="1">
      <alignment horizontal="center"/>
    </xf>
    <xf numFmtId="44" fontId="12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165" fontId="2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9" fillId="0" borderId="0" xfId="1" applyFont="1" applyAlignment="1">
      <alignment horizontal="center" vertical="center" wrapText="1"/>
    </xf>
    <xf numFmtId="0" fontId="20" fillId="0" borderId="28" xfId="0" applyFont="1" applyBorder="1"/>
    <xf numFmtId="0" fontId="21" fillId="0" borderId="28" xfId="0" applyFont="1" applyBorder="1" applyAlignment="1">
      <alignment horizontal="right"/>
    </xf>
    <xf numFmtId="44" fontId="2" fillId="0" borderId="28" xfId="1" applyFont="1" applyBorder="1"/>
    <xf numFmtId="0" fontId="8" fillId="0" borderId="0" xfId="0" applyFont="1" applyAlignment="1">
      <alignment vertical="center"/>
    </xf>
    <xf numFmtId="165" fontId="13" fillId="0" borderId="0" xfId="0" applyNumberFormat="1" applyFont="1"/>
    <xf numFmtId="0" fontId="2" fillId="0" borderId="29" xfId="0" applyFont="1" applyBorder="1" applyAlignment="1">
      <alignment horizontal="left"/>
    </xf>
    <xf numFmtId="0" fontId="8" fillId="0" borderId="31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22" fillId="0" borderId="32" xfId="1" applyFont="1" applyBorder="1"/>
    <xf numFmtId="44" fontId="9" fillId="0" borderId="0" xfId="1" applyFont="1"/>
    <xf numFmtId="44" fontId="5" fillId="0" borderId="0" xfId="1" applyFont="1"/>
    <xf numFmtId="44" fontId="4" fillId="0" borderId="0" xfId="1" applyFont="1"/>
    <xf numFmtId="164" fontId="2" fillId="0" borderId="34" xfId="0" applyNumberFormat="1" applyFont="1" applyBorder="1" applyAlignment="1">
      <alignment horizontal="center"/>
    </xf>
    <xf numFmtId="1" fontId="25" fillId="0" borderId="3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26" fillId="0" borderId="36" xfId="1" applyFont="1" applyBorder="1"/>
    <xf numFmtId="164" fontId="2" fillId="0" borderId="35" xfId="0" applyNumberFormat="1" applyFont="1" applyBorder="1" applyAlignment="1">
      <alignment horizontal="center"/>
    </xf>
    <xf numFmtId="1" fontId="27" fillId="0" borderId="35" xfId="0" applyNumberFormat="1" applyFont="1" applyBorder="1" applyAlignment="1">
      <alignment horizontal="center"/>
    </xf>
    <xf numFmtId="164" fontId="28" fillId="0" borderId="35" xfId="0" applyNumberFormat="1" applyFont="1" applyBorder="1" applyAlignment="1">
      <alignment horizontal="center"/>
    </xf>
    <xf numFmtId="164" fontId="28" fillId="0" borderId="37" xfId="0" applyNumberFormat="1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164" fontId="28" fillId="0" borderId="38" xfId="0" applyNumberFormat="1" applyFont="1" applyBorder="1" applyAlignment="1">
      <alignment horizontal="center"/>
    </xf>
    <xf numFmtId="1" fontId="29" fillId="0" borderId="3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5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44" fontId="2" fillId="0" borderId="16" xfId="1" applyFont="1" applyBorder="1"/>
    <xf numFmtId="165" fontId="6" fillId="0" borderId="0" xfId="0" applyNumberFormat="1" applyFont="1" applyAlignment="1">
      <alignment horizontal="left"/>
    </xf>
    <xf numFmtId="44" fontId="2" fillId="5" borderId="11" xfId="1" applyFont="1" applyFill="1" applyBorder="1" applyAlignment="1">
      <alignment horizontal="center"/>
    </xf>
    <xf numFmtId="16" fontId="18" fillId="0" borderId="2" xfId="1" applyNumberFormat="1" applyFont="1" applyBorder="1"/>
    <xf numFmtId="16" fontId="12" fillId="0" borderId="0" xfId="1" applyNumberFormat="1" applyFont="1"/>
    <xf numFmtId="44" fontId="30" fillId="10" borderId="0" xfId="1" applyFont="1" applyFill="1"/>
    <xf numFmtId="44" fontId="2" fillId="10" borderId="0" xfId="1" applyFont="1" applyFill="1"/>
    <xf numFmtId="44" fontId="31" fillId="0" borderId="0" xfId="1" applyFont="1"/>
    <xf numFmtId="44" fontId="2" fillId="7" borderId="0" xfId="1" applyFont="1" applyFill="1"/>
    <xf numFmtId="0" fontId="31" fillId="0" borderId="0" xfId="0" applyFont="1"/>
    <xf numFmtId="0" fontId="2" fillId="0" borderId="35" xfId="0" applyFont="1" applyBorder="1"/>
    <xf numFmtId="44" fontId="2" fillId="0" borderId="35" xfId="1" applyFont="1" applyBorder="1" applyAlignment="1">
      <alignment horizontal="right"/>
    </xf>
    <xf numFmtId="44" fontId="2" fillId="0" borderId="35" xfId="1" applyFont="1" applyBorder="1"/>
    <xf numFmtId="165" fontId="2" fillId="0" borderId="35" xfId="0" applyNumberFormat="1" applyFont="1" applyBorder="1"/>
    <xf numFmtId="16" fontId="16" fillId="0" borderId="0" xfId="1" applyNumberFormat="1" applyFont="1" applyAlignment="1">
      <alignment horizontal="center"/>
    </xf>
    <xf numFmtId="16" fontId="2" fillId="0" borderId="2" xfId="1" applyNumberFormat="1" applyFont="1" applyBorder="1" applyAlignment="1">
      <alignment horizontal="center"/>
    </xf>
    <xf numFmtId="44" fontId="0" fillId="11" borderId="0" xfId="1" applyFont="1" applyFill="1"/>
    <xf numFmtId="16" fontId="18" fillId="0" borderId="2" xfId="1" applyNumberFormat="1" applyFont="1" applyBorder="1" applyAlignment="1">
      <alignment horizontal="left"/>
    </xf>
    <xf numFmtId="44" fontId="8" fillId="0" borderId="0" xfId="1" applyFont="1"/>
    <xf numFmtId="44" fontId="8" fillId="0" borderId="0" xfId="1" applyFont="1" applyAlignment="1">
      <alignment horizontal="center"/>
    </xf>
    <xf numFmtId="44" fontId="8" fillId="0" borderId="32" xfId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5" fontId="2" fillId="0" borderId="39" xfId="0" applyNumberFormat="1" applyFont="1" applyBorder="1"/>
    <xf numFmtId="44" fontId="2" fillId="0" borderId="40" xfId="1" applyFont="1" applyBorder="1"/>
    <xf numFmtId="0" fontId="19" fillId="0" borderId="35" xfId="0" applyFont="1" applyBorder="1" applyAlignment="1">
      <alignment horizontal="center"/>
    </xf>
    <xf numFmtId="44" fontId="1" fillId="0" borderId="35" xfId="1" applyBorder="1"/>
    <xf numFmtId="44" fontId="8" fillId="8" borderId="21" xfId="1" applyFont="1" applyFill="1" applyBorder="1" applyAlignment="1">
      <alignment horizontal="center"/>
    </xf>
    <xf numFmtId="44" fontId="2" fillId="0" borderId="42" xfId="1" applyFont="1" applyBorder="1"/>
    <xf numFmtId="44" fontId="2" fillId="0" borderId="43" xfId="1" applyFont="1" applyBorder="1"/>
    <xf numFmtId="0" fontId="2" fillId="0" borderId="28" xfId="0" applyFont="1" applyBorder="1"/>
    <xf numFmtId="44" fontId="2" fillId="0" borderId="28" xfId="1" applyFont="1" applyBorder="1" applyAlignment="1">
      <alignment horizontal="right"/>
    </xf>
    <xf numFmtId="44" fontId="2" fillId="7" borderId="17" xfId="1" applyFont="1" applyFill="1" applyBorder="1"/>
    <xf numFmtId="166" fontId="2" fillId="0" borderId="28" xfId="0" applyNumberFormat="1" applyFont="1" applyBorder="1"/>
    <xf numFmtId="44" fontId="2" fillId="0" borderId="34" xfId="1" applyFont="1" applyBorder="1" applyAlignment="1">
      <alignment horizontal="right"/>
    </xf>
    <xf numFmtId="0" fontId="18" fillId="0" borderId="35" xfId="0" applyFont="1" applyBorder="1"/>
    <xf numFmtId="0" fontId="0" fillId="0" borderId="35" xfId="0" applyBorder="1"/>
    <xf numFmtId="44" fontId="0" fillId="0" borderId="35" xfId="1" applyFont="1" applyBorder="1"/>
    <xf numFmtId="44" fontId="0" fillId="0" borderId="37" xfId="1" applyFont="1" applyBorder="1"/>
    <xf numFmtId="0" fontId="5" fillId="0" borderId="0" xfId="0" applyFont="1" applyAlignment="1">
      <alignment horizontal="right"/>
    </xf>
    <xf numFmtId="44" fontId="5" fillId="0" borderId="11" xfId="0" applyNumberFormat="1" applyFont="1" applyBorder="1"/>
    <xf numFmtId="44" fontId="5" fillId="0" borderId="11" xfId="1" applyFont="1" applyBorder="1" applyAlignment="1">
      <alignment horizontal="right"/>
    </xf>
    <xf numFmtId="44" fontId="8" fillId="0" borderId="0" xfId="1" applyFont="1" applyAlignment="1">
      <alignment horizontal="right"/>
    </xf>
    <xf numFmtId="0" fontId="12" fillId="0" borderId="45" xfId="0" applyFont="1" applyBorder="1"/>
    <xf numFmtId="44" fontId="2" fillId="0" borderId="46" xfId="1" applyFont="1" applyBorder="1" applyAlignment="1">
      <alignment horizontal="right"/>
    </xf>
    <xf numFmtId="0" fontId="2" fillId="0" borderId="45" xfId="0" applyFont="1" applyBorder="1"/>
    <xf numFmtId="44" fontId="2" fillId="0" borderId="46" xfId="1" applyFont="1" applyBorder="1"/>
    <xf numFmtId="0" fontId="0" fillId="0" borderId="45" xfId="0" applyBorder="1"/>
    <xf numFmtId="44" fontId="8" fillId="0" borderId="46" xfId="0" applyNumberFormat="1" applyFont="1" applyBorder="1"/>
    <xf numFmtId="44" fontId="0" fillId="0" borderId="46" xfId="1" applyFont="1" applyBorder="1"/>
    <xf numFmtId="0" fontId="8" fillId="0" borderId="45" xfId="0" applyFont="1" applyBorder="1" applyAlignment="1">
      <alignment horizontal="center"/>
    </xf>
    <xf numFmtId="44" fontId="8" fillId="0" borderId="47" xfId="1" applyFont="1" applyBorder="1" applyAlignment="1">
      <alignment horizontal="center"/>
    </xf>
    <xf numFmtId="44" fontId="2" fillId="0" borderId="49" xfId="1" applyFont="1" applyBorder="1" applyAlignment="1">
      <alignment horizontal="right"/>
    </xf>
    <xf numFmtId="16" fontId="12" fillId="0" borderId="0" xfId="0" applyNumberFormat="1" applyFont="1"/>
    <xf numFmtId="0" fontId="2" fillId="0" borderId="48" xfId="0" applyFont="1" applyBorder="1"/>
    <xf numFmtId="44" fontId="2" fillId="0" borderId="50" xfId="1" applyFont="1" applyBorder="1"/>
    <xf numFmtId="16" fontId="18" fillId="0" borderId="35" xfId="0" applyNumberFormat="1" applyFont="1" applyBorder="1"/>
    <xf numFmtId="0" fontId="2" fillId="0" borderId="14" xfId="0" applyFont="1" applyBorder="1"/>
    <xf numFmtId="16" fontId="2" fillId="0" borderId="14" xfId="0" applyNumberFormat="1" applyFont="1" applyBorder="1"/>
    <xf numFmtId="16" fontId="2" fillId="0" borderId="14" xfId="0" applyNumberFormat="1" applyFont="1" applyBorder="1" applyAlignment="1">
      <alignment horizontal="center"/>
    </xf>
    <xf numFmtId="16" fontId="8" fillId="3" borderId="14" xfId="0" applyNumberFormat="1" applyFont="1" applyFill="1" applyBorder="1"/>
    <xf numFmtId="44" fontId="2" fillId="3" borderId="46" xfId="1" applyFont="1" applyFill="1" applyBorder="1" applyAlignment="1">
      <alignment horizontal="right"/>
    </xf>
    <xf numFmtId="16" fontId="18" fillId="0" borderId="14" xfId="0" applyNumberFormat="1" applyFont="1" applyBorder="1"/>
    <xf numFmtId="44" fontId="16" fillId="0" borderId="14" xfId="1" applyFont="1" applyBorder="1" applyAlignment="1">
      <alignment horizontal="left"/>
    </xf>
    <xf numFmtId="0" fontId="6" fillId="0" borderId="14" xfId="0" applyFont="1" applyBorder="1"/>
    <xf numFmtId="0" fontId="12" fillId="0" borderId="14" xfId="0" applyFont="1" applyBorder="1"/>
    <xf numFmtId="0" fontId="2" fillId="0" borderId="14" xfId="0" applyFont="1" applyBorder="1" applyAlignment="1">
      <alignment wrapText="1"/>
    </xf>
    <xf numFmtId="165" fontId="2" fillId="0" borderId="46" xfId="0" applyNumberFormat="1" applyFont="1" applyBorder="1"/>
    <xf numFmtId="164" fontId="12" fillId="0" borderId="14" xfId="0" applyNumberFormat="1" applyFont="1" applyBorder="1" applyAlignment="1">
      <alignment horizontal="center"/>
    </xf>
    <xf numFmtId="15" fontId="12" fillId="0" borderId="39" xfId="0" applyNumberFormat="1" applyFont="1" applyBorder="1"/>
    <xf numFmtId="15" fontId="12" fillId="0" borderId="41" xfId="0" applyNumberFormat="1" applyFont="1" applyBorder="1"/>
    <xf numFmtId="15" fontId="12" fillId="0" borderId="13" xfId="0" applyNumberFormat="1" applyFont="1" applyBorder="1"/>
    <xf numFmtId="16" fontId="2" fillId="0" borderId="0" xfId="0" applyNumberFormat="1" applyFont="1" applyAlignment="1">
      <alignment horizontal="center"/>
    </xf>
    <xf numFmtId="16" fontId="12" fillId="0" borderId="0" xfId="1" applyNumberFormat="1" applyFont="1" applyAlignment="1">
      <alignment horizontal="center"/>
    </xf>
    <xf numFmtId="44" fontId="12" fillId="0" borderId="50" xfId="1" applyFont="1" applyBorder="1"/>
    <xf numFmtId="44" fontId="12" fillId="0" borderId="43" xfId="1" applyFont="1" applyBorder="1"/>
    <xf numFmtId="44" fontId="30" fillId="0" borderId="0" xfId="1" applyFont="1"/>
    <xf numFmtId="15" fontId="8" fillId="0" borderId="0" xfId="0" applyNumberFormat="1" applyFont="1" applyAlignment="1">
      <alignment horizontal="center"/>
    </xf>
    <xf numFmtId="15" fontId="8" fillId="0" borderId="35" xfId="0" applyNumberFormat="1" applyFont="1" applyBorder="1" applyAlignment="1">
      <alignment horizontal="center"/>
    </xf>
    <xf numFmtId="44" fontId="5" fillId="0" borderId="35" xfId="0" applyNumberFormat="1" applyFont="1" applyBorder="1"/>
    <xf numFmtId="15" fontId="8" fillId="0" borderId="34" xfId="0" applyNumberFormat="1" applyFont="1" applyBorder="1" applyAlignment="1">
      <alignment horizontal="center"/>
    </xf>
    <xf numFmtId="44" fontId="2" fillId="12" borderId="34" xfId="1" applyFont="1" applyFill="1" applyBorder="1"/>
    <xf numFmtId="0" fontId="2" fillId="12" borderId="52" xfId="0" applyFont="1" applyFill="1" applyBorder="1"/>
    <xf numFmtId="0" fontId="2" fillId="0" borderId="29" xfId="0" applyFont="1" applyBorder="1"/>
    <xf numFmtId="0" fontId="0" fillId="0" borderId="29" xfId="0" applyBorder="1"/>
    <xf numFmtId="0" fontId="0" fillId="0" borderId="53" xfId="0" applyBorder="1"/>
    <xf numFmtId="44" fontId="13" fillId="0" borderId="54" xfId="1" applyFont="1" applyBorder="1"/>
    <xf numFmtId="0" fontId="13" fillId="0" borderId="0" xfId="0" applyFont="1" applyAlignment="1">
      <alignment horizontal="center"/>
    </xf>
    <xf numFmtId="0" fontId="0" fillId="7" borderId="0" xfId="0" applyFill="1"/>
    <xf numFmtId="0" fontId="12" fillId="7" borderId="0" xfId="0" applyFont="1" applyFill="1"/>
    <xf numFmtId="0" fontId="2" fillId="7" borderId="0" xfId="0" applyFont="1" applyFill="1" applyAlignment="1">
      <alignment wrapText="1"/>
    </xf>
    <xf numFmtId="44" fontId="31" fillId="7" borderId="0" xfId="1" applyFont="1" applyFill="1"/>
    <xf numFmtId="0" fontId="2" fillId="7" borderId="0" xfId="0" applyFont="1" applyFill="1"/>
    <xf numFmtId="0" fontId="31" fillId="7" borderId="0" xfId="0" applyFont="1" applyFill="1"/>
    <xf numFmtId="0" fontId="5" fillId="0" borderId="0" xfId="0" applyFont="1" applyAlignment="1">
      <alignment wrapText="1"/>
    </xf>
    <xf numFmtId="44" fontId="32" fillId="7" borderId="36" xfId="1" applyFont="1" applyFill="1" applyBorder="1"/>
    <xf numFmtId="15" fontId="2" fillId="7" borderId="13" xfId="0" applyNumberFormat="1" applyFont="1" applyFill="1" applyBorder="1"/>
    <xf numFmtId="15" fontId="2" fillId="7" borderId="39" xfId="0" applyNumberFormat="1" applyFont="1" applyFill="1" applyBorder="1"/>
    <xf numFmtId="15" fontId="2" fillId="7" borderId="41" xfId="0" applyNumberFormat="1" applyFont="1" applyFill="1" applyBorder="1"/>
    <xf numFmtId="44" fontId="2" fillId="0" borderId="49" xfId="1" applyFont="1" applyBorder="1"/>
    <xf numFmtId="0" fontId="0" fillId="0" borderId="55" xfId="0" applyBorder="1"/>
    <xf numFmtId="44" fontId="0" fillId="0" borderId="56" xfId="1" applyFont="1" applyBorder="1"/>
    <xf numFmtId="0" fontId="0" fillId="0" borderId="57" xfId="0" applyBorder="1"/>
    <xf numFmtId="44" fontId="5" fillId="0" borderId="58" xfId="1" applyFont="1" applyBorder="1" applyAlignment="1">
      <alignment horizontal="center"/>
    </xf>
    <xf numFmtId="16" fontId="8" fillId="0" borderId="14" xfId="0" applyNumberFormat="1" applyFont="1" applyBorder="1"/>
    <xf numFmtId="164" fontId="2" fillId="7" borderId="14" xfId="0" applyNumberFormat="1" applyFont="1" applyFill="1" applyBorder="1" applyAlignment="1">
      <alignment horizontal="center"/>
    </xf>
    <xf numFmtId="15" fontId="2" fillId="7" borderId="15" xfId="0" applyNumberFormat="1" applyFont="1" applyFill="1" applyBorder="1"/>
    <xf numFmtId="44" fontId="2" fillId="0" borderId="45" xfId="1" applyFont="1" applyBorder="1"/>
    <xf numFmtId="167" fontId="2" fillId="0" borderId="45" xfId="0" applyNumberFormat="1" applyFont="1" applyBorder="1"/>
    <xf numFmtId="167" fontId="2" fillId="0" borderId="29" xfId="0" applyNumberFormat="1" applyFont="1" applyBorder="1"/>
    <xf numFmtId="16" fontId="19" fillId="0" borderId="0" xfId="1" applyNumberFormat="1" applyFont="1"/>
    <xf numFmtId="167" fontId="2" fillId="7" borderId="0" xfId="0" applyNumberFormat="1" applyFont="1" applyFill="1"/>
    <xf numFmtId="44" fontId="2" fillId="5" borderId="34" xfId="1" applyFont="1" applyFill="1" applyBorder="1"/>
    <xf numFmtId="0" fontId="2" fillId="5" borderId="52" xfId="0" applyFont="1" applyFill="1" applyBorder="1"/>
    <xf numFmtId="44" fontId="8" fillId="0" borderId="35" xfId="1" applyFont="1" applyBorder="1"/>
    <xf numFmtId="44" fontId="2" fillId="13" borderId="0" xfId="1" applyFont="1" applyFill="1"/>
    <xf numFmtId="16" fontId="9" fillId="0" borderId="0" xfId="1" applyNumberFormat="1" applyFont="1"/>
    <xf numFmtId="44" fontId="2" fillId="0" borderId="29" xfId="1" applyFont="1" applyBorder="1"/>
    <xf numFmtId="165" fontId="2" fillId="0" borderId="29" xfId="0" applyNumberFormat="1" applyFont="1" applyBorder="1"/>
    <xf numFmtId="44" fontId="2" fillId="0" borderId="29" xfId="1" applyFont="1" applyBorder="1" applyAlignment="1">
      <alignment horizontal="right"/>
    </xf>
    <xf numFmtId="44" fontId="8" fillId="10" borderId="21" xfId="1" applyFont="1" applyFill="1" applyBorder="1" applyAlignment="1">
      <alignment horizontal="center"/>
    </xf>
    <xf numFmtId="44" fontId="0" fillId="0" borderId="0" xfId="0" applyNumberFormat="1"/>
    <xf numFmtId="167" fontId="18" fillId="7" borderId="0" xfId="0" applyNumberFormat="1" applyFont="1" applyFill="1"/>
    <xf numFmtId="44" fontId="12" fillId="0" borderId="0" xfId="0" applyNumberFormat="1" applyFont="1"/>
    <xf numFmtId="0" fontId="2" fillId="0" borderId="35" xfId="0" applyFont="1" applyBorder="1" applyAlignment="1">
      <alignment wrapText="1"/>
    </xf>
    <xf numFmtId="0" fontId="0" fillId="0" borderId="59" xfId="0" applyBorder="1"/>
    <xf numFmtId="0" fontId="0" fillId="0" borderId="60" xfId="0" applyBorder="1"/>
    <xf numFmtId="0" fontId="0" fillId="0" borderId="12" xfId="0" applyBorder="1"/>
    <xf numFmtId="44" fontId="2" fillId="0" borderId="23" xfId="1" applyFont="1" applyBorder="1" applyAlignment="1">
      <alignment horizontal="right"/>
    </xf>
    <xf numFmtId="16" fontId="18" fillId="0" borderId="14" xfId="1" applyNumberFormat="1" applyFont="1" applyBorder="1" applyAlignment="1">
      <alignment horizontal="center"/>
    </xf>
    <xf numFmtId="16" fontId="2" fillId="0" borderId="14" xfId="1" applyNumberFormat="1" applyFont="1" applyBorder="1" applyAlignment="1">
      <alignment horizontal="center"/>
    </xf>
    <xf numFmtId="16" fontId="2" fillId="0" borderId="35" xfId="1" applyNumberFormat="1" applyFont="1" applyBorder="1" applyAlignment="1">
      <alignment horizontal="center"/>
    </xf>
    <xf numFmtId="44" fontId="2" fillId="0" borderId="61" xfId="1" applyFont="1" applyBorder="1" applyAlignment="1">
      <alignment horizontal="right"/>
    </xf>
    <xf numFmtId="16" fontId="0" fillId="0" borderId="0" xfId="0" applyNumberFormat="1" applyAlignment="1">
      <alignment horizontal="center"/>
    </xf>
    <xf numFmtId="167" fontId="2" fillId="14" borderId="29" xfId="0" applyNumberFormat="1" applyFont="1" applyFill="1" applyBorder="1"/>
    <xf numFmtId="44" fontId="2" fillId="14" borderId="45" xfId="1" applyFont="1" applyFill="1" applyBorder="1"/>
    <xf numFmtId="44" fontId="2" fillId="14" borderId="49" xfId="1" applyFont="1" applyFill="1" applyBorder="1"/>
    <xf numFmtId="167" fontId="2" fillId="0" borderId="0" xfId="0" applyNumberFormat="1" applyFont="1"/>
    <xf numFmtId="167" fontId="2" fillId="0" borderId="0" xfId="0" applyNumberFormat="1" applyFont="1" applyAlignment="1">
      <alignment wrapText="1"/>
    </xf>
    <xf numFmtId="167" fontId="2" fillId="0" borderId="0" xfId="1" applyNumberFormat="1" applyFont="1"/>
    <xf numFmtId="167" fontId="9" fillId="0" borderId="0" xfId="1" applyNumberFormat="1" applyFont="1"/>
    <xf numFmtId="165" fontId="9" fillId="0" borderId="30" xfId="0" applyNumberFormat="1" applyFont="1" applyBorder="1" applyAlignment="1">
      <alignment horizontal="center" vertical="center" wrapText="1"/>
    </xf>
    <xf numFmtId="44" fontId="2" fillId="0" borderId="16" xfId="1" applyFont="1" applyFill="1" applyBorder="1"/>
    <xf numFmtId="44" fontId="2" fillId="0" borderId="12" xfId="1" applyFont="1" applyFill="1" applyBorder="1"/>
    <xf numFmtId="44" fontId="2" fillId="0" borderId="17" xfId="1" applyFont="1" applyFill="1" applyBorder="1"/>
    <xf numFmtId="44" fontId="2" fillId="0" borderId="29" xfId="1" applyFont="1" applyFill="1" applyBorder="1"/>
    <xf numFmtId="44" fontId="2" fillId="0" borderId="42" xfId="1" applyFont="1" applyFill="1" applyBorder="1"/>
    <xf numFmtId="44" fontId="2" fillId="0" borderId="43" xfId="1" applyFont="1" applyFill="1" applyBorder="1"/>
    <xf numFmtId="44" fontId="12" fillId="13" borderId="0" xfId="1" applyFont="1" applyFill="1"/>
    <xf numFmtId="44" fontId="2" fillId="0" borderId="22" xfId="1" applyFont="1" applyFill="1" applyBorder="1"/>
    <xf numFmtId="164" fontId="2" fillId="0" borderId="14" xfId="0" applyNumberFormat="1" applyFont="1" applyFill="1" applyBorder="1" applyAlignment="1">
      <alignment horizontal="center"/>
    </xf>
    <xf numFmtId="165" fontId="14" fillId="0" borderId="0" xfId="0" applyNumberFormat="1" applyFont="1" applyFill="1"/>
    <xf numFmtId="44" fontId="12" fillId="0" borderId="28" xfId="1" applyFont="1" applyBorder="1"/>
    <xf numFmtId="0" fontId="0" fillId="0" borderId="0" xfId="0" applyFill="1"/>
    <xf numFmtId="44" fontId="2" fillId="0" borderId="24" xfId="1" applyFont="1" applyFill="1" applyBorder="1"/>
    <xf numFmtId="44" fontId="2" fillId="0" borderId="40" xfId="1" applyFont="1" applyFill="1" applyBorder="1"/>
    <xf numFmtId="44" fontId="2" fillId="0" borderId="23" xfId="1" applyFont="1" applyFill="1" applyBorder="1"/>
    <xf numFmtId="165" fontId="2" fillId="0" borderId="29" xfId="0" applyNumberFormat="1" applyFont="1" applyFill="1" applyBorder="1"/>
    <xf numFmtId="44" fontId="2" fillId="0" borderId="35" xfId="1" applyFont="1" applyFill="1" applyBorder="1"/>
    <xf numFmtId="165" fontId="2" fillId="0" borderId="0" xfId="0" applyNumberFormat="1" applyFont="1" applyFill="1"/>
    <xf numFmtId="165" fontId="2" fillId="0" borderId="0" xfId="1" applyNumberFormat="1" applyFont="1"/>
    <xf numFmtId="168" fontId="1" fillId="0" borderId="0" xfId="1" applyNumberFormat="1" applyFont="1"/>
    <xf numFmtId="44" fontId="0" fillId="0" borderId="62" xfId="1" applyFont="1" applyBorder="1"/>
    <xf numFmtId="44" fontId="12" fillId="0" borderId="63" xfId="1" applyFont="1" applyFill="1" applyBorder="1"/>
    <xf numFmtId="164" fontId="28" fillId="0" borderId="37" xfId="0" applyNumberFormat="1" applyFont="1" applyFill="1" applyBorder="1" applyAlignment="1">
      <alignment horizontal="center"/>
    </xf>
    <xf numFmtId="1" fontId="27" fillId="0" borderId="37" xfId="0" applyNumberFormat="1" applyFont="1" applyFill="1" applyBorder="1" applyAlignment="1">
      <alignment horizontal="center"/>
    </xf>
    <xf numFmtId="44" fontId="2" fillId="0" borderId="0" xfId="1" applyFont="1" applyFill="1"/>
    <xf numFmtId="164" fontId="2" fillId="0" borderId="0" xfId="0" applyNumberFormat="1" applyFont="1" applyFill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1" fontId="27" fillId="0" borderId="35" xfId="0" applyNumberFormat="1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28" fillId="0" borderId="35" xfId="0" applyNumberFormat="1" applyFont="1" applyFill="1" applyBorder="1" applyAlignment="1">
      <alignment horizontal="center"/>
    </xf>
    <xf numFmtId="164" fontId="28" fillId="0" borderId="38" xfId="0" applyNumberFormat="1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44" fontId="2" fillId="0" borderId="28" xfId="1" applyFont="1" applyFill="1" applyBorder="1"/>
    <xf numFmtId="164" fontId="2" fillId="0" borderId="28" xfId="0" applyNumberFormat="1" applyFont="1" applyFill="1" applyBorder="1" applyAlignment="1">
      <alignment horizontal="center"/>
    </xf>
    <xf numFmtId="167" fontId="31" fillId="0" borderId="0" xfId="1" applyNumberFormat="1" applyFont="1"/>
    <xf numFmtId="167" fontId="31" fillId="0" borderId="0" xfId="0" applyNumberFormat="1" applyFont="1"/>
    <xf numFmtId="164" fontId="12" fillId="0" borderId="28" xfId="0" applyNumberFormat="1" applyFont="1" applyBorder="1" applyAlignment="1">
      <alignment horizontal="center"/>
    </xf>
    <xf numFmtId="44" fontId="2" fillId="16" borderId="12" xfId="1" applyFont="1" applyFill="1" applyBorder="1"/>
    <xf numFmtId="44" fontId="2" fillId="16" borderId="16" xfId="1" applyFont="1" applyFill="1" applyBorder="1"/>
    <xf numFmtId="44" fontId="2" fillId="16" borderId="17" xfId="1" applyFont="1" applyFill="1" applyBorder="1"/>
    <xf numFmtId="44" fontId="2" fillId="16" borderId="42" xfId="1" applyFont="1" applyFill="1" applyBorder="1"/>
    <xf numFmtId="44" fontId="2" fillId="16" borderId="43" xfId="1" applyFont="1" applyFill="1" applyBorder="1"/>
    <xf numFmtId="165" fontId="30" fillId="0" borderId="0" xfId="0" applyNumberFormat="1" applyFont="1"/>
    <xf numFmtId="44" fontId="30" fillId="0" borderId="0" xfId="1" applyFont="1" applyAlignment="1">
      <alignment horizontal="center"/>
    </xf>
    <xf numFmtId="44" fontId="2" fillId="0" borderId="0" xfId="1" applyFont="1" applyFill="1" applyBorder="1"/>
    <xf numFmtId="0" fontId="2" fillId="0" borderId="0" xfId="0" applyFont="1" applyBorder="1" applyAlignment="1">
      <alignment wrapText="1"/>
    </xf>
    <xf numFmtId="165" fontId="2" fillId="0" borderId="0" xfId="0" applyNumberFormat="1" applyFont="1" applyBorder="1"/>
    <xf numFmtId="44" fontId="2" fillId="17" borderId="43" xfId="1" applyFont="1" applyFill="1" applyBorder="1"/>
    <xf numFmtId="44" fontId="2" fillId="18" borderId="50" xfId="1" applyFont="1" applyFill="1" applyBorder="1"/>
    <xf numFmtId="44" fontId="2" fillId="18" borderId="43" xfId="1" applyFont="1" applyFill="1" applyBorder="1"/>
    <xf numFmtId="44" fontId="2" fillId="19" borderId="42" xfId="1" applyFont="1" applyFill="1" applyBorder="1"/>
    <xf numFmtId="44" fontId="2" fillId="19" borderId="43" xfId="1" applyFont="1" applyFill="1" applyBorder="1"/>
    <xf numFmtId="44" fontId="2" fillId="20" borderId="50" xfId="1" applyFont="1" applyFill="1" applyBorder="1"/>
    <xf numFmtId="44" fontId="2" fillId="20" borderId="43" xfId="1" applyFont="1" applyFill="1" applyBorder="1"/>
    <xf numFmtId="44" fontId="2" fillId="20" borderId="42" xfId="1" applyFont="1" applyFill="1" applyBorder="1"/>
    <xf numFmtId="44" fontId="2" fillId="20" borderId="35" xfId="1" applyFont="1" applyFill="1" applyBorder="1"/>
    <xf numFmtId="167" fontId="2" fillId="7" borderId="45" xfId="0" applyNumberFormat="1" applyFont="1" applyFill="1" applyBorder="1"/>
    <xf numFmtId="167" fontId="2" fillId="21" borderId="29" xfId="0" applyNumberFormat="1" applyFont="1" applyFill="1" applyBorder="1"/>
    <xf numFmtId="44" fontId="2" fillId="21" borderId="50" xfId="1" applyFont="1" applyFill="1" applyBorder="1"/>
    <xf numFmtId="44" fontId="2" fillId="3" borderId="43" xfId="1" applyFont="1" applyFill="1" applyBorder="1"/>
    <xf numFmtId="44" fontId="2" fillId="3" borderId="50" xfId="1" applyFont="1" applyFill="1" applyBorder="1"/>
    <xf numFmtId="44" fontId="2" fillId="3" borderId="42" xfId="1" applyFont="1" applyFill="1" applyBorder="1"/>
    <xf numFmtId="44" fontId="8" fillId="22" borderId="0" xfId="1" applyFont="1" applyFill="1" applyAlignment="1">
      <alignment horizontal="center"/>
    </xf>
    <xf numFmtId="44" fontId="12" fillId="0" borderId="63" xfId="1" applyFont="1" applyBorder="1"/>
    <xf numFmtId="44" fontId="0" fillId="0" borderId="66" xfId="1" applyFont="1" applyBorder="1"/>
    <xf numFmtId="15" fontId="2" fillId="0" borderId="22" xfId="0" applyNumberFormat="1" applyFont="1" applyBorder="1"/>
    <xf numFmtId="16" fontId="2" fillId="7" borderId="14" xfId="0" applyNumberFormat="1" applyFont="1" applyFill="1" applyBorder="1"/>
    <xf numFmtId="44" fontId="2" fillId="7" borderId="29" xfId="1" applyFont="1" applyFill="1" applyBorder="1"/>
    <xf numFmtId="44" fontId="2" fillId="7" borderId="0" xfId="1" applyFont="1" applyFill="1" applyBorder="1"/>
    <xf numFmtId="44" fontId="8" fillId="0" borderId="21" xfId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44" fontId="2" fillId="23" borderId="11" xfId="1" applyFont="1" applyFill="1" applyBorder="1" applyAlignment="1">
      <alignment horizontal="center"/>
    </xf>
    <xf numFmtId="44" fontId="8" fillId="23" borderId="0" xfId="1" applyFont="1" applyFill="1" applyAlignment="1">
      <alignment horizontal="center"/>
    </xf>
    <xf numFmtId="164" fontId="28" fillId="5" borderId="37" xfId="0" applyNumberFormat="1" applyFont="1" applyFill="1" applyBorder="1" applyAlignment="1">
      <alignment horizontal="center"/>
    </xf>
    <xf numFmtId="1" fontId="27" fillId="5" borderId="37" xfId="0" applyNumberFormat="1" applyFont="1" applyFill="1" applyBorder="1" applyAlignment="1">
      <alignment horizontal="center"/>
    </xf>
    <xf numFmtId="44" fontId="2" fillId="5" borderId="0" xfId="1" applyFont="1" applyFill="1"/>
    <xf numFmtId="165" fontId="9" fillId="0" borderId="30" xfId="0" applyNumberFormat="1" applyFont="1" applyBorder="1" applyAlignment="1">
      <alignment horizontal="center" vertical="center" wrapText="1"/>
    </xf>
    <xf numFmtId="165" fontId="6" fillId="0" borderId="0" xfId="0" applyNumberFormat="1" applyFont="1" applyFill="1" applyAlignment="1">
      <alignment horizontal="left"/>
    </xf>
    <xf numFmtId="15" fontId="2" fillId="0" borderId="15" xfId="0" applyNumberFormat="1" applyFont="1" applyFill="1" applyBorder="1"/>
    <xf numFmtId="15" fontId="2" fillId="0" borderId="13" xfId="0" applyNumberFormat="1" applyFont="1" applyFill="1" applyBorder="1"/>
    <xf numFmtId="165" fontId="15" fillId="0" borderId="0" xfId="0" applyNumberFormat="1" applyFont="1" applyFill="1"/>
    <xf numFmtId="165" fontId="6" fillId="0" borderId="0" xfId="0" applyNumberFormat="1" applyFont="1" applyFill="1"/>
    <xf numFmtId="165" fontId="12" fillId="0" borderId="0" xfId="0" applyNumberFormat="1" applyFont="1" applyFill="1"/>
    <xf numFmtId="16" fontId="2" fillId="0" borderId="14" xfId="0" applyNumberFormat="1" applyFont="1" applyFill="1" applyBorder="1"/>
    <xf numFmtId="44" fontId="8" fillId="0" borderId="0" xfId="1" applyFont="1" applyFill="1" applyAlignment="1">
      <alignment horizontal="center"/>
    </xf>
    <xf numFmtId="44" fontId="2" fillId="5" borderId="0" xfId="1" applyFont="1" applyFill="1" applyBorder="1"/>
    <xf numFmtId="44" fontId="30" fillId="0" borderId="0" xfId="1" applyFont="1" applyFill="1"/>
    <xf numFmtId="167" fontId="9" fillId="0" borderId="29" xfId="1" applyNumberFormat="1" applyFont="1" applyBorder="1"/>
    <xf numFmtId="165" fontId="9" fillId="0" borderId="30" xfId="0" applyNumberFormat="1" applyFont="1" applyBorder="1" applyAlignment="1">
      <alignment horizontal="center" vertical="center" wrapText="1"/>
    </xf>
    <xf numFmtId="167" fontId="2" fillId="0" borderId="2" xfId="1" applyNumberFormat="1" applyFont="1" applyBorder="1" applyAlignment="1">
      <alignment horizontal="right"/>
    </xf>
    <xf numFmtId="167" fontId="2" fillId="0" borderId="0" xfId="1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8" fillId="0" borderId="0" xfId="0" applyFont="1"/>
    <xf numFmtId="167" fontId="2" fillId="0" borderId="35" xfId="0" applyNumberFormat="1" applyFont="1" applyBorder="1"/>
    <xf numFmtId="44" fontId="12" fillId="0" borderId="35" xfId="1" applyFont="1" applyBorder="1"/>
    <xf numFmtId="0" fontId="12" fillId="0" borderId="35" xfId="0" applyFont="1" applyBorder="1"/>
    <xf numFmtId="165" fontId="9" fillId="0" borderId="30" xfId="0" applyNumberFormat="1" applyFont="1" applyBorder="1" applyAlignment="1">
      <alignment horizontal="center" vertical="center" wrapText="1"/>
    </xf>
    <xf numFmtId="164" fontId="12" fillId="0" borderId="0" xfId="0" applyNumberFormat="1" applyFont="1" applyFill="1" applyAlignment="1">
      <alignment horizontal="center"/>
    </xf>
    <xf numFmtId="44" fontId="12" fillId="0" borderId="0" xfId="1" applyFont="1" applyFill="1"/>
    <xf numFmtId="44" fontId="33" fillId="24" borderId="0" xfId="1" applyFont="1" applyFill="1" applyAlignment="1">
      <alignment horizontal="center"/>
    </xf>
    <xf numFmtId="44" fontId="33" fillId="24" borderId="11" xfId="1" applyFont="1" applyFill="1" applyBorder="1" applyAlignment="1">
      <alignment horizontal="center"/>
    </xf>
    <xf numFmtId="15" fontId="2" fillId="0" borderId="2" xfId="0" applyNumberFormat="1" applyFont="1" applyFill="1" applyBorder="1"/>
    <xf numFmtId="44" fontId="2" fillId="0" borderId="67" xfId="1" applyFont="1" applyFill="1" applyBorder="1"/>
    <xf numFmtId="0" fontId="13" fillId="0" borderId="68" xfId="0" applyFont="1" applyBorder="1" applyAlignment="1"/>
    <xf numFmtId="0" fontId="13" fillId="0" borderId="69" xfId="0" applyFont="1" applyBorder="1" applyAlignment="1"/>
    <xf numFmtId="44" fontId="2" fillId="5" borderId="46" xfId="1" applyFont="1" applyFill="1" applyBorder="1" applyAlignment="1">
      <alignment horizontal="right"/>
    </xf>
    <xf numFmtId="164" fontId="28" fillId="0" borderId="70" xfId="0" applyNumberFormat="1" applyFont="1" applyFill="1" applyBorder="1" applyAlignment="1">
      <alignment horizontal="center"/>
    </xf>
    <xf numFmtId="1" fontId="27" fillId="0" borderId="70" xfId="0" applyNumberFormat="1" applyFont="1" applyFill="1" applyBorder="1" applyAlignment="1">
      <alignment horizontal="center"/>
    </xf>
    <xf numFmtId="164" fontId="16" fillId="0" borderId="35" xfId="0" applyNumberFormat="1" applyFont="1" applyFill="1" applyBorder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2" fillId="11" borderId="0" xfId="1" applyFont="1" applyFill="1"/>
    <xf numFmtId="15" fontId="2" fillId="0" borderId="22" xfId="0" applyNumberFormat="1" applyFont="1" applyFill="1" applyBorder="1"/>
    <xf numFmtId="165" fontId="2" fillId="22" borderId="29" xfId="0" applyNumberFormat="1" applyFont="1" applyFill="1" applyBorder="1"/>
    <xf numFmtId="44" fontId="2" fillId="21" borderId="0" xfId="1" applyFont="1" applyFill="1"/>
    <xf numFmtId="44" fontId="2" fillId="21" borderId="0" xfId="1" applyFont="1" applyFill="1" applyAlignment="1">
      <alignment horizontal="center"/>
    </xf>
    <xf numFmtId="164" fontId="2" fillId="21" borderId="35" xfId="0" applyNumberFormat="1" applyFont="1" applyFill="1" applyBorder="1" applyAlignment="1">
      <alignment horizontal="center"/>
    </xf>
    <xf numFmtId="164" fontId="28" fillId="0" borderId="71" xfId="0" applyNumberFormat="1" applyFont="1" applyFill="1" applyBorder="1" applyAlignment="1">
      <alignment horizontal="center"/>
    </xf>
    <xf numFmtId="1" fontId="27" fillId="0" borderId="71" xfId="0" applyNumberFormat="1" applyFont="1" applyFill="1" applyBorder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2" fillId="7" borderId="46" xfId="1" applyFont="1" applyFill="1" applyBorder="1" applyAlignment="1">
      <alignment horizontal="right"/>
    </xf>
    <xf numFmtId="44" fontId="12" fillId="7" borderId="63" xfId="1" applyFont="1" applyFill="1" applyBorder="1"/>
    <xf numFmtId="44" fontId="2" fillId="7" borderId="34" xfId="1" applyFont="1" applyFill="1" applyBorder="1" applyAlignment="1">
      <alignment horizontal="right"/>
    </xf>
    <xf numFmtId="16" fontId="16" fillId="0" borderId="14" xfId="0" applyNumberFormat="1" applyFont="1" applyBorder="1" applyAlignment="1">
      <alignment horizontal="center"/>
    </xf>
    <xf numFmtId="44" fontId="2" fillId="7" borderId="35" xfId="1" applyFont="1" applyFill="1" applyBorder="1" applyAlignment="1">
      <alignment horizontal="right"/>
    </xf>
    <xf numFmtId="44" fontId="12" fillId="7" borderId="66" xfId="1" applyFont="1" applyFill="1" applyBorder="1"/>
    <xf numFmtId="15" fontId="2" fillId="0" borderId="72" xfId="0" applyNumberFormat="1" applyFont="1" applyBorder="1"/>
    <xf numFmtId="44" fontId="1" fillId="0" borderId="38" xfId="1" applyBorder="1"/>
    <xf numFmtId="44" fontId="2" fillId="0" borderId="29" xfId="1" applyFont="1" applyFill="1" applyBorder="1" applyAlignment="1">
      <alignment horizontal="right"/>
    </xf>
    <xf numFmtId="165" fontId="2" fillId="0" borderId="35" xfId="0" applyNumberFormat="1" applyFont="1" applyFill="1" applyBorder="1"/>
    <xf numFmtId="0" fontId="4" fillId="0" borderId="0" xfId="0" applyFont="1" applyFill="1"/>
    <xf numFmtId="44" fontId="1" fillId="0" borderId="0" xfId="1" applyFill="1"/>
    <xf numFmtId="44" fontId="2" fillId="5" borderId="43" xfId="1" applyFont="1" applyFill="1" applyBorder="1"/>
    <xf numFmtId="44" fontId="2" fillId="0" borderId="0" xfId="1" applyFont="1" applyFill="1" applyAlignment="1">
      <alignment horizontal="center"/>
    </xf>
    <xf numFmtId="164" fontId="0" fillId="0" borderId="0" xfId="0" applyNumberFormat="1"/>
    <xf numFmtId="164" fontId="0" fillId="0" borderId="59" xfId="0" applyNumberFormat="1" applyBorder="1"/>
    <xf numFmtId="164" fontId="18" fillId="0" borderId="14" xfId="1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164" fontId="2" fillId="0" borderId="35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44" fontId="2" fillId="6" borderId="0" xfId="1" applyFont="1" applyFill="1"/>
    <xf numFmtId="0" fontId="0" fillId="0" borderId="0" xfId="0" applyBorder="1"/>
    <xf numFmtId="44" fontId="1" fillId="0" borderId="0" xfId="1" applyBorder="1"/>
    <xf numFmtId="16" fontId="8" fillId="0" borderId="0" xfId="1" applyNumberFormat="1" applyFont="1"/>
    <xf numFmtId="0" fontId="3" fillId="0" borderId="0" xfId="0" applyFont="1"/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9" fillId="0" borderId="29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9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44" fontId="9" fillId="0" borderId="29" xfId="1" applyFont="1" applyBorder="1" applyAlignment="1">
      <alignment horizontal="center" vertical="center" wrapText="1"/>
    </xf>
    <xf numFmtId="44" fontId="9" fillId="0" borderId="30" xfId="1" applyFont="1" applyBorder="1" applyAlignment="1">
      <alignment horizontal="center" vertical="center" wrapText="1"/>
    </xf>
    <xf numFmtId="44" fontId="5" fillId="0" borderId="30" xfId="1" applyFont="1" applyBorder="1" applyAlignment="1">
      <alignment horizontal="center"/>
    </xf>
    <xf numFmtId="44" fontId="5" fillId="0" borderId="31" xfId="1" applyFont="1" applyBorder="1" applyAlignment="1">
      <alignment horizontal="center"/>
    </xf>
    <xf numFmtId="44" fontId="5" fillId="0" borderId="29" xfId="1" applyFont="1" applyBorder="1" applyAlignment="1">
      <alignment horizontal="center"/>
    </xf>
    <xf numFmtId="0" fontId="22" fillId="0" borderId="0" xfId="0" applyFont="1" applyAlignment="1">
      <alignment horizontal="center"/>
    </xf>
    <xf numFmtId="44" fontId="5" fillId="2" borderId="9" xfId="1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165" fontId="5" fillId="2" borderId="10" xfId="1" applyNumberFormat="1" applyFont="1" applyFill="1" applyBorder="1" applyAlignment="1">
      <alignment horizontal="center"/>
    </xf>
    <xf numFmtId="44" fontId="5" fillId="2" borderId="33" xfId="1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44" fontId="2" fillId="21" borderId="18" xfId="1" applyFont="1" applyFill="1" applyBorder="1" applyAlignment="1">
      <alignment horizontal="left" wrapText="1"/>
    </xf>
    <xf numFmtId="44" fontId="2" fillId="21" borderId="19" xfId="1" applyFont="1" applyFill="1" applyBorder="1" applyAlignment="1">
      <alignment horizontal="left" wrapText="1"/>
    </xf>
    <xf numFmtId="44" fontId="2" fillId="21" borderId="64" xfId="1" applyFont="1" applyFill="1" applyBorder="1" applyAlignment="1">
      <alignment horizontal="left" wrapText="1"/>
    </xf>
    <xf numFmtId="44" fontId="2" fillId="21" borderId="65" xfId="1" applyFont="1" applyFill="1" applyBorder="1" applyAlignment="1">
      <alignment horizontal="left" wrapText="1"/>
    </xf>
    <xf numFmtId="44" fontId="2" fillId="21" borderId="20" xfId="1" applyFont="1" applyFill="1" applyBorder="1" applyAlignment="1">
      <alignment horizontal="left" wrapText="1"/>
    </xf>
    <xf numFmtId="44" fontId="2" fillId="21" borderId="21" xfId="1" applyFont="1" applyFill="1" applyBorder="1" applyAlignment="1">
      <alignment horizontal="left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7" borderId="51" xfId="1" applyNumberFormat="1" applyFont="1" applyFill="1" applyBorder="1" applyAlignment="1">
      <alignment horizontal="center" vertical="center" wrapText="1"/>
    </xf>
    <xf numFmtId="44" fontId="5" fillId="15" borderId="9" xfId="1" applyFont="1" applyFill="1" applyBorder="1" applyAlignment="1">
      <alignment horizontal="center"/>
    </xf>
    <xf numFmtId="44" fontId="5" fillId="15" borderId="10" xfId="1" applyFont="1" applyFill="1" applyBorder="1" applyAlignment="1">
      <alignment horizontal="center"/>
    </xf>
    <xf numFmtId="165" fontId="5" fillId="15" borderId="10" xfId="1" applyNumberFormat="1" applyFont="1" applyFill="1" applyBorder="1" applyAlignment="1">
      <alignment horizontal="center"/>
    </xf>
    <xf numFmtId="44" fontId="5" fillId="15" borderId="33" xfId="1" applyFont="1" applyFill="1" applyBorder="1" applyAlignment="1">
      <alignment horizontal="center"/>
    </xf>
    <xf numFmtId="44" fontId="13" fillId="0" borderId="29" xfId="1" applyFont="1" applyBorder="1" applyAlignment="1">
      <alignment horizontal="center"/>
    </xf>
    <xf numFmtId="44" fontId="13" fillId="0" borderId="31" xfId="1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44" fontId="34" fillId="0" borderId="0" xfId="1" applyFont="1" applyBorder="1" applyAlignment="1">
      <alignment horizontal="center"/>
    </xf>
    <xf numFmtId="44" fontId="34" fillId="0" borderId="65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4" fontId="5" fillId="24" borderId="9" xfId="1" applyFont="1" applyFill="1" applyBorder="1" applyAlignment="1">
      <alignment horizontal="center"/>
    </xf>
    <xf numFmtId="44" fontId="5" fillId="24" borderId="10" xfId="1" applyFont="1" applyFill="1" applyBorder="1" applyAlignment="1">
      <alignment horizontal="center"/>
    </xf>
    <xf numFmtId="165" fontId="5" fillId="24" borderId="10" xfId="1" applyNumberFormat="1" applyFont="1" applyFill="1" applyBorder="1" applyAlignment="1">
      <alignment horizontal="center"/>
    </xf>
    <xf numFmtId="44" fontId="5" fillId="24" borderId="33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00"/>
      <color rgb="FF66FFFF"/>
      <color rgb="FF0000FF"/>
      <color rgb="FFFF9900"/>
      <color rgb="FF993300"/>
      <color rgb="FFFF66FF"/>
      <color rgb="FFCC66FF"/>
      <color rgb="FF00FF00"/>
      <color rgb="FFFF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45</xdr:row>
      <xdr:rowOff>47626</xdr:rowOff>
    </xdr:from>
    <xdr:to>
      <xdr:col>26</xdr:col>
      <xdr:colOff>628650</xdr:colOff>
      <xdr:row>47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4648200" y="907732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7" name="1 Conector recto de flecha">
          <a:extLst>
            <a:ext uri="{FF2B5EF4-FFF2-40B4-BE49-F238E27FC236}">
              <a16:creationId xmlns:a16="http://schemas.microsoft.com/office/drawing/2014/main" id="{E2B7EE01-FE3E-4075-A25C-14AD4B0A35BD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8" name="2 Conector recto de flecha">
          <a:extLst>
            <a:ext uri="{FF2B5EF4-FFF2-40B4-BE49-F238E27FC236}">
              <a16:creationId xmlns:a16="http://schemas.microsoft.com/office/drawing/2014/main" id="{4FCF036E-E778-4346-B8BA-9539D02DE2D8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9" name="1 Conector recto de flecha">
          <a:extLst>
            <a:ext uri="{FF2B5EF4-FFF2-40B4-BE49-F238E27FC236}">
              <a16:creationId xmlns:a16="http://schemas.microsoft.com/office/drawing/2014/main" id="{AAAEDF66-FF09-4802-A2CC-9A58EDE70F71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10" name="2 Conector recto de flecha">
          <a:extLst>
            <a:ext uri="{FF2B5EF4-FFF2-40B4-BE49-F238E27FC236}">
              <a16:creationId xmlns:a16="http://schemas.microsoft.com/office/drawing/2014/main" id="{F3AA7551-1778-40A9-8A4E-01A189BD9101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45</xdr:row>
      <xdr:rowOff>47626</xdr:rowOff>
    </xdr:from>
    <xdr:to>
      <xdr:col>7</xdr:col>
      <xdr:colOff>628650</xdr:colOff>
      <xdr:row>47</xdr:row>
      <xdr:rowOff>85725</xdr:rowOff>
    </xdr:to>
    <xdr:cxnSp macro="">
      <xdr:nvCxnSpPr>
        <xdr:cNvPr id="11" name="3 Conector recto de flecha">
          <a:extLst>
            <a:ext uri="{FF2B5EF4-FFF2-40B4-BE49-F238E27FC236}">
              <a16:creationId xmlns:a16="http://schemas.microsoft.com/office/drawing/2014/main" id="{D96D60F5-75A5-4704-B78F-C765D7623772}"/>
            </a:ext>
          </a:extLst>
        </xdr:cNvPr>
        <xdr:cNvCxnSpPr/>
      </xdr:nvCxnSpPr>
      <xdr:spPr>
        <a:xfrm flipV="1">
          <a:off x="18265140" y="9946006"/>
          <a:ext cx="826770" cy="47243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33</xdr:row>
      <xdr:rowOff>19050</xdr:rowOff>
    </xdr:from>
    <xdr:to>
      <xdr:col>6</xdr:col>
      <xdr:colOff>295275</xdr:colOff>
      <xdr:row>33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9AA3525-5252-49F8-9991-BE42101E35A7}"/>
            </a:ext>
          </a:extLst>
        </xdr:cNvPr>
        <xdr:cNvCxnSpPr/>
      </xdr:nvCxnSpPr>
      <xdr:spPr>
        <a:xfrm>
          <a:off x="4850130" y="7875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59474A5-C5B9-46D3-9B4E-CC8200CE6D93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32</xdr:row>
      <xdr:rowOff>123825</xdr:rowOff>
    </xdr:from>
    <xdr:to>
      <xdr:col>7</xdr:col>
      <xdr:colOff>0</xdr:colOff>
      <xdr:row>33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738FA9E-6088-4563-8564-4A39456B29E0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D50BA62-AEEC-41B7-BAFB-D7FD1CA5C51E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33</xdr:row>
      <xdr:rowOff>19050</xdr:rowOff>
    </xdr:from>
    <xdr:to>
      <xdr:col>4</xdr:col>
      <xdr:colOff>695325</xdr:colOff>
      <xdr:row>35</xdr:row>
      <xdr:rowOff>47625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A9B5BF9-3EC7-41A9-B0A9-685B89A28AEB}"/>
            </a:ext>
          </a:extLst>
        </xdr:cNvPr>
        <xdr:cNvCxnSpPr/>
      </xdr:nvCxnSpPr>
      <xdr:spPr>
        <a:xfrm>
          <a:off x="2028825" y="7029450"/>
          <a:ext cx="1362075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32</xdr:row>
      <xdr:rowOff>38101</xdr:rowOff>
    </xdr:from>
    <xdr:to>
      <xdr:col>13</xdr:col>
      <xdr:colOff>200024</xdr:colOff>
      <xdr:row>32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D75457E-4BA4-4D83-B29D-9259B0CA09C3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36</xdr:row>
      <xdr:rowOff>95250</xdr:rowOff>
    </xdr:from>
    <xdr:to>
      <xdr:col>8</xdr:col>
      <xdr:colOff>19050</xdr:colOff>
      <xdr:row>41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1E14A77-E2FD-4CBA-970D-E4AD2CFB3D0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96EE38D-B358-4D9C-BD9E-AFCEFE74C745}"/>
            </a:ext>
          </a:extLst>
        </xdr:cNvPr>
        <xdr:cNvCxnSpPr/>
      </xdr:nvCxnSpPr>
      <xdr:spPr>
        <a:xfrm>
          <a:off x="4705350" y="70389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C990C36-4ABF-42BB-9ABB-EBA07E5D19DA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683C27A-D73E-4533-9516-D1A2AB0925E1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1A686DD-0FA1-4E63-8190-514A6E827DE7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34</xdr:row>
      <xdr:rowOff>19050</xdr:rowOff>
    </xdr:from>
    <xdr:to>
      <xdr:col>4</xdr:col>
      <xdr:colOff>695325</xdr:colOff>
      <xdr:row>36</xdr:row>
      <xdr:rowOff>47625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3E070F-2227-4361-ADCE-F89C797D8468}"/>
            </a:ext>
          </a:extLst>
        </xdr:cNvPr>
        <xdr:cNvCxnSpPr/>
      </xdr:nvCxnSpPr>
      <xdr:spPr>
        <a:xfrm>
          <a:off x="2028825" y="70389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B22BC2E-8AA8-464A-A938-63CF62D2D99B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86FD404-820A-46C4-85CB-A805FA75F0C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A4186B65-62CA-4E18-A5F5-632D592875CA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41</xdr:row>
      <xdr:rowOff>19050</xdr:rowOff>
    </xdr:from>
    <xdr:to>
      <xdr:col>6</xdr:col>
      <xdr:colOff>295275</xdr:colOff>
      <xdr:row>41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E0C6ABA-9680-4D34-92C1-8043AF78C7A9}"/>
            </a:ext>
          </a:extLst>
        </xdr:cNvPr>
        <xdr:cNvCxnSpPr/>
      </xdr:nvCxnSpPr>
      <xdr:spPr>
        <a:xfrm>
          <a:off x="4705350" y="72390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C073112-1032-4ABD-8F2B-37F866E898A7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40</xdr:row>
      <xdr:rowOff>123825</xdr:rowOff>
    </xdr:from>
    <xdr:to>
      <xdr:col>7</xdr:col>
      <xdr:colOff>0</xdr:colOff>
      <xdr:row>41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BA8A14-B8DF-4F16-A520-34015D01DA34}"/>
            </a:ext>
          </a:extLst>
        </xdr:cNvPr>
        <xdr:cNvCxnSpPr/>
      </xdr:nvCxnSpPr>
      <xdr:spPr>
        <a:xfrm>
          <a:off x="4600575" y="71437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EB34339-2C76-4056-8927-ABF9F927BCCA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40</xdr:row>
      <xdr:rowOff>104775</xdr:rowOff>
    </xdr:from>
    <xdr:to>
      <xdr:col>5</xdr:col>
      <xdr:colOff>85725</xdr:colOff>
      <xdr:row>42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D093FC4-97B9-476C-A063-4F2BE8F16BD8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40</xdr:row>
      <xdr:rowOff>38101</xdr:rowOff>
    </xdr:from>
    <xdr:to>
      <xdr:col>13</xdr:col>
      <xdr:colOff>200024</xdr:colOff>
      <xdr:row>40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B361669-6DF4-4C1C-85BE-1DA24C1928C5}"/>
            </a:ext>
          </a:extLst>
        </xdr:cNvPr>
        <xdr:cNvSpPr/>
      </xdr:nvSpPr>
      <xdr:spPr>
        <a:xfrm rot="5400000">
          <a:off x="9848848" y="68675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44</xdr:row>
      <xdr:rowOff>95250</xdr:rowOff>
    </xdr:from>
    <xdr:to>
      <xdr:col>8</xdr:col>
      <xdr:colOff>19050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81EE47E-D18F-44ED-A743-0BAEE23A2629}"/>
            </a:ext>
          </a:extLst>
        </xdr:cNvPr>
        <xdr:cNvCxnSpPr/>
      </xdr:nvCxnSpPr>
      <xdr:spPr>
        <a:xfrm flipV="1">
          <a:off x="4610100" y="79629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40</xdr:row>
      <xdr:rowOff>200023</xdr:rowOff>
    </xdr:from>
    <xdr:to>
      <xdr:col>11</xdr:col>
      <xdr:colOff>133352</xdr:colOff>
      <xdr:row>41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867B40A8-9A46-4E7E-B200-9CCB45E92699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46</xdr:row>
      <xdr:rowOff>114301</xdr:rowOff>
    </xdr:from>
    <xdr:ext cx="4081885" cy="311496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B13F7E5-E358-4765-82CE-94525C281234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6FDCD01-FC19-49D3-A6BC-D744B939154F}"/>
            </a:ext>
          </a:extLst>
        </xdr:cNvPr>
        <xdr:cNvCxnSpPr/>
      </xdr:nvCxnSpPr>
      <xdr:spPr>
        <a:xfrm>
          <a:off x="4705350" y="8667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687C789-1F21-4AB0-8E9C-6A5B61A0260E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5A7781C-3CDE-4504-B4DD-29C40727BBB9}"/>
            </a:ext>
          </a:extLst>
        </xdr:cNvPr>
        <xdr:cNvCxnSpPr/>
      </xdr:nvCxnSpPr>
      <xdr:spPr>
        <a:xfrm>
          <a:off x="4600575" y="85725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C9D4A21-1906-4E1D-9DE9-54ADD0FD988C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472058B-9972-4C96-99F9-B7573A32174D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54377EE-EC4A-4EE5-B5A0-A5EE9EC8B0E3}"/>
            </a:ext>
          </a:extLst>
        </xdr:cNvPr>
        <xdr:cNvSpPr/>
      </xdr:nvSpPr>
      <xdr:spPr>
        <a:xfrm rot="5400000">
          <a:off x="9848848" y="82962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411AC25-7948-49E8-9281-0E2AF24E2B4F}"/>
            </a:ext>
          </a:extLst>
        </xdr:cNvPr>
        <xdr:cNvCxnSpPr/>
      </xdr:nvCxnSpPr>
      <xdr:spPr>
        <a:xfrm flipV="1">
          <a:off x="4610100" y="93916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AADFE9B-D9BA-431B-8529-6943AA98E63E}"/>
            </a:ext>
          </a:extLst>
        </xdr:cNvPr>
        <xdr:cNvSpPr/>
      </xdr:nvSpPr>
      <xdr:spPr>
        <a:xfrm rot="16200000">
          <a:off x="7119938" y="78247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6C27947-57A5-4C52-B2D4-152D8171F968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486107-9B7B-4E06-99ED-B79C30995A5F}"/>
            </a:ext>
          </a:extLst>
        </xdr:cNvPr>
        <xdr:cNvCxnSpPr/>
      </xdr:nvCxnSpPr>
      <xdr:spPr>
        <a:xfrm>
          <a:off x="4705350" y="72675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38759BB-61E9-43DA-88C7-4161170D41ED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0E5211D-01D7-4179-9E61-5714D4D6504C}"/>
            </a:ext>
          </a:extLst>
        </xdr:cNvPr>
        <xdr:cNvCxnSpPr/>
      </xdr:nvCxnSpPr>
      <xdr:spPr>
        <a:xfrm>
          <a:off x="4600575" y="71723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F5EF1E4-8A56-49CC-9B3C-B1D210AD0832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4E265DD-3F17-4FB2-90A2-4270137FC12D}"/>
            </a:ext>
          </a:extLst>
        </xdr:cNvPr>
        <xdr:cNvCxnSpPr/>
      </xdr:nvCxnSpPr>
      <xdr:spPr>
        <a:xfrm>
          <a:off x="2181225" y="71532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D748F7E-2EDB-4400-B022-5E29DF2C6922}"/>
            </a:ext>
          </a:extLst>
        </xdr:cNvPr>
        <xdr:cNvCxnSpPr/>
      </xdr:nvCxnSpPr>
      <xdr:spPr>
        <a:xfrm flipV="1">
          <a:off x="4610100" y="79914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CCA6E42-3FAB-45D5-A289-D04061F337B6}"/>
            </a:ext>
          </a:extLst>
        </xdr:cNvPr>
        <xdr:cNvSpPr/>
      </xdr:nvSpPr>
      <xdr:spPr>
        <a:xfrm rot="16200000">
          <a:off x="7119938" y="642461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55D93FA-156C-4E15-B631-73360C406547}"/>
            </a:ext>
          </a:extLst>
        </xdr:cNvPr>
        <xdr:cNvSpPr/>
      </xdr:nvSpPr>
      <xdr:spPr>
        <a:xfrm rot="18916712">
          <a:off x="8633988" y="830580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12</xdr:col>
      <xdr:colOff>895746</xdr:colOff>
      <xdr:row>33</xdr:row>
      <xdr:rowOff>19053</xdr:rowOff>
    </xdr:from>
    <xdr:to>
      <xdr:col>13</xdr:col>
      <xdr:colOff>751479</xdr:colOff>
      <xdr:row>34</xdr:row>
      <xdr:rowOff>61086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E5558C58-3888-461C-BFC9-F594696FC79B}"/>
            </a:ext>
          </a:extLst>
        </xdr:cNvPr>
        <xdr:cNvSpPr/>
      </xdr:nvSpPr>
      <xdr:spPr>
        <a:xfrm rot="5400000">
          <a:off x="10060896" y="6636828"/>
          <a:ext cx="242058" cy="1065408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35</xdr:row>
      <xdr:rowOff>19050</xdr:rowOff>
    </xdr:from>
    <xdr:to>
      <xdr:col>6</xdr:col>
      <xdr:colOff>295275</xdr:colOff>
      <xdr:row>35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A2AF246-0D85-4972-AE72-87F54EDE656F}"/>
            </a:ext>
          </a:extLst>
        </xdr:cNvPr>
        <xdr:cNvCxnSpPr/>
      </xdr:nvCxnSpPr>
      <xdr:spPr>
        <a:xfrm>
          <a:off x="4705350" y="72485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E016DB5-DD3E-46A0-A855-4BE821F8214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34</xdr:row>
      <xdr:rowOff>123825</xdr:rowOff>
    </xdr:from>
    <xdr:to>
      <xdr:col>7</xdr:col>
      <xdr:colOff>0</xdr:colOff>
      <xdr:row>35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2043AD2-B73C-443A-AC23-27FF515F42D5}"/>
            </a:ext>
          </a:extLst>
        </xdr:cNvPr>
        <xdr:cNvCxnSpPr/>
      </xdr:nvCxnSpPr>
      <xdr:spPr>
        <a:xfrm>
          <a:off x="4600575" y="715327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1DB2B0E-FE17-42B4-90E8-2EA6869F52D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34</xdr:row>
      <xdr:rowOff>104775</xdr:rowOff>
    </xdr:from>
    <xdr:to>
      <xdr:col>5</xdr:col>
      <xdr:colOff>85725</xdr:colOff>
      <xdr:row>36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0C6C5DD-E816-48C0-B3B9-ECAB8949D15B}"/>
            </a:ext>
          </a:extLst>
        </xdr:cNvPr>
        <xdr:cNvCxnSpPr/>
      </xdr:nvCxnSpPr>
      <xdr:spPr>
        <a:xfrm>
          <a:off x="2181225" y="713422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34</xdr:row>
      <xdr:rowOff>38101</xdr:rowOff>
    </xdr:from>
    <xdr:to>
      <xdr:col>13</xdr:col>
      <xdr:colOff>200024</xdr:colOff>
      <xdr:row>34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2CD4C68-9110-42F1-8EE5-480B688C8C99}"/>
            </a:ext>
          </a:extLst>
        </xdr:cNvPr>
        <xdr:cNvSpPr/>
      </xdr:nvSpPr>
      <xdr:spPr>
        <a:xfrm rot="5400000">
          <a:off x="9848848" y="68770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38</xdr:row>
      <xdr:rowOff>95250</xdr:rowOff>
    </xdr:from>
    <xdr:to>
      <xdr:col>8</xdr:col>
      <xdr:colOff>19050</xdr:colOff>
      <xdr:row>43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5A893C6-3AB8-4FF9-9B98-7F14BCE55DA9}"/>
            </a:ext>
          </a:extLst>
        </xdr:cNvPr>
        <xdr:cNvCxnSpPr/>
      </xdr:nvCxnSpPr>
      <xdr:spPr>
        <a:xfrm flipV="1">
          <a:off x="4610100" y="797242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34</xdr:row>
      <xdr:rowOff>200023</xdr:rowOff>
    </xdr:from>
    <xdr:to>
      <xdr:col>11</xdr:col>
      <xdr:colOff>133352</xdr:colOff>
      <xdr:row>35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E695FAB-4C28-4010-831A-5BFBC018E4C9}"/>
            </a:ext>
          </a:extLst>
        </xdr:cNvPr>
        <xdr:cNvSpPr/>
      </xdr:nvSpPr>
      <xdr:spPr>
        <a:xfrm rot="16200000">
          <a:off x="7119938" y="640556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40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57F434A-160C-4914-A8C3-C71295E5B1EB}"/>
            </a:ext>
          </a:extLst>
        </xdr:cNvPr>
        <xdr:cNvSpPr/>
      </xdr:nvSpPr>
      <xdr:spPr>
        <a:xfrm rot="18916712">
          <a:off x="8633988" y="828675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2AF5075-77FA-42EC-B5B5-EA55AD618CA6}"/>
            </a:ext>
          </a:extLst>
        </xdr:cNvPr>
        <xdr:cNvCxnSpPr/>
      </xdr:nvCxnSpPr>
      <xdr:spPr>
        <a:xfrm>
          <a:off x="4705350" y="7486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A9C232-2DCE-4799-BB4D-8EFCE933780F}"/>
            </a:ext>
          </a:extLst>
        </xdr:cNvPr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13438A3-279A-499F-9112-67E195E86855}"/>
            </a:ext>
          </a:extLst>
        </xdr:cNvPr>
        <xdr:cNvCxnSpPr/>
      </xdr:nvCxnSpPr>
      <xdr:spPr>
        <a:xfrm>
          <a:off x="4600575" y="73914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82E33FF-3D3E-4095-AD7F-DBEF8694EE97}"/>
            </a:ext>
          </a:extLst>
        </xdr:cNvPr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F0F8D7B-5F9D-4D14-A00A-328D7921E877}"/>
            </a:ext>
          </a:extLst>
        </xdr:cNvPr>
        <xdr:cNvCxnSpPr/>
      </xdr:nvCxnSpPr>
      <xdr:spPr>
        <a:xfrm>
          <a:off x="2181225" y="73723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0FA379F0-4A0D-4BE1-AE63-51D18813A159}"/>
            </a:ext>
          </a:extLst>
        </xdr:cNvPr>
        <xdr:cNvSpPr/>
      </xdr:nvSpPr>
      <xdr:spPr>
        <a:xfrm rot="5400000">
          <a:off x="9848848" y="7115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6A131CD-CDEE-4206-9EE8-816820D1506B}"/>
            </a:ext>
          </a:extLst>
        </xdr:cNvPr>
        <xdr:cNvCxnSpPr/>
      </xdr:nvCxnSpPr>
      <xdr:spPr>
        <a:xfrm flipV="1">
          <a:off x="4610100" y="82105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873FBDE-49B0-4577-9C16-D42C17C7D2BB}"/>
            </a:ext>
          </a:extLst>
        </xdr:cNvPr>
        <xdr:cNvSpPr/>
      </xdr:nvSpPr>
      <xdr:spPr>
        <a:xfrm rot="16200000">
          <a:off x="7119938" y="66436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50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1F813A-862B-4BD8-A675-07764B8B6B07}"/>
            </a:ext>
          </a:extLst>
        </xdr:cNvPr>
        <xdr:cNvSpPr/>
      </xdr:nvSpPr>
      <xdr:spPr>
        <a:xfrm rot="18916712">
          <a:off x="8496155" y="10479383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28</xdr:row>
      <xdr:rowOff>19050</xdr:rowOff>
    </xdr:from>
    <xdr:to>
      <xdr:col>6</xdr:col>
      <xdr:colOff>295275</xdr:colOff>
      <xdr:row>28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92493C5-4FD8-4CCA-B400-928A608E0077}"/>
            </a:ext>
          </a:extLst>
        </xdr:cNvPr>
        <xdr:cNvCxnSpPr/>
      </xdr:nvCxnSpPr>
      <xdr:spPr>
        <a:xfrm>
          <a:off x="4705350" y="94869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29</xdr:row>
      <xdr:rowOff>200024</xdr:rowOff>
    </xdr:from>
    <xdr:to>
      <xdr:col>6</xdr:col>
      <xdr:colOff>285750</xdr:colOff>
      <xdr:row>30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4DAFA41-3202-4DA6-97CE-9B4B1142DDF5}"/>
            </a:ext>
          </a:extLst>
        </xdr:cNvPr>
        <xdr:cNvCxnSpPr/>
      </xdr:nvCxnSpPr>
      <xdr:spPr>
        <a:xfrm rot="10800000" flipV="1">
          <a:off x="4686300" y="9915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27</xdr:row>
      <xdr:rowOff>123825</xdr:rowOff>
    </xdr:from>
    <xdr:to>
      <xdr:col>7</xdr:col>
      <xdr:colOff>0</xdr:colOff>
      <xdr:row>28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BC0FEA46-54ED-49A1-8052-E41EC88CA161}"/>
            </a:ext>
          </a:extLst>
        </xdr:cNvPr>
        <xdr:cNvCxnSpPr/>
      </xdr:nvCxnSpPr>
      <xdr:spPr>
        <a:xfrm>
          <a:off x="4600575" y="93916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29</xdr:row>
      <xdr:rowOff>200024</xdr:rowOff>
    </xdr:from>
    <xdr:to>
      <xdr:col>6</xdr:col>
      <xdr:colOff>285750</xdr:colOff>
      <xdr:row>30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DC252F5-6C4B-4754-B120-687513235FDE}"/>
            </a:ext>
          </a:extLst>
        </xdr:cNvPr>
        <xdr:cNvCxnSpPr/>
      </xdr:nvCxnSpPr>
      <xdr:spPr>
        <a:xfrm rot="10800000" flipV="1">
          <a:off x="4686300" y="9915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27</xdr:row>
      <xdr:rowOff>104775</xdr:rowOff>
    </xdr:from>
    <xdr:to>
      <xdr:col>5</xdr:col>
      <xdr:colOff>85725</xdr:colOff>
      <xdr:row>29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446DA43-0B39-4143-BA6E-BEF93090A8FB}"/>
            </a:ext>
          </a:extLst>
        </xdr:cNvPr>
        <xdr:cNvCxnSpPr/>
      </xdr:nvCxnSpPr>
      <xdr:spPr>
        <a:xfrm>
          <a:off x="2181225" y="937260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27</xdr:row>
      <xdr:rowOff>38101</xdr:rowOff>
    </xdr:from>
    <xdr:to>
      <xdr:col>13</xdr:col>
      <xdr:colOff>200024</xdr:colOff>
      <xdr:row>27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724A5E3-49B3-414E-A5F1-1E63192A3F1F}"/>
            </a:ext>
          </a:extLst>
        </xdr:cNvPr>
        <xdr:cNvSpPr/>
      </xdr:nvSpPr>
      <xdr:spPr>
        <a:xfrm rot="5400000">
          <a:off x="9848848" y="91154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31</xdr:row>
      <xdr:rowOff>95250</xdr:rowOff>
    </xdr:from>
    <xdr:to>
      <xdr:col>8</xdr:col>
      <xdr:colOff>19050</xdr:colOff>
      <xdr:row>36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F6EE549-0C5D-4F7A-B4E0-AC60185F6F3D}"/>
            </a:ext>
          </a:extLst>
        </xdr:cNvPr>
        <xdr:cNvCxnSpPr/>
      </xdr:nvCxnSpPr>
      <xdr:spPr>
        <a:xfrm flipV="1">
          <a:off x="4610100" y="102108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27</xdr:row>
      <xdr:rowOff>200023</xdr:rowOff>
    </xdr:from>
    <xdr:to>
      <xdr:col>11</xdr:col>
      <xdr:colOff>133352</xdr:colOff>
      <xdr:row>28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EF55BDD-2A4E-4BA1-B63D-516AABF51DB3}"/>
            </a:ext>
          </a:extLst>
        </xdr:cNvPr>
        <xdr:cNvSpPr/>
      </xdr:nvSpPr>
      <xdr:spPr>
        <a:xfrm rot="16200000">
          <a:off x="7119938" y="86439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33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04D5FE8-BBC1-435A-A134-077C3166724E}"/>
            </a:ext>
          </a:extLst>
        </xdr:cNvPr>
        <xdr:cNvSpPr/>
      </xdr:nvSpPr>
      <xdr:spPr>
        <a:xfrm rot="18916712">
          <a:off x="8496155" y="10479383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P77"/>
  <sheetViews>
    <sheetView topLeftCell="G29" workbookViewId="0">
      <selection activeCell="O41" sqref="O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14062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7" max="17" width="16" bestFit="1" customWidth="1"/>
    <col min="18" max="18" width="5.7109375" customWidth="1"/>
    <col min="19" max="19" width="6.7109375" customWidth="1"/>
    <col min="20" max="20" width="2.5703125" customWidth="1"/>
    <col min="21" max="21" width="12.42578125" style="1" customWidth="1"/>
    <col min="22" max="22" width="16.42578125" style="3" hidden="1" customWidth="1"/>
    <col min="23" max="23" width="9" hidden="1" customWidth="1"/>
    <col min="24" max="24" width="0" hidden="1" customWidth="1"/>
    <col min="25" max="25" width="17.85546875" style="3" hidden="1" customWidth="1"/>
    <col min="26" max="26" width="2.85546875" hidden="1" customWidth="1"/>
    <col min="27" max="27" width="0" hidden="1" customWidth="1"/>
    <col min="28" max="28" width="12.140625" style="3" hidden="1" customWidth="1"/>
    <col min="29" max="29" width="7.140625" style="3" hidden="1" customWidth="1"/>
    <col min="30" max="30" width="16" hidden="1" customWidth="1"/>
    <col min="31" max="31" width="11.28515625" hidden="1" customWidth="1"/>
    <col min="32" max="32" width="18.140625" style="3" hidden="1" customWidth="1"/>
    <col min="33" max="34" width="14.42578125" style="4" hidden="1" customWidth="1"/>
    <col min="35" max="35" width="0" hidden="1" customWidth="1"/>
    <col min="36" max="36" width="16" hidden="1" customWidth="1"/>
    <col min="37" max="37" width="15.85546875" bestFit="1" customWidth="1"/>
    <col min="41" max="41" width="15.7109375" bestFit="1" customWidth="1"/>
    <col min="42" max="42" width="15.85546875" bestFit="1" customWidth="1"/>
  </cols>
  <sheetData>
    <row r="1" spans="1:42" ht="23.25" x14ac:dyDescent="0.35">
      <c r="C1" s="378" t="s">
        <v>29</v>
      </c>
      <c r="D1" s="378"/>
      <c r="E1" s="378"/>
      <c r="F1" s="378"/>
      <c r="G1" s="378"/>
      <c r="H1" s="378"/>
      <c r="I1" s="378"/>
      <c r="J1" s="378"/>
      <c r="K1" s="378"/>
      <c r="L1" s="2" t="s">
        <v>0</v>
      </c>
      <c r="S1" s="179"/>
      <c r="V1" s="378" t="s">
        <v>29</v>
      </c>
      <c r="W1" s="378"/>
      <c r="X1" s="378"/>
      <c r="Y1" s="378"/>
      <c r="Z1" s="378"/>
      <c r="AA1" s="378"/>
      <c r="AB1" s="378"/>
      <c r="AC1" s="378"/>
      <c r="AD1" s="378"/>
      <c r="AE1" s="2" t="s">
        <v>0</v>
      </c>
      <c r="AO1" s="379"/>
      <c r="AP1" s="379"/>
    </row>
    <row r="2" spans="1:42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S2" s="179"/>
      <c r="V2" s="5" t="s">
        <v>1</v>
      </c>
      <c r="X2" s="6"/>
      <c r="Y2" s="7"/>
      <c r="AA2" s="8" t="s">
        <v>2</v>
      </c>
      <c r="AB2" s="9"/>
      <c r="AC2" s="9"/>
      <c r="AD2" s="10"/>
      <c r="AE2" s="10"/>
      <c r="AF2" s="9"/>
      <c r="AG2" s="11"/>
      <c r="AH2" s="11"/>
      <c r="AN2" s="96"/>
      <c r="AO2" s="33"/>
      <c r="AP2" s="26"/>
    </row>
    <row r="3" spans="1:42" ht="16.5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179"/>
      <c r="V3" s="12" t="s">
        <v>3</v>
      </c>
      <c r="W3" s="13"/>
      <c r="AB3" s="14" t="s">
        <v>4</v>
      </c>
      <c r="AC3" s="9"/>
      <c r="AD3" s="15" t="s">
        <v>28</v>
      </c>
      <c r="AE3" s="15"/>
      <c r="AN3" s="96"/>
      <c r="AO3" s="121"/>
      <c r="AP3" s="122"/>
    </row>
    <row r="4" spans="1:42" ht="20.25" thickTop="1" thickBot="1" x14ac:dyDescent="0.35">
      <c r="A4" s="16" t="s">
        <v>5</v>
      </c>
      <c r="B4" s="17"/>
      <c r="C4" s="18">
        <v>243097.17</v>
      </c>
      <c r="D4" s="19"/>
      <c r="E4" s="380" t="s">
        <v>6</v>
      </c>
      <c r="F4" s="381"/>
      <c r="I4" s="382" t="s">
        <v>7</v>
      </c>
      <c r="J4" s="383"/>
      <c r="K4" s="383"/>
      <c r="L4" s="383"/>
      <c r="M4" s="20" t="s">
        <v>8</v>
      </c>
      <c r="N4" s="94" t="s">
        <v>36</v>
      </c>
      <c r="O4" s="7"/>
      <c r="S4" s="179"/>
      <c r="T4" s="16" t="s">
        <v>5</v>
      </c>
      <c r="U4" s="17"/>
      <c r="V4" s="18">
        <v>243097.17</v>
      </c>
      <c r="W4" s="19"/>
      <c r="X4" s="380" t="s">
        <v>6</v>
      </c>
      <c r="Y4" s="381"/>
      <c r="AB4" s="382" t="s">
        <v>7</v>
      </c>
      <c r="AC4" s="383"/>
      <c r="AD4" s="383"/>
      <c r="AE4" s="383"/>
      <c r="AF4" s="20" t="s">
        <v>8</v>
      </c>
      <c r="AG4" s="94" t="s">
        <v>36</v>
      </c>
      <c r="AH4" s="7"/>
      <c r="AO4" s="388" t="s">
        <v>56</v>
      </c>
      <c r="AP4" s="389"/>
    </row>
    <row r="5" spans="1:42" ht="15.75" thickBot="1" x14ac:dyDescent="0.3">
      <c r="A5" s="21"/>
      <c r="B5" s="27">
        <v>43472</v>
      </c>
      <c r="C5" s="22">
        <v>11448</v>
      </c>
      <c r="D5" s="93" t="s">
        <v>35</v>
      </c>
      <c r="E5" s="29">
        <v>43472</v>
      </c>
      <c r="F5" s="92">
        <v>54483.68</v>
      </c>
      <c r="H5" s="24">
        <v>43472</v>
      </c>
      <c r="I5" s="30">
        <v>233.8</v>
      </c>
      <c r="J5" s="106"/>
      <c r="L5" s="4"/>
      <c r="M5" s="119">
        <f>41450+32</f>
        <v>41482</v>
      </c>
      <c r="N5" s="120">
        <v>401.64</v>
      </c>
      <c r="Q5" s="33"/>
      <c r="R5" s="33"/>
      <c r="S5" s="180"/>
      <c r="T5" s="21"/>
      <c r="U5" s="27">
        <v>43472</v>
      </c>
      <c r="V5" s="22">
        <v>11448</v>
      </c>
      <c r="W5" s="93" t="s">
        <v>35</v>
      </c>
      <c r="X5" s="29">
        <v>43472</v>
      </c>
      <c r="Y5" s="92">
        <v>54483.68</v>
      </c>
      <c r="AA5" s="24">
        <v>43472</v>
      </c>
      <c r="AB5" s="30">
        <v>233.8</v>
      </c>
      <c r="AC5" s="106"/>
      <c r="AE5" s="4"/>
      <c r="AF5" s="119">
        <f>41450+32</f>
        <v>41482</v>
      </c>
      <c r="AG5" s="120">
        <v>401.64</v>
      </c>
      <c r="AJ5" s="33"/>
      <c r="AK5" s="37"/>
      <c r="AN5" s="96">
        <v>43475</v>
      </c>
      <c r="AO5" s="145" t="s">
        <v>41</v>
      </c>
      <c r="AP5" s="143">
        <v>5000</v>
      </c>
    </row>
    <row r="6" spans="1:42" ht="15.75" thickBot="1" x14ac:dyDescent="0.3">
      <c r="A6" s="21"/>
      <c r="B6" s="27">
        <v>43473</v>
      </c>
      <c r="C6" s="22">
        <v>1735</v>
      </c>
      <c r="D6" s="23" t="s">
        <v>37</v>
      </c>
      <c r="E6" s="29">
        <v>43473</v>
      </c>
      <c r="F6" s="92">
        <v>66505.240000000005</v>
      </c>
      <c r="H6" s="24">
        <v>43473</v>
      </c>
      <c r="I6" s="30">
        <v>15.5</v>
      </c>
      <c r="J6" s="106"/>
      <c r="K6" s="127"/>
      <c r="L6" s="104"/>
      <c r="M6" s="146">
        <v>64180</v>
      </c>
      <c r="N6" s="120">
        <v>574.05999999999995</v>
      </c>
      <c r="Q6" s="39"/>
      <c r="R6" s="39"/>
      <c r="S6" s="181"/>
      <c r="T6" s="21"/>
      <c r="U6" s="27">
        <v>43473</v>
      </c>
      <c r="V6" s="22">
        <v>1735</v>
      </c>
      <c r="W6" s="23" t="s">
        <v>37</v>
      </c>
      <c r="X6" s="29">
        <v>43473</v>
      </c>
      <c r="Y6" s="92">
        <v>66505.240000000005</v>
      </c>
      <c r="AA6" s="24">
        <v>43473</v>
      </c>
      <c r="AB6" s="30">
        <v>15.5</v>
      </c>
      <c r="AC6" s="106"/>
      <c r="AD6" s="127"/>
      <c r="AE6" s="104"/>
      <c r="AF6" s="146">
        <v>64180</v>
      </c>
      <c r="AG6" s="120">
        <v>574.05999999999995</v>
      </c>
      <c r="AJ6" s="39"/>
      <c r="AK6" s="40"/>
      <c r="AN6" s="96">
        <v>43479</v>
      </c>
      <c r="AO6" s="134" t="s">
        <v>47</v>
      </c>
      <c r="AP6" s="135">
        <v>5010</v>
      </c>
    </row>
    <row r="7" spans="1:42" ht="15.75" thickBot="1" x14ac:dyDescent="0.3">
      <c r="A7" s="21"/>
      <c r="B7" s="27">
        <v>43474</v>
      </c>
      <c r="C7" s="22">
        <v>8897.6</v>
      </c>
      <c r="D7" s="28" t="s">
        <v>38</v>
      </c>
      <c r="E7" s="29">
        <v>43474</v>
      </c>
      <c r="F7" s="92">
        <v>64139.22</v>
      </c>
      <c r="H7" s="24">
        <v>43474</v>
      </c>
      <c r="I7" s="30">
        <v>2000</v>
      </c>
      <c r="J7" s="31"/>
      <c r="K7" s="127" t="s">
        <v>9</v>
      </c>
      <c r="L7" s="105">
        <v>0</v>
      </c>
      <c r="M7" s="146">
        <v>52480</v>
      </c>
      <c r="N7" s="120">
        <v>756.56</v>
      </c>
      <c r="P7" s="4"/>
      <c r="Q7" s="4">
        <v>5</v>
      </c>
      <c r="R7" s="4"/>
      <c r="S7" s="100"/>
      <c r="T7" s="21"/>
      <c r="U7" s="27">
        <v>43474</v>
      </c>
      <c r="V7" s="22">
        <v>8897.6</v>
      </c>
      <c r="W7" s="28" t="s">
        <v>38</v>
      </c>
      <c r="X7" s="29">
        <v>43474</v>
      </c>
      <c r="Y7" s="92">
        <v>64139.22</v>
      </c>
      <c r="AA7" s="24">
        <v>43474</v>
      </c>
      <c r="AB7" s="123">
        <v>2000</v>
      </c>
      <c r="AC7" s="31"/>
      <c r="AD7" s="127" t="s">
        <v>9</v>
      </c>
      <c r="AE7" s="105">
        <v>0</v>
      </c>
      <c r="AF7" s="146">
        <v>52480</v>
      </c>
      <c r="AG7" s="120">
        <v>756.56</v>
      </c>
      <c r="AI7" s="4"/>
      <c r="AJ7" s="4">
        <v>5</v>
      </c>
      <c r="AK7" s="5"/>
      <c r="AN7" s="96">
        <v>43481</v>
      </c>
      <c r="AO7" s="136" t="s">
        <v>41</v>
      </c>
      <c r="AP7" s="135">
        <v>5010</v>
      </c>
    </row>
    <row r="8" spans="1:42" ht="15.75" thickBot="1" x14ac:dyDescent="0.3">
      <c r="A8" s="21"/>
      <c r="B8" s="27">
        <v>43475</v>
      </c>
      <c r="C8" s="22">
        <v>0</v>
      </c>
      <c r="D8" s="38"/>
      <c r="E8" s="29">
        <v>43475</v>
      </c>
      <c r="F8" s="92">
        <v>68475.78</v>
      </c>
      <c r="H8" s="24">
        <v>43475</v>
      </c>
      <c r="I8" s="30">
        <v>5593.35</v>
      </c>
      <c r="J8" s="34">
        <v>43490</v>
      </c>
      <c r="K8" s="35" t="s">
        <v>10</v>
      </c>
      <c r="L8" s="32">
        <v>25511</v>
      </c>
      <c r="M8" s="119">
        <v>33511.5</v>
      </c>
      <c r="N8" s="120">
        <v>462</v>
      </c>
      <c r="P8" s="98">
        <v>1750</v>
      </c>
      <c r="S8" s="179"/>
      <c r="T8" s="21"/>
      <c r="U8" s="27">
        <v>43475</v>
      </c>
      <c r="V8" s="22">
        <v>0</v>
      </c>
      <c r="W8" s="38"/>
      <c r="X8" s="29">
        <v>43475</v>
      </c>
      <c r="Y8" s="92">
        <v>68475.78</v>
      </c>
      <c r="AA8" s="24">
        <v>43475</v>
      </c>
      <c r="AB8" s="123">
        <v>5593.35</v>
      </c>
      <c r="AC8" s="34">
        <v>43490</v>
      </c>
      <c r="AD8" s="35" t="s">
        <v>10</v>
      </c>
      <c r="AE8" s="32">
        <v>25511</v>
      </c>
      <c r="AF8" s="119">
        <v>33511.5</v>
      </c>
      <c r="AG8" s="120">
        <v>462</v>
      </c>
      <c r="AI8" s="98">
        <v>1750</v>
      </c>
      <c r="AK8" s="41"/>
      <c r="AN8" s="96">
        <v>43488</v>
      </c>
      <c r="AO8" s="134" t="s">
        <v>47</v>
      </c>
      <c r="AP8" s="135">
        <v>5020</v>
      </c>
    </row>
    <row r="9" spans="1:42" ht="16.5" thickBot="1" x14ac:dyDescent="0.3">
      <c r="A9" s="21"/>
      <c r="B9" s="27">
        <v>43476</v>
      </c>
      <c r="C9" s="22">
        <v>15243</v>
      </c>
      <c r="D9" s="38" t="s">
        <v>35</v>
      </c>
      <c r="E9" s="29">
        <v>43476</v>
      </c>
      <c r="F9" s="92">
        <v>121409.14</v>
      </c>
      <c r="H9" s="24">
        <v>43476</v>
      </c>
      <c r="I9" s="30">
        <v>189.9</v>
      </c>
      <c r="J9" s="34">
        <v>43496</v>
      </c>
      <c r="K9" s="102" t="s">
        <v>11</v>
      </c>
      <c r="L9" s="105">
        <v>20000</v>
      </c>
      <c r="M9" s="146">
        <v>102150</v>
      </c>
      <c r="N9" s="120">
        <v>2067.3000000000002</v>
      </c>
      <c r="P9" s="97">
        <v>-1750</v>
      </c>
      <c r="Q9" s="99">
        <v>-10</v>
      </c>
      <c r="R9" s="99"/>
      <c r="S9" s="182"/>
      <c r="T9" s="21"/>
      <c r="U9" s="27">
        <v>43476</v>
      </c>
      <c r="V9" s="22">
        <v>15243</v>
      </c>
      <c r="W9" s="38" t="s">
        <v>35</v>
      </c>
      <c r="X9" s="29">
        <v>43476</v>
      </c>
      <c r="Y9" s="92">
        <v>121409.14</v>
      </c>
      <c r="AA9" s="24">
        <v>43476</v>
      </c>
      <c r="AB9" s="30">
        <v>189.9</v>
      </c>
      <c r="AC9" s="34">
        <v>43496</v>
      </c>
      <c r="AD9" s="127" t="s">
        <v>11</v>
      </c>
      <c r="AE9" s="105">
        <v>20000</v>
      </c>
      <c r="AF9" s="146">
        <v>102150</v>
      </c>
      <c r="AG9" s="120">
        <v>2067.3000000000002</v>
      </c>
      <c r="AI9" s="97">
        <v>-1750</v>
      </c>
      <c r="AJ9" s="99">
        <v>-10</v>
      </c>
      <c r="AN9" s="96">
        <v>43489</v>
      </c>
      <c r="AO9" s="136" t="s">
        <v>41</v>
      </c>
      <c r="AP9" s="135">
        <v>5010</v>
      </c>
    </row>
    <row r="10" spans="1:42" ht="15.75" thickBot="1" x14ac:dyDescent="0.3">
      <c r="A10" s="21"/>
      <c r="B10" s="27">
        <v>43477</v>
      </c>
      <c r="C10" s="22">
        <v>9201</v>
      </c>
      <c r="D10" s="23" t="s">
        <v>43</v>
      </c>
      <c r="E10" s="29">
        <v>43477</v>
      </c>
      <c r="F10" s="92">
        <v>135819.39000000001</v>
      </c>
      <c r="H10" s="24">
        <v>43477</v>
      </c>
      <c r="I10" s="30">
        <v>0</v>
      </c>
      <c r="J10" s="106">
        <v>43472</v>
      </c>
      <c r="K10" s="126" t="s">
        <v>32</v>
      </c>
      <c r="L10" s="104">
        <v>469.37</v>
      </c>
      <c r="M10" s="146">
        <f>112250+600+500+500+500+500+400</f>
        <v>115250</v>
      </c>
      <c r="N10" s="120">
        <v>1714.72</v>
      </c>
      <c r="S10" s="179"/>
      <c r="T10" s="21"/>
      <c r="U10" s="27">
        <v>43477</v>
      </c>
      <c r="V10" s="22">
        <v>9201</v>
      </c>
      <c r="W10" s="23" t="s">
        <v>43</v>
      </c>
      <c r="X10" s="29">
        <v>43477</v>
      </c>
      <c r="Y10" s="92">
        <v>135819.39000000001</v>
      </c>
      <c r="AA10" s="24">
        <v>43477</v>
      </c>
      <c r="AB10" s="30">
        <v>0</v>
      </c>
      <c r="AC10" s="106">
        <v>43472</v>
      </c>
      <c r="AD10" s="126" t="s">
        <v>32</v>
      </c>
      <c r="AE10" s="104">
        <v>469.37</v>
      </c>
      <c r="AF10" s="146">
        <v>112250</v>
      </c>
      <c r="AG10" s="120">
        <v>1714.72</v>
      </c>
      <c r="AN10" s="96">
        <v>43496</v>
      </c>
      <c r="AO10" s="136" t="s">
        <v>41</v>
      </c>
      <c r="AP10" s="135">
        <v>5000</v>
      </c>
    </row>
    <row r="11" spans="1:42" ht="15.75" thickBot="1" x14ac:dyDescent="0.3">
      <c r="A11" s="21"/>
      <c r="B11" s="27">
        <v>43478</v>
      </c>
      <c r="C11" s="22">
        <v>952</v>
      </c>
      <c r="D11" s="23" t="s">
        <v>45</v>
      </c>
      <c r="E11" s="29">
        <v>43478</v>
      </c>
      <c r="F11" s="92">
        <v>94942.89</v>
      </c>
      <c r="H11" s="24">
        <v>43478</v>
      </c>
      <c r="I11" s="30">
        <v>0</v>
      </c>
      <c r="J11" s="106">
        <v>43475</v>
      </c>
      <c r="K11" s="147" t="s">
        <v>40</v>
      </c>
      <c r="L11" s="104">
        <v>30659</v>
      </c>
      <c r="M11" s="146">
        <v>62673.5</v>
      </c>
      <c r="N11" s="120">
        <v>1317.33</v>
      </c>
      <c r="S11" s="179"/>
      <c r="T11" s="21"/>
      <c r="U11" s="27">
        <v>43478</v>
      </c>
      <c r="V11" s="22">
        <v>952</v>
      </c>
      <c r="W11" s="23" t="s">
        <v>45</v>
      </c>
      <c r="X11" s="29">
        <v>43478</v>
      </c>
      <c r="Y11" s="92">
        <v>94942.89</v>
      </c>
      <c r="AA11" s="24">
        <v>43478</v>
      </c>
      <c r="AB11" s="30">
        <v>0</v>
      </c>
      <c r="AC11" s="106">
        <v>43475</v>
      </c>
      <c r="AD11" s="147" t="s">
        <v>40</v>
      </c>
      <c r="AE11" s="104">
        <v>30659</v>
      </c>
      <c r="AF11" s="146">
        <v>62673.5</v>
      </c>
      <c r="AG11" s="120">
        <v>1317.33</v>
      </c>
      <c r="AN11" s="144">
        <v>43496</v>
      </c>
      <c r="AO11" s="134" t="s">
        <v>47</v>
      </c>
      <c r="AP11" s="137">
        <v>5000</v>
      </c>
    </row>
    <row r="12" spans="1:42" ht="16.5" thickBot="1" x14ac:dyDescent="0.3">
      <c r="A12" s="21"/>
      <c r="B12" s="27">
        <v>43479</v>
      </c>
      <c r="C12" s="22">
        <v>20</v>
      </c>
      <c r="D12" s="23" t="s">
        <v>48</v>
      </c>
      <c r="E12" s="29">
        <v>43479</v>
      </c>
      <c r="F12" s="92">
        <v>57745.61</v>
      </c>
      <c r="H12" s="24">
        <v>43479</v>
      </c>
      <c r="I12" s="30">
        <v>5010</v>
      </c>
      <c r="J12" s="106">
        <v>43477</v>
      </c>
      <c r="K12" s="102" t="s">
        <v>42</v>
      </c>
      <c r="L12" s="104">
        <v>9657</v>
      </c>
      <c r="M12" s="146">
        <v>52514.5</v>
      </c>
      <c r="N12" s="120">
        <v>201.06</v>
      </c>
      <c r="S12" s="179"/>
      <c r="T12" s="21"/>
      <c r="U12" s="27">
        <v>43479</v>
      </c>
      <c r="V12" s="22">
        <v>20</v>
      </c>
      <c r="W12" s="23" t="s">
        <v>48</v>
      </c>
      <c r="X12" s="29">
        <v>43479</v>
      </c>
      <c r="Y12" s="92">
        <v>57745.61</v>
      </c>
      <c r="AA12" s="24">
        <v>43479</v>
      </c>
      <c r="AB12" s="123">
        <v>5010</v>
      </c>
      <c r="AC12" s="106">
        <v>43477</v>
      </c>
      <c r="AD12" s="127" t="s">
        <v>42</v>
      </c>
      <c r="AE12" s="104">
        <v>9657</v>
      </c>
      <c r="AF12" s="146">
        <v>52514.5</v>
      </c>
      <c r="AG12" s="120">
        <v>201.06</v>
      </c>
      <c r="AN12" s="144">
        <v>43498</v>
      </c>
      <c r="AO12" s="136" t="s">
        <v>47</v>
      </c>
      <c r="AP12" s="139">
        <v>5010</v>
      </c>
    </row>
    <row r="13" spans="1:42" ht="15.75" thickBot="1" x14ac:dyDescent="0.3">
      <c r="A13" s="21"/>
      <c r="B13" s="27">
        <v>43480</v>
      </c>
      <c r="C13" s="22">
        <v>1378</v>
      </c>
      <c r="D13" s="43" t="s">
        <v>49</v>
      </c>
      <c r="E13" s="29">
        <v>43480</v>
      </c>
      <c r="F13" s="92">
        <v>63691.24</v>
      </c>
      <c r="H13" s="24">
        <v>43480</v>
      </c>
      <c r="I13" s="30">
        <v>1202</v>
      </c>
      <c r="J13" s="106">
        <v>43484</v>
      </c>
      <c r="K13" s="102" t="s">
        <v>30</v>
      </c>
      <c r="L13" s="104">
        <v>6354</v>
      </c>
      <c r="M13" s="146">
        <v>62916</v>
      </c>
      <c r="N13" s="120">
        <v>25.5</v>
      </c>
      <c r="P13" s="100">
        <v>1830.6</v>
      </c>
      <c r="Q13" s="25" t="s">
        <v>50</v>
      </c>
      <c r="R13" s="25"/>
      <c r="S13" s="183"/>
      <c r="T13" s="21"/>
      <c r="U13" s="27">
        <v>43480</v>
      </c>
      <c r="V13" s="22">
        <v>1378</v>
      </c>
      <c r="W13" s="43" t="s">
        <v>49</v>
      </c>
      <c r="X13" s="29">
        <v>43480</v>
      </c>
      <c r="Y13" s="92">
        <v>63691.24</v>
      </c>
      <c r="AA13" s="24">
        <v>43480</v>
      </c>
      <c r="AB13" s="30">
        <v>1202</v>
      </c>
      <c r="AC13" s="106">
        <v>43484</v>
      </c>
      <c r="AD13" s="127" t="s">
        <v>30</v>
      </c>
      <c r="AE13" s="104">
        <v>6354</v>
      </c>
      <c r="AF13" s="146">
        <v>62916</v>
      </c>
      <c r="AG13" s="120">
        <v>25.5</v>
      </c>
      <c r="AI13" s="100">
        <v>1830.6</v>
      </c>
      <c r="AJ13" s="25" t="s">
        <v>50</v>
      </c>
      <c r="AN13" s="144">
        <v>43502</v>
      </c>
      <c r="AO13" s="138" t="s">
        <v>41</v>
      </c>
      <c r="AP13" s="140">
        <v>5010</v>
      </c>
    </row>
    <row r="14" spans="1:42" ht="15.75" thickBot="1" x14ac:dyDescent="0.3">
      <c r="A14" s="21"/>
      <c r="B14" s="27">
        <v>43481</v>
      </c>
      <c r="C14" s="22">
        <v>560</v>
      </c>
      <c r="D14" s="28" t="s">
        <v>51</v>
      </c>
      <c r="E14" s="29">
        <v>43481</v>
      </c>
      <c r="F14" s="92">
        <v>74287.5</v>
      </c>
      <c r="H14" s="24">
        <v>43481</v>
      </c>
      <c r="I14" s="30">
        <f>5010+2000</f>
        <v>7010</v>
      </c>
      <c r="J14" s="106">
        <v>43491</v>
      </c>
      <c r="K14" s="102" t="s">
        <v>31</v>
      </c>
      <c r="L14" s="104">
        <v>7758</v>
      </c>
      <c r="M14" s="146">
        <v>60500</v>
      </c>
      <c r="N14" s="120">
        <v>6217.53</v>
      </c>
      <c r="S14" s="179"/>
      <c r="T14" s="21"/>
      <c r="U14" s="27">
        <v>43481</v>
      </c>
      <c r="V14" s="22">
        <v>560</v>
      </c>
      <c r="W14" s="28" t="s">
        <v>51</v>
      </c>
      <c r="X14" s="29">
        <v>43481</v>
      </c>
      <c r="Y14" s="92">
        <v>74287.5</v>
      </c>
      <c r="AA14" s="24">
        <v>43481</v>
      </c>
      <c r="AB14" s="123">
        <f>5010+2000</f>
        <v>7010</v>
      </c>
      <c r="AC14" s="106">
        <v>43491</v>
      </c>
      <c r="AD14" s="127" t="s">
        <v>31</v>
      </c>
      <c r="AE14" s="104">
        <v>7758</v>
      </c>
      <c r="AF14" s="146">
        <v>60500</v>
      </c>
      <c r="AG14" s="120">
        <v>6217.53</v>
      </c>
      <c r="AN14" s="144">
        <v>43502</v>
      </c>
      <c r="AO14" s="138" t="s">
        <v>47</v>
      </c>
      <c r="AP14" s="140">
        <v>5010</v>
      </c>
    </row>
    <row r="15" spans="1:42" ht="16.5" thickBot="1" x14ac:dyDescent="0.3">
      <c r="A15" s="21"/>
      <c r="B15" s="27">
        <v>43482</v>
      </c>
      <c r="C15" s="22">
        <v>0</v>
      </c>
      <c r="D15" s="23"/>
      <c r="E15" s="29">
        <v>43482</v>
      </c>
      <c r="F15" s="92">
        <v>79912.61</v>
      </c>
      <c r="H15" s="24">
        <v>43482</v>
      </c>
      <c r="I15" s="30">
        <v>263</v>
      </c>
      <c r="J15" s="106">
        <v>43492</v>
      </c>
      <c r="K15" s="102" t="s">
        <v>58</v>
      </c>
      <c r="L15" s="104">
        <v>2083</v>
      </c>
      <c r="M15" s="146">
        <v>77003</v>
      </c>
      <c r="N15" s="120">
        <v>2646.03</v>
      </c>
      <c r="S15" s="179"/>
      <c r="T15" s="21"/>
      <c r="U15" s="27">
        <v>43482</v>
      </c>
      <c r="V15" s="22">
        <v>0</v>
      </c>
      <c r="W15" s="23"/>
      <c r="X15" s="29">
        <v>43482</v>
      </c>
      <c r="Y15" s="92">
        <v>79912.61</v>
      </c>
      <c r="AA15" s="24">
        <v>43482</v>
      </c>
      <c r="AB15" s="30">
        <v>263</v>
      </c>
      <c r="AC15" s="106">
        <v>43492</v>
      </c>
      <c r="AD15" s="102" t="s">
        <v>58</v>
      </c>
      <c r="AE15" s="104">
        <v>2083</v>
      </c>
      <c r="AF15" s="146">
        <v>77003</v>
      </c>
      <c r="AG15" s="120">
        <v>2646.03</v>
      </c>
      <c r="AN15" s="33"/>
      <c r="AO15" s="141"/>
      <c r="AP15" s="142">
        <v>0</v>
      </c>
    </row>
    <row r="16" spans="1:42" ht="19.5" thickBot="1" x14ac:dyDescent="0.35">
      <c r="A16" s="21"/>
      <c r="B16" s="27">
        <v>43483</v>
      </c>
      <c r="C16" s="22">
        <v>12924.4</v>
      </c>
      <c r="D16" s="23" t="s">
        <v>52</v>
      </c>
      <c r="E16" s="29">
        <v>43483</v>
      </c>
      <c r="F16" s="92">
        <v>128021</v>
      </c>
      <c r="H16" s="24">
        <v>43483</v>
      </c>
      <c r="I16" s="30">
        <v>33</v>
      </c>
      <c r="J16" s="164">
        <v>43498</v>
      </c>
      <c r="K16" s="25" t="s">
        <v>102</v>
      </c>
      <c r="L16" s="4">
        <v>12349.92</v>
      </c>
      <c r="M16" s="119">
        <v>108500</v>
      </c>
      <c r="N16" s="120">
        <v>6566.65</v>
      </c>
      <c r="S16" s="179"/>
      <c r="T16" s="21"/>
      <c r="U16" s="27">
        <v>43483</v>
      </c>
      <c r="V16" s="22">
        <v>12924.4</v>
      </c>
      <c r="W16" s="23" t="s">
        <v>52</v>
      </c>
      <c r="X16" s="29">
        <v>43483</v>
      </c>
      <c r="Y16" s="92">
        <v>128021</v>
      </c>
      <c r="AA16" s="24">
        <v>43483</v>
      </c>
      <c r="AB16" s="30">
        <v>33</v>
      </c>
      <c r="AC16" s="164">
        <v>43498</v>
      </c>
      <c r="AD16" s="49" t="s">
        <v>102</v>
      </c>
      <c r="AE16" s="4">
        <v>12349.92</v>
      </c>
      <c r="AF16" s="119">
        <v>108500</v>
      </c>
      <c r="AG16" s="120">
        <v>6566.65</v>
      </c>
      <c r="AN16" s="42"/>
      <c r="AO16" s="133" t="s">
        <v>13</v>
      </c>
      <c r="AP16" s="132">
        <f>SUM(AP5:AP15)</f>
        <v>50080</v>
      </c>
    </row>
    <row r="17" spans="1:42" ht="16.5" thickBot="1" x14ac:dyDescent="0.3">
      <c r="A17" s="21"/>
      <c r="B17" s="27">
        <v>43484</v>
      </c>
      <c r="C17" s="22">
        <v>11228.6</v>
      </c>
      <c r="D17" s="43" t="s">
        <v>53</v>
      </c>
      <c r="E17" s="29">
        <v>43484</v>
      </c>
      <c r="F17" s="92">
        <v>116916.14</v>
      </c>
      <c r="H17" s="24">
        <v>43484</v>
      </c>
      <c r="I17" s="45">
        <v>0</v>
      </c>
      <c r="J17" s="36"/>
      <c r="K17" s="148"/>
      <c r="L17" s="135">
        <v>0</v>
      </c>
      <c r="M17" s="146">
        <v>99239</v>
      </c>
      <c r="N17" s="120">
        <v>92.4</v>
      </c>
      <c r="Q17" s="101"/>
      <c r="R17" s="101"/>
      <c r="S17" s="184"/>
      <c r="T17" s="21"/>
      <c r="U17" s="27">
        <v>43484</v>
      </c>
      <c r="V17" s="22">
        <v>11228.6</v>
      </c>
      <c r="W17" s="43" t="s">
        <v>53</v>
      </c>
      <c r="X17" s="29">
        <v>43484</v>
      </c>
      <c r="Y17" s="92">
        <v>116916.14</v>
      </c>
      <c r="AA17" s="24">
        <v>43484</v>
      </c>
      <c r="AB17" s="45">
        <v>0</v>
      </c>
      <c r="AC17" s="36"/>
      <c r="AD17" s="148"/>
      <c r="AE17" s="135">
        <v>0</v>
      </c>
      <c r="AF17" s="146">
        <v>99239</v>
      </c>
      <c r="AG17" s="120">
        <v>92.4</v>
      </c>
      <c r="AJ17" s="101"/>
      <c r="AN17" s="42"/>
      <c r="AO17" s="25"/>
      <c r="AP17" s="26"/>
    </row>
    <row r="18" spans="1:42" ht="15.75" thickBot="1" x14ac:dyDescent="0.3">
      <c r="A18" s="21"/>
      <c r="B18" s="27">
        <v>43485</v>
      </c>
      <c r="C18" s="22">
        <v>0</v>
      </c>
      <c r="D18" s="23"/>
      <c r="E18" s="29">
        <v>43485</v>
      </c>
      <c r="F18" s="92">
        <v>77243.350000000006</v>
      </c>
      <c r="H18" s="24">
        <v>43485</v>
      </c>
      <c r="I18" s="30">
        <v>0</v>
      </c>
      <c r="J18" s="42"/>
      <c r="K18" s="149"/>
      <c r="L18" s="137">
        <v>0</v>
      </c>
      <c r="M18" s="146">
        <v>73542</v>
      </c>
      <c r="N18" s="120">
        <v>3701.46</v>
      </c>
      <c r="S18" s="179"/>
      <c r="T18" s="21"/>
      <c r="U18" s="27">
        <v>43485</v>
      </c>
      <c r="V18" s="22">
        <v>0</v>
      </c>
      <c r="W18" s="23"/>
      <c r="X18" s="29">
        <v>43485</v>
      </c>
      <c r="Y18" s="92">
        <v>77243.350000000006</v>
      </c>
      <c r="AA18" s="24">
        <v>43485</v>
      </c>
      <c r="AB18" s="30">
        <v>0</v>
      </c>
      <c r="AC18" s="42"/>
      <c r="AD18" s="149"/>
      <c r="AE18" s="137">
        <v>0</v>
      </c>
      <c r="AF18" s="146">
        <v>73542</v>
      </c>
      <c r="AG18" s="120">
        <v>3701.46</v>
      </c>
      <c r="AN18" s="42"/>
      <c r="AO18" s="25"/>
      <c r="AP18" s="26"/>
    </row>
    <row r="19" spans="1:42" ht="15.75" thickBot="1" x14ac:dyDescent="0.3">
      <c r="A19" s="21"/>
      <c r="B19" s="27">
        <v>43486</v>
      </c>
      <c r="C19" s="22">
        <v>548</v>
      </c>
      <c r="D19" s="43" t="s">
        <v>54</v>
      </c>
      <c r="E19" s="29">
        <v>43486</v>
      </c>
      <c r="F19" s="92">
        <v>67045.05</v>
      </c>
      <c r="H19" s="24">
        <v>43486</v>
      </c>
      <c r="I19" s="30">
        <v>0</v>
      </c>
      <c r="J19" s="7"/>
      <c r="K19" s="150" t="s">
        <v>33</v>
      </c>
      <c r="L19" s="137">
        <v>0</v>
      </c>
      <c r="M19" s="146">
        <v>63292.5</v>
      </c>
      <c r="N19" s="120">
        <v>571.20000000000005</v>
      </c>
      <c r="P19" s="5" t="s">
        <v>7</v>
      </c>
      <c r="S19" s="179"/>
      <c r="T19" s="21"/>
      <c r="U19" s="27">
        <v>43486</v>
      </c>
      <c r="V19" s="22">
        <v>548</v>
      </c>
      <c r="W19" s="43" t="s">
        <v>54</v>
      </c>
      <c r="X19" s="29">
        <v>43486</v>
      </c>
      <c r="Y19" s="92">
        <v>67045.05</v>
      </c>
      <c r="AA19" s="24">
        <v>43486</v>
      </c>
      <c r="AB19" s="30">
        <v>0</v>
      </c>
      <c r="AC19" s="7"/>
      <c r="AD19" s="150" t="s">
        <v>33</v>
      </c>
      <c r="AE19" s="137">
        <v>0</v>
      </c>
      <c r="AF19" s="146">
        <v>63292.5</v>
      </c>
      <c r="AG19" s="120">
        <v>571.20000000000005</v>
      </c>
      <c r="AI19" s="5" t="s">
        <v>7</v>
      </c>
      <c r="AO19" s="25"/>
      <c r="AP19" s="4"/>
    </row>
    <row r="20" spans="1:42" ht="15.75" thickBot="1" x14ac:dyDescent="0.3">
      <c r="A20" s="21"/>
      <c r="B20" s="27">
        <v>43487</v>
      </c>
      <c r="C20" s="22">
        <v>0</v>
      </c>
      <c r="D20" s="23"/>
      <c r="E20" s="29">
        <v>43487</v>
      </c>
      <c r="F20" s="92">
        <v>74345.08</v>
      </c>
      <c r="H20" s="24">
        <v>43487</v>
      </c>
      <c r="I20" s="30">
        <v>180</v>
      </c>
      <c r="J20" s="42">
        <v>43472</v>
      </c>
      <c r="K20" s="149" t="s">
        <v>34</v>
      </c>
      <c r="L20" s="135">
        <v>450</v>
      </c>
      <c r="M20" s="146">
        <f>58306+15000</f>
        <v>73306</v>
      </c>
      <c r="N20" s="120">
        <v>859.15</v>
      </c>
      <c r="P20" s="5"/>
      <c r="S20" s="179"/>
      <c r="T20" s="21"/>
      <c r="U20" s="27">
        <v>43487</v>
      </c>
      <c r="V20" s="22">
        <v>0</v>
      </c>
      <c r="W20" s="23"/>
      <c r="X20" s="29">
        <v>43487</v>
      </c>
      <c r="Y20" s="92">
        <v>74345.08</v>
      </c>
      <c r="AA20" s="24">
        <v>43487</v>
      </c>
      <c r="AB20" s="30">
        <v>180</v>
      </c>
      <c r="AC20" s="42">
        <v>43472</v>
      </c>
      <c r="AD20" s="149" t="s">
        <v>34</v>
      </c>
      <c r="AE20" s="135">
        <v>450</v>
      </c>
      <c r="AF20" s="146">
        <f>58306+15000</f>
        <v>73306</v>
      </c>
      <c r="AG20" s="120">
        <v>859.15</v>
      </c>
      <c r="AI20" s="5"/>
      <c r="AO20" s="121"/>
      <c r="AP20" s="124"/>
    </row>
    <row r="21" spans="1:42" ht="20.25" thickTop="1" thickBot="1" x14ac:dyDescent="0.35">
      <c r="A21" s="21"/>
      <c r="B21" s="27">
        <v>43488</v>
      </c>
      <c r="C21" s="22">
        <v>2207</v>
      </c>
      <c r="D21" s="23" t="s">
        <v>55</v>
      </c>
      <c r="E21" s="29">
        <v>43488</v>
      </c>
      <c r="F21" s="92">
        <v>81642.62</v>
      </c>
      <c r="H21" s="24">
        <v>43488</v>
      </c>
      <c r="I21" s="30">
        <f>2000+5020+300.19+103.5</f>
        <v>7423.69</v>
      </c>
      <c r="J21" s="44">
        <v>43477</v>
      </c>
      <c r="K21" s="151" t="s">
        <v>44</v>
      </c>
      <c r="L21" s="152">
        <v>0</v>
      </c>
      <c r="M21" s="146">
        <v>56800</v>
      </c>
      <c r="N21" s="120">
        <v>217.26</v>
      </c>
      <c r="P21" s="5">
        <v>5.33</v>
      </c>
      <c r="S21" s="179"/>
      <c r="T21" s="21"/>
      <c r="U21" s="27">
        <v>43488</v>
      </c>
      <c r="V21" s="22">
        <v>2207</v>
      </c>
      <c r="W21" s="23" t="s">
        <v>55</v>
      </c>
      <c r="X21" s="29">
        <v>43488</v>
      </c>
      <c r="Y21" s="92">
        <v>81642.62</v>
      </c>
      <c r="AA21" s="24">
        <v>43488</v>
      </c>
      <c r="AB21" s="123">
        <f>2000+5020+300.19+103.5</f>
        <v>7423.69</v>
      </c>
      <c r="AC21" s="44">
        <v>43477</v>
      </c>
      <c r="AD21" s="151" t="s">
        <v>44</v>
      </c>
      <c r="AE21" s="152">
        <v>3000</v>
      </c>
      <c r="AF21" s="146">
        <v>56800</v>
      </c>
      <c r="AG21" s="120">
        <v>217.26</v>
      </c>
      <c r="AI21" s="5">
        <v>5.33</v>
      </c>
      <c r="AO21" s="390" t="s">
        <v>56</v>
      </c>
      <c r="AP21" s="391"/>
    </row>
    <row r="22" spans="1:42" ht="15.75" thickBot="1" x14ac:dyDescent="0.3">
      <c r="A22" s="21"/>
      <c r="B22" s="27">
        <v>43489</v>
      </c>
      <c r="C22" s="22">
        <v>8766.52</v>
      </c>
      <c r="D22" s="23" t="s">
        <v>57</v>
      </c>
      <c r="E22" s="29">
        <v>43489</v>
      </c>
      <c r="F22" s="92">
        <v>63055.13</v>
      </c>
      <c r="H22" s="24">
        <v>43489</v>
      </c>
      <c r="I22" s="30">
        <v>5154</v>
      </c>
      <c r="J22" s="34">
        <v>43478</v>
      </c>
      <c r="K22" s="153" t="s">
        <v>46</v>
      </c>
      <c r="L22" s="135">
        <v>30000</v>
      </c>
      <c r="M22" s="146">
        <v>48180</v>
      </c>
      <c r="N22" s="120">
        <v>950.64</v>
      </c>
      <c r="P22" s="108">
        <v>-4</v>
      </c>
      <c r="S22" s="179"/>
      <c r="T22" s="21"/>
      <c r="U22" s="27">
        <v>43489</v>
      </c>
      <c r="V22" s="22">
        <v>8766.52</v>
      </c>
      <c r="W22" s="23" t="s">
        <v>57</v>
      </c>
      <c r="X22" s="29">
        <v>43489</v>
      </c>
      <c r="Y22" s="92">
        <v>63055.13</v>
      </c>
      <c r="AA22" s="24">
        <v>43489</v>
      </c>
      <c r="AB22" s="123">
        <v>5154</v>
      </c>
      <c r="AC22" s="34">
        <v>43478</v>
      </c>
      <c r="AD22" s="153" t="s">
        <v>46</v>
      </c>
      <c r="AE22" s="135">
        <v>30000</v>
      </c>
      <c r="AF22" s="146">
        <v>48180</v>
      </c>
      <c r="AG22" s="120">
        <v>950.64</v>
      </c>
      <c r="AI22" s="108">
        <v>-4</v>
      </c>
      <c r="AN22" s="107">
        <v>43474</v>
      </c>
      <c r="AO22" s="25" t="s">
        <v>39</v>
      </c>
      <c r="AP22" s="125">
        <v>2000</v>
      </c>
    </row>
    <row r="23" spans="1:42" ht="15.75" thickBot="1" x14ac:dyDescent="0.3">
      <c r="A23" s="21"/>
      <c r="B23" s="27">
        <v>43490</v>
      </c>
      <c r="C23" s="22">
        <v>19458</v>
      </c>
      <c r="D23" s="23" t="s">
        <v>57</v>
      </c>
      <c r="E23" s="29">
        <v>43490</v>
      </c>
      <c r="F23" s="92">
        <v>113630.19</v>
      </c>
      <c r="H23" s="24">
        <v>43490</v>
      </c>
      <c r="I23" s="30">
        <v>186</v>
      </c>
      <c r="J23" s="95">
        <v>43486</v>
      </c>
      <c r="K23" s="154" t="s">
        <v>12</v>
      </c>
      <c r="L23" s="135">
        <v>2633.3</v>
      </c>
      <c r="M23" s="146">
        <v>65755</v>
      </c>
      <c r="N23" s="120">
        <v>2720.73</v>
      </c>
      <c r="P23" s="5"/>
      <c r="S23" s="179"/>
      <c r="T23" s="21"/>
      <c r="U23" s="27">
        <v>43490</v>
      </c>
      <c r="V23" s="22">
        <v>19458</v>
      </c>
      <c r="W23" s="23" t="s">
        <v>57</v>
      </c>
      <c r="X23" s="29">
        <v>43490</v>
      </c>
      <c r="Y23" s="92">
        <v>113630.19</v>
      </c>
      <c r="AA23" s="24">
        <v>43490</v>
      </c>
      <c r="AB23" s="30">
        <v>186</v>
      </c>
      <c r="AC23" s="95">
        <v>43486</v>
      </c>
      <c r="AD23" s="154" t="s">
        <v>12</v>
      </c>
      <c r="AE23" s="135">
        <v>2633.3</v>
      </c>
      <c r="AF23" s="146">
        <v>65755</v>
      </c>
      <c r="AG23" s="120">
        <v>2720.73</v>
      </c>
      <c r="AI23" s="5"/>
      <c r="AN23" s="42">
        <v>43481</v>
      </c>
      <c r="AO23" s="102" t="s">
        <v>39</v>
      </c>
      <c r="AP23" s="103">
        <v>2000</v>
      </c>
    </row>
    <row r="24" spans="1:42" ht="15.75" thickBot="1" x14ac:dyDescent="0.3">
      <c r="A24" s="21"/>
      <c r="B24" s="27">
        <v>43491</v>
      </c>
      <c r="C24" s="22">
        <v>12648</v>
      </c>
      <c r="D24" s="23" t="s">
        <v>57</v>
      </c>
      <c r="E24" s="29">
        <v>43491</v>
      </c>
      <c r="F24" s="92">
        <v>105143.63</v>
      </c>
      <c r="H24" s="24">
        <v>43491</v>
      </c>
      <c r="I24" s="30">
        <v>485.6</v>
      </c>
      <c r="J24" s="46">
        <v>43488</v>
      </c>
      <c r="K24" s="155" t="s">
        <v>46</v>
      </c>
      <c r="L24" s="135">
        <v>15000</v>
      </c>
      <c r="M24" s="146">
        <v>83380</v>
      </c>
      <c r="N24" s="120">
        <v>871.4</v>
      </c>
      <c r="P24" s="5"/>
      <c r="S24" s="179"/>
      <c r="T24" s="21"/>
      <c r="U24" s="27">
        <v>43491</v>
      </c>
      <c r="V24" s="22">
        <v>12648</v>
      </c>
      <c r="W24" s="23" t="s">
        <v>57</v>
      </c>
      <c r="X24" s="29">
        <v>43491</v>
      </c>
      <c r="Y24" s="92">
        <v>105143.63</v>
      </c>
      <c r="AA24" s="24">
        <v>43491</v>
      </c>
      <c r="AB24" s="30">
        <v>485.6</v>
      </c>
      <c r="AC24" s="46">
        <v>43488</v>
      </c>
      <c r="AD24" s="155" t="s">
        <v>46</v>
      </c>
      <c r="AE24" s="135">
        <v>15000</v>
      </c>
      <c r="AF24" s="146">
        <v>83380</v>
      </c>
      <c r="AG24" s="120">
        <v>871.4</v>
      </c>
      <c r="AI24" s="5"/>
      <c r="AN24" s="42">
        <v>43488</v>
      </c>
      <c r="AO24" s="102" t="s">
        <v>39</v>
      </c>
      <c r="AP24" s="103">
        <v>2000</v>
      </c>
    </row>
    <row r="25" spans="1:42" ht="15.75" thickBot="1" x14ac:dyDescent="0.3">
      <c r="A25" s="21"/>
      <c r="B25" s="27">
        <v>43492</v>
      </c>
      <c r="C25" s="22">
        <v>1020</v>
      </c>
      <c r="D25" s="23" t="s">
        <v>49</v>
      </c>
      <c r="E25" s="29">
        <v>43492</v>
      </c>
      <c r="F25" s="92">
        <v>71271.72</v>
      </c>
      <c r="H25" s="24">
        <v>43492</v>
      </c>
      <c r="I25" s="30">
        <v>250</v>
      </c>
      <c r="J25" s="109">
        <v>43495</v>
      </c>
      <c r="K25" s="155" t="s">
        <v>46</v>
      </c>
      <c r="L25" s="135">
        <v>11340</v>
      </c>
      <c r="M25" s="146">
        <v>64460</v>
      </c>
      <c r="N25" s="120">
        <v>3458.8</v>
      </c>
      <c r="S25" s="179"/>
      <c r="T25" s="21"/>
      <c r="U25" s="27">
        <v>43492</v>
      </c>
      <c r="V25" s="22">
        <v>1020</v>
      </c>
      <c r="W25" s="23" t="s">
        <v>49</v>
      </c>
      <c r="X25" s="29">
        <v>43492</v>
      </c>
      <c r="Y25" s="92">
        <v>71271.72</v>
      </c>
      <c r="AA25" s="24">
        <v>43492</v>
      </c>
      <c r="AB25" s="30">
        <v>250</v>
      </c>
      <c r="AC25" s="109">
        <v>43495</v>
      </c>
      <c r="AD25" s="155" t="s">
        <v>46</v>
      </c>
      <c r="AE25" s="135">
        <v>11340</v>
      </c>
      <c r="AF25" s="146">
        <v>64460</v>
      </c>
      <c r="AG25" s="120">
        <v>3458.8</v>
      </c>
      <c r="AN25" s="163">
        <v>43497</v>
      </c>
      <c r="AO25" s="102" t="s">
        <v>39</v>
      </c>
      <c r="AP25" s="104">
        <v>2000</v>
      </c>
    </row>
    <row r="26" spans="1:42" ht="15.75" thickBot="1" x14ac:dyDescent="0.3">
      <c r="A26" s="21"/>
      <c r="B26" s="27">
        <v>43493</v>
      </c>
      <c r="C26" s="22">
        <v>0</v>
      </c>
      <c r="D26" s="23"/>
      <c r="E26" s="29">
        <v>43493</v>
      </c>
      <c r="F26" s="92">
        <v>68347.490000000005</v>
      </c>
      <c r="H26" s="24">
        <v>43493</v>
      </c>
      <c r="I26" s="30">
        <v>216.5</v>
      </c>
      <c r="J26" s="4"/>
      <c r="K26" s="148" t="s">
        <v>100</v>
      </c>
      <c r="L26" s="135">
        <v>8000</v>
      </c>
      <c r="M26" s="146">
        <v>67728</v>
      </c>
      <c r="N26" s="120">
        <v>402.76</v>
      </c>
      <c r="S26" s="179"/>
      <c r="T26" s="21"/>
      <c r="U26" s="27">
        <v>43493</v>
      </c>
      <c r="V26" s="22">
        <v>0</v>
      </c>
      <c r="W26" s="23"/>
      <c r="X26" s="29">
        <v>43493</v>
      </c>
      <c r="Y26" s="92">
        <v>68347.490000000005</v>
      </c>
      <c r="AA26" s="24">
        <v>43493</v>
      </c>
      <c r="AB26" s="30">
        <v>216.5</v>
      </c>
      <c r="AC26" s="4"/>
      <c r="AD26" s="148" t="s">
        <v>100</v>
      </c>
      <c r="AE26" s="135">
        <v>8000</v>
      </c>
      <c r="AF26" s="146">
        <v>67728</v>
      </c>
      <c r="AG26" s="120">
        <v>402.76</v>
      </c>
      <c r="AN26" s="163">
        <v>43504</v>
      </c>
      <c r="AO26" s="102" t="s">
        <v>39</v>
      </c>
      <c r="AP26" s="104">
        <v>2000</v>
      </c>
    </row>
    <row r="27" spans="1:42" ht="15.75" thickBot="1" x14ac:dyDescent="0.3">
      <c r="A27" s="21"/>
      <c r="B27" s="27">
        <v>43494</v>
      </c>
      <c r="C27" s="22">
        <v>3004</v>
      </c>
      <c r="D27" s="43" t="s">
        <v>59</v>
      </c>
      <c r="E27" s="29">
        <v>43494</v>
      </c>
      <c r="F27" s="92">
        <v>46964.480000000003</v>
      </c>
      <c r="H27" s="24">
        <v>43494</v>
      </c>
      <c r="I27" s="30">
        <v>0</v>
      </c>
      <c r="J27" s="4"/>
      <c r="K27" s="148"/>
      <c r="L27" s="135">
        <v>0</v>
      </c>
      <c r="M27" s="146">
        <v>43511.5</v>
      </c>
      <c r="N27" s="120">
        <v>448.82</v>
      </c>
      <c r="S27" s="179"/>
      <c r="T27" s="21"/>
      <c r="U27" s="27">
        <v>43494</v>
      </c>
      <c r="V27" s="22">
        <v>3004</v>
      </c>
      <c r="W27" s="43" t="s">
        <v>59</v>
      </c>
      <c r="X27" s="29">
        <v>43494</v>
      </c>
      <c r="Y27" s="92">
        <v>46964.480000000003</v>
      </c>
      <c r="AA27" s="24">
        <v>43494</v>
      </c>
      <c r="AB27" s="30">
        <v>0</v>
      </c>
      <c r="AC27" s="4"/>
      <c r="AD27" s="148"/>
      <c r="AE27" s="135">
        <v>0</v>
      </c>
      <c r="AF27" s="146">
        <v>43511.5</v>
      </c>
      <c r="AG27" s="120">
        <v>448.82</v>
      </c>
      <c r="AN27" s="6"/>
      <c r="AO27" s="127"/>
      <c r="AP27" s="128">
        <v>0</v>
      </c>
    </row>
    <row r="28" spans="1:42" ht="15.75" thickBot="1" x14ac:dyDescent="0.3">
      <c r="A28" s="21"/>
      <c r="B28" s="27">
        <v>43495</v>
      </c>
      <c r="C28" s="22">
        <v>9022</v>
      </c>
      <c r="D28" s="23" t="s">
        <v>43</v>
      </c>
      <c r="E28" s="29">
        <v>43495</v>
      </c>
      <c r="F28" s="92">
        <v>58320.56</v>
      </c>
      <c r="H28" s="24">
        <v>43495</v>
      </c>
      <c r="I28" s="30">
        <v>430.5</v>
      </c>
      <c r="J28" s="4" t="s">
        <v>7</v>
      </c>
      <c r="K28" s="156"/>
      <c r="L28" s="135">
        <v>0</v>
      </c>
      <c r="M28" s="146">
        <v>36637.5</v>
      </c>
      <c r="N28" s="120">
        <v>890.62</v>
      </c>
      <c r="S28" s="179"/>
      <c r="T28" s="21"/>
      <c r="U28" s="27">
        <v>43495</v>
      </c>
      <c r="V28" s="22">
        <v>9022</v>
      </c>
      <c r="W28" s="23" t="s">
        <v>43</v>
      </c>
      <c r="X28" s="29">
        <v>43495</v>
      </c>
      <c r="Y28" s="92">
        <v>58320.56</v>
      </c>
      <c r="AA28" s="24">
        <v>43495</v>
      </c>
      <c r="AB28" s="30">
        <v>430.5</v>
      </c>
      <c r="AC28" s="4" t="s">
        <v>7</v>
      </c>
      <c r="AD28" s="156"/>
      <c r="AE28" s="135">
        <v>0</v>
      </c>
      <c r="AF28" s="146">
        <v>36637.5</v>
      </c>
      <c r="AG28" s="120">
        <v>890.62</v>
      </c>
      <c r="AN28" s="6"/>
      <c r="AO28" s="127"/>
      <c r="AP28" s="128">
        <v>0</v>
      </c>
    </row>
    <row r="29" spans="1:42" ht="15.75" thickBot="1" x14ac:dyDescent="0.3">
      <c r="A29" s="21"/>
      <c r="B29" s="27">
        <v>43496</v>
      </c>
      <c r="C29" s="47">
        <v>1674</v>
      </c>
      <c r="D29" s="43" t="s">
        <v>60</v>
      </c>
      <c r="E29" s="114">
        <v>43496</v>
      </c>
      <c r="F29" s="48">
        <v>64446.65</v>
      </c>
      <c r="H29" s="24">
        <v>43496</v>
      </c>
      <c r="I29" s="115">
        <v>10000</v>
      </c>
      <c r="J29" s="4"/>
      <c r="K29" s="157"/>
      <c r="L29" s="137">
        <v>0</v>
      </c>
      <c r="M29" s="281">
        <v>32370</v>
      </c>
      <c r="N29" s="282">
        <v>402.48</v>
      </c>
      <c r="S29" s="179"/>
      <c r="T29" s="21"/>
      <c r="U29" s="27">
        <v>43496</v>
      </c>
      <c r="V29" s="47">
        <v>1674</v>
      </c>
      <c r="W29" s="43" t="s">
        <v>60</v>
      </c>
      <c r="X29" s="114">
        <v>43496</v>
      </c>
      <c r="Y29" s="48">
        <v>64446.65</v>
      </c>
      <c r="AA29" s="24">
        <v>43496</v>
      </c>
      <c r="AB29" s="115">
        <v>10000</v>
      </c>
      <c r="AC29" s="4"/>
      <c r="AD29" s="157"/>
      <c r="AE29" s="137">
        <v>0</v>
      </c>
      <c r="AF29" s="146">
        <v>32370</v>
      </c>
      <c r="AG29" s="120">
        <v>402.48</v>
      </c>
      <c r="AN29" s="6"/>
      <c r="AO29" s="127"/>
      <c r="AP29" s="129">
        <v>0</v>
      </c>
    </row>
    <row r="30" spans="1:42" ht="19.5" thickBot="1" x14ac:dyDescent="0.35">
      <c r="A30" s="21"/>
      <c r="B30" s="159">
        <v>43497</v>
      </c>
      <c r="C30" s="104">
        <v>14954.3</v>
      </c>
      <c r="D30" s="43" t="s">
        <v>101</v>
      </c>
      <c r="E30" s="188">
        <v>43497</v>
      </c>
      <c r="F30" s="104">
        <v>122733.14</v>
      </c>
      <c r="H30" s="187">
        <v>43497</v>
      </c>
      <c r="I30" s="104" t="s">
        <v>7</v>
      </c>
      <c r="J30" s="4"/>
      <c r="K30" s="157"/>
      <c r="L30" s="158"/>
      <c r="M30" s="291">
        <v>99186</v>
      </c>
      <c r="N30" s="282">
        <v>1212.1199999999999</v>
      </c>
      <c r="P30" s="4">
        <v>2619</v>
      </c>
      <c r="Q30" s="25" t="s">
        <v>103</v>
      </c>
      <c r="R30" s="25"/>
      <c r="S30" s="183"/>
      <c r="T30" s="21"/>
      <c r="U30" s="159">
        <v>43497</v>
      </c>
      <c r="V30" s="104">
        <v>14954.3</v>
      </c>
      <c r="W30" s="43" t="s">
        <v>101</v>
      </c>
      <c r="X30" s="160">
        <v>43497</v>
      </c>
      <c r="Y30" s="104">
        <v>122733.14</v>
      </c>
      <c r="AA30" s="162">
        <v>43497</v>
      </c>
      <c r="AB30" s="104">
        <v>2000</v>
      </c>
      <c r="AC30" s="4"/>
      <c r="AD30" s="157"/>
      <c r="AE30" s="158"/>
      <c r="AF30" s="165">
        <v>99186</v>
      </c>
      <c r="AG30" s="166">
        <v>1212.1199999999999</v>
      </c>
      <c r="AI30" s="4">
        <v>2619</v>
      </c>
      <c r="AJ30" s="25" t="s">
        <v>103</v>
      </c>
      <c r="AO30" s="130" t="s">
        <v>13</v>
      </c>
      <c r="AP30" s="131">
        <f>SUM(AP22:AP29)</f>
        <v>10000</v>
      </c>
    </row>
    <row r="31" spans="1:42" ht="15.75" thickBot="1" x14ac:dyDescent="0.3">
      <c r="A31" s="21"/>
      <c r="B31" s="159">
        <v>43498</v>
      </c>
      <c r="C31" s="104">
        <v>17568.36</v>
      </c>
      <c r="D31" s="43" t="s">
        <v>43</v>
      </c>
      <c r="E31" s="188">
        <v>43498</v>
      </c>
      <c r="F31" s="104">
        <v>97671.14</v>
      </c>
      <c r="H31" s="187">
        <v>43498</v>
      </c>
      <c r="I31" s="104">
        <v>5043</v>
      </c>
      <c r="J31" s="4"/>
      <c r="K31" s="157"/>
      <c r="L31" s="158"/>
      <c r="M31" s="281">
        <v>58404.5</v>
      </c>
      <c r="N31" s="282">
        <v>1686.21</v>
      </c>
      <c r="P31" s="167">
        <v>-2619</v>
      </c>
      <c r="Q31" s="25" t="s">
        <v>105</v>
      </c>
      <c r="R31" s="25"/>
      <c r="S31" s="183"/>
      <c r="T31" s="21"/>
      <c r="U31" s="159">
        <v>43498</v>
      </c>
      <c r="V31" s="104">
        <v>17568.36</v>
      </c>
      <c r="W31" s="43" t="s">
        <v>43</v>
      </c>
      <c r="X31" s="160">
        <v>43498</v>
      </c>
      <c r="Y31" s="104">
        <v>97671.14</v>
      </c>
      <c r="AA31" s="162">
        <v>43498</v>
      </c>
      <c r="AB31" s="104">
        <v>5043</v>
      </c>
      <c r="AC31" s="4"/>
      <c r="AD31" s="157"/>
      <c r="AE31" s="158"/>
      <c r="AF31" s="165">
        <v>58404.5</v>
      </c>
      <c r="AG31" s="166">
        <v>1686.21</v>
      </c>
      <c r="AI31" s="167">
        <v>-2619</v>
      </c>
      <c r="AJ31" s="25" t="s">
        <v>105</v>
      </c>
    </row>
    <row r="32" spans="1:42" ht="15.75" thickBot="1" x14ac:dyDescent="0.3">
      <c r="A32" s="21"/>
      <c r="B32" s="159">
        <v>43499</v>
      </c>
      <c r="C32" s="104">
        <v>1446</v>
      </c>
      <c r="D32" s="43" t="s">
        <v>104</v>
      </c>
      <c r="E32" s="188">
        <v>43499</v>
      </c>
      <c r="F32" s="104">
        <v>100215.15</v>
      </c>
      <c r="H32" s="187">
        <v>43499</v>
      </c>
      <c r="I32" s="104">
        <v>0</v>
      </c>
      <c r="J32" s="4"/>
      <c r="K32" s="157"/>
      <c r="L32" s="158"/>
      <c r="M32" s="281">
        <v>97852.5</v>
      </c>
      <c r="N32" s="282">
        <v>916.52</v>
      </c>
      <c r="S32" s="179"/>
      <c r="T32" s="21"/>
      <c r="U32" s="159">
        <v>43499</v>
      </c>
      <c r="V32" s="104">
        <v>1446</v>
      </c>
      <c r="W32" s="43" t="s">
        <v>104</v>
      </c>
      <c r="X32" s="160">
        <v>43499</v>
      </c>
      <c r="Y32" s="104">
        <v>100215.15</v>
      </c>
      <c r="AA32" s="162">
        <v>43499</v>
      </c>
      <c r="AB32" s="104">
        <v>0</v>
      </c>
      <c r="AC32" s="4"/>
      <c r="AD32" s="157"/>
      <c r="AE32" s="158"/>
      <c r="AF32" s="165">
        <v>97852.5</v>
      </c>
      <c r="AG32" s="166">
        <v>916.52</v>
      </c>
    </row>
    <row r="33" spans="1:35" ht="15.75" thickBot="1" x14ac:dyDescent="0.3">
      <c r="A33" s="21"/>
      <c r="B33" s="159">
        <v>43500</v>
      </c>
      <c r="C33" s="104">
        <v>804</v>
      </c>
      <c r="D33" s="43" t="s">
        <v>104</v>
      </c>
      <c r="E33" s="188">
        <v>43500</v>
      </c>
      <c r="F33" s="104">
        <v>56483</v>
      </c>
      <c r="H33" s="187">
        <v>43500</v>
      </c>
      <c r="I33" s="104">
        <v>0</v>
      </c>
      <c r="J33" s="4"/>
      <c r="K33" s="157"/>
      <c r="L33" s="158"/>
      <c r="M33" s="281">
        <v>54264</v>
      </c>
      <c r="N33" s="282">
        <v>1414.94</v>
      </c>
      <c r="S33" s="179"/>
      <c r="T33" s="21"/>
      <c r="U33" s="159">
        <v>43500</v>
      </c>
      <c r="V33" s="104">
        <v>804</v>
      </c>
      <c r="W33" s="43" t="s">
        <v>104</v>
      </c>
      <c r="X33" s="160">
        <v>43500</v>
      </c>
      <c r="Y33" s="104">
        <v>56483</v>
      </c>
      <c r="AA33" s="162">
        <v>43500</v>
      </c>
      <c r="AB33" s="104">
        <v>0</v>
      </c>
      <c r="AC33" s="4"/>
      <c r="AD33" s="157"/>
      <c r="AE33" s="158"/>
      <c r="AF33" s="165">
        <v>54264</v>
      </c>
      <c r="AG33" s="166">
        <v>1414.94</v>
      </c>
    </row>
    <row r="34" spans="1:35" ht="15.75" thickBot="1" x14ac:dyDescent="0.3">
      <c r="A34" s="21"/>
      <c r="B34" s="159">
        <v>43501</v>
      </c>
      <c r="C34" s="104">
        <v>1520</v>
      </c>
      <c r="D34" s="43" t="s">
        <v>106</v>
      </c>
      <c r="E34" s="188">
        <v>43501</v>
      </c>
      <c r="F34" s="104">
        <v>37600.69</v>
      </c>
      <c r="H34" s="187">
        <v>43501</v>
      </c>
      <c r="I34" s="104">
        <v>50</v>
      </c>
      <c r="J34" s="4"/>
      <c r="K34" s="157"/>
      <c r="L34" s="158"/>
      <c r="M34" s="281">
        <v>35965</v>
      </c>
      <c r="N34" s="282">
        <v>66.8</v>
      </c>
      <c r="S34" s="179"/>
      <c r="T34" s="21"/>
      <c r="U34" s="159">
        <v>43501</v>
      </c>
      <c r="V34" s="104">
        <v>1520</v>
      </c>
      <c r="W34" s="43" t="s">
        <v>106</v>
      </c>
      <c r="X34" s="160">
        <v>43501</v>
      </c>
      <c r="Y34" s="104">
        <v>37600.69</v>
      </c>
      <c r="AA34" s="162">
        <v>43501</v>
      </c>
      <c r="AB34" s="104">
        <v>50</v>
      </c>
      <c r="AC34" s="4"/>
      <c r="AD34" s="157"/>
      <c r="AE34" s="158"/>
      <c r="AF34" s="165">
        <v>35965</v>
      </c>
      <c r="AG34" s="166">
        <v>66.8</v>
      </c>
    </row>
    <row r="35" spans="1:35" ht="15.75" thickBot="1" x14ac:dyDescent="0.3">
      <c r="A35" s="21"/>
      <c r="B35" s="159">
        <v>43502</v>
      </c>
      <c r="C35" s="104">
        <v>6218.88</v>
      </c>
      <c r="D35" s="43" t="s">
        <v>43</v>
      </c>
      <c r="E35" s="188">
        <v>43502</v>
      </c>
      <c r="F35" s="104">
        <v>54752.29</v>
      </c>
      <c r="H35" s="187">
        <v>43502</v>
      </c>
      <c r="I35" s="104">
        <v>11021</v>
      </c>
      <c r="J35" s="4"/>
      <c r="K35" s="157"/>
      <c r="L35" s="158"/>
      <c r="M35" s="281">
        <f>34900+7</f>
        <v>34907</v>
      </c>
      <c r="N35" s="282">
        <v>2607.5500000000002</v>
      </c>
      <c r="S35" s="179"/>
      <c r="T35" s="21"/>
      <c r="U35" s="159">
        <v>43502</v>
      </c>
      <c r="V35" s="104">
        <v>6215.88</v>
      </c>
      <c r="W35" s="43" t="s">
        <v>43</v>
      </c>
      <c r="X35" s="160">
        <v>43502</v>
      </c>
      <c r="Y35" s="104">
        <v>54752.29</v>
      </c>
      <c r="AA35" s="162">
        <v>43502</v>
      </c>
      <c r="AB35" s="104">
        <v>11021</v>
      </c>
      <c r="AC35" s="4" t="s">
        <v>114</v>
      </c>
      <c r="AD35" s="157"/>
      <c r="AE35" s="158"/>
      <c r="AF35" s="165">
        <f>34900+7</f>
        <v>34907</v>
      </c>
      <c r="AG35" s="166">
        <v>2607.5500000000002</v>
      </c>
      <c r="AI35" s="167"/>
    </row>
    <row r="36" spans="1:35" ht="15.75" thickBot="1" x14ac:dyDescent="0.3">
      <c r="A36" s="21"/>
      <c r="B36" s="159">
        <v>43503</v>
      </c>
      <c r="C36" s="104">
        <v>11457.4</v>
      </c>
      <c r="D36" s="43" t="s">
        <v>57</v>
      </c>
      <c r="E36" s="188">
        <v>43503</v>
      </c>
      <c r="F36" s="104">
        <v>68462.37</v>
      </c>
      <c r="H36" s="187">
        <v>43503</v>
      </c>
      <c r="I36" s="104">
        <v>275.85000000000002</v>
      </c>
      <c r="J36" s="4"/>
      <c r="K36" s="157"/>
      <c r="L36" s="158"/>
      <c r="M36" s="281">
        <v>56554</v>
      </c>
      <c r="N36" s="282">
        <v>175.52</v>
      </c>
      <c r="S36" s="179"/>
      <c r="T36" s="21"/>
      <c r="U36" s="159">
        <v>43503</v>
      </c>
      <c r="V36" s="104">
        <v>11457.4</v>
      </c>
      <c r="W36" s="43" t="s">
        <v>57</v>
      </c>
      <c r="X36" s="160">
        <v>43503</v>
      </c>
      <c r="Y36" s="104">
        <v>68462.37</v>
      </c>
      <c r="AA36" s="162">
        <v>43503</v>
      </c>
      <c r="AB36" s="104">
        <v>275.85000000000002</v>
      </c>
      <c r="AC36" s="4"/>
      <c r="AD36" s="157"/>
      <c r="AE36" s="158"/>
      <c r="AF36" s="165">
        <v>54554</v>
      </c>
      <c r="AG36" s="166">
        <v>175.52</v>
      </c>
    </row>
    <row r="37" spans="1:35" x14ac:dyDescent="0.25">
      <c r="A37" s="21"/>
      <c r="B37" s="159">
        <v>43504</v>
      </c>
      <c r="C37" s="104">
        <v>0</v>
      </c>
      <c r="D37" s="43"/>
      <c r="E37" s="189">
        <v>43504</v>
      </c>
      <c r="F37" s="104">
        <v>82089.399999999994</v>
      </c>
      <c r="H37" s="187">
        <v>43504</v>
      </c>
      <c r="I37" s="104">
        <v>2033</v>
      </c>
      <c r="J37" s="4"/>
      <c r="K37" s="157"/>
      <c r="L37" s="158"/>
      <c r="M37" s="281">
        <f>74457.5+604</f>
        <v>75061.5</v>
      </c>
      <c r="N37" s="282">
        <v>4992.67</v>
      </c>
      <c r="S37" s="179"/>
      <c r="T37" s="21"/>
      <c r="U37" s="159">
        <v>43504</v>
      </c>
      <c r="V37" s="104"/>
      <c r="W37" s="43"/>
      <c r="X37" s="161">
        <v>43504</v>
      </c>
      <c r="Y37" s="104"/>
      <c r="AA37" s="162">
        <v>43504</v>
      </c>
      <c r="AB37" s="104"/>
      <c r="AC37" s="4"/>
      <c r="AD37" s="157"/>
      <c r="AE37" s="158"/>
      <c r="AF37" s="165"/>
      <c r="AG37" s="166"/>
    </row>
    <row r="38" spans="1:35" ht="16.5" thickBot="1" x14ac:dyDescent="0.3">
      <c r="A38" s="49"/>
      <c r="B38" s="50"/>
      <c r="C38" s="51">
        <v>0</v>
      </c>
      <c r="D38" s="19"/>
      <c r="E38" s="52"/>
      <c r="F38" s="53">
        <v>0</v>
      </c>
      <c r="H38" s="116"/>
      <c r="I38" s="117">
        <v>0</v>
      </c>
      <c r="K38" s="54"/>
      <c r="L38" s="55"/>
      <c r="M38" s="118">
        <f>SUM(M5:M37)</f>
        <v>2153556.5</v>
      </c>
      <c r="N38" s="118">
        <f>SUM(N5:N37)</f>
        <v>51610.430000000015</v>
      </c>
      <c r="O38" s="111"/>
      <c r="S38" s="179"/>
      <c r="T38" s="49"/>
      <c r="U38" s="50"/>
      <c r="V38" s="51">
        <v>0</v>
      </c>
      <c r="W38" s="19"/>
      <c r="X38" s="52"/>
      <c r="Y38" s="53">
        <v>0</v>
      </c>
      <c r="AA38" s="116"/>
      <c r="AB38" s="117">
        <v>0</v>
      </c>
      <c r="AD38" s="54"/>
      <c r="AE38" s="55"/>
      <c r="AF38" s="118">
        <f>SUM(AF5:AF36)</f>
        <v>2073495</v>
      </c>
      <c r="AG38" s="118">
        <f>SUM(AG5:AG36)</f>
        <v>46617.760000000017</v>
      </c>
      <c r="AH38" s="111"/>
    </row>
    <row r="39" spans="1:35" x14ac:dyDescent="0.25">
      <c r="B39" s="56" t="s">
        <v>13</v>
      </c>
      <c r="C39" s="57">
        <f>SUM(C5:C38)</f>
        <v>185904.05999999997</v>
      </c>
      <c r="E39" s="58" t="s">
        <v>13</v>
      </c>
      <c r="F39" s="59">
        <f>SUM(F5:F38)</f>
        <v>2637812.5699999998</v>
      </c>
      <c r="H39" s="6" t="s">
        <v>13</v>
      </c>
      <c r="I39" s="4">
        <f>SUM(I5:I38)</f>
        <v>64299.689999999995</v>
      </c>
      <c r="J39" s="4"/>
      <c r="K39" s="60" t="s">
        <v>13</v>
      </c>
      <c r="L39" s="40">
        <f>SUM(L5:L38)</f>
        <v>182264.58999999997</v>
      </c>
      <c r="Q39" s="5">
        <v>2637812.5699999998</v>
      </c>
      <c r="S39" s="179"/>
      <c r="U39" s="56" t="s">
        <v>13</v>
      </c>
      <c r="V39" s="57">
        <f>SUM(V5:V38)</f>
        <v>185901.05999999997</v>
      </c>
      <c r="X39" s="58" t="s">
        <v>13</v>
      </c>
      <c r="Y39" s="59">
        <f>SUM(Y5:Y38)</f>
        <v>2555723.17</v>
      </c>
      <c r="AA39" s="6" t="s">
        <v>13</v>
      </c>
      <c r="AB39" s="4">
        <f>SUM(AB5:AB38)</f>
        <v>64266.689999999995</v>
      </c>
      <c r="AC39" s="4"/>
      <c r="AD39" s="60" t="s">
        <v>13</v>
      </c>
      <c r="AE39" s="40">
        <f>SUM(AE5:AE38)</f>
        <v>185264.58999999997</v>
      </c>
    </row>
    <row r="40" spans="1:35" ht="15.75" thickBot="1" x14ac:dyDescent="0.3">
      <c r="Q40" s="5">
        <v>-251564.28</v>
      </c>
      <c r="S40" s="179"/>
    </row>
    <row r="41" spans="1:35" ht="15.75" x14ac:dyDescent="0.25">
      <c r="A41" s="25"/>
      <c r="B41" s="61"/>
      <c r="C41" s="4"/>
      <c r="H41" s="384" t="s">
        <v>14</v>
      </c>
      <c r="I41" s="385"/>
      <c r="J41" s="62"/>
      <c r="K41" s="386">
        <f>I39+L39</f>
        <v>246564.27999999997</v>
      </c>
      <c r="L41" s="405"/>
      <c r="M41" s="406" t="s">
        <v>278</v>
      </c>
      <c r="N41" s="407"/>
      <c r="Q41" s="5">
        <v>-185904.06</v>
      </c>
      <c r="S41" s="179"/>
      <c r="T41" s="25"/>
      <c r="U41" s="61"/>
      <c r="V41" s="4"/>
      <c r="AA41" s="384" t="s">
        <v>14</v>
      </c>
      <c r="AB41" s="385"/>
      <c r="AC41" s="62"/>
      <c r="AD41" s="386">
        <f>AB39+AE39</f>
        <v>249531.27999999997</v>
      </c>
      <c r="AE41" s="387"/>
    </row>
    <row r="42" spans="1:35" ht="15.75" x14ac:dyDescent="0.25">
      <c r="D42" s="393" t="s">
        <v>15</v>
      </c>
      <c r="E42" s="393"/>
      <c r="F42" s="110">
        <f>F39-K41</f>
        <v>2391248.29</v>
      </c>
      <c r="I42" s="63"/>
      <c r="J42" s="63"/>
      <c r="M42" s="408"/>
      <c r="N42" s="409"/>
      <c r="Q42" s="5">
        <v>0</v>
      </c>
      <c r="S42" s="179"/>
      <c r="W42" s="393" t="s">
        <v>15</v>
      </c>
      <c r="X42" s="393"/>
      <c r="Y42" s="110">
        <f>Y39-AD41</f>
        <v>2306191.89</v>
      </c>
      <c r="AB42" s="63"/>
      <c r="AC42" s="63"/>
    </row>
    <row r="43" spans="1:35" ht="18.75" x14ac:dyDescent="0.3">
      <c r="D43" s="394" t="s">
        <v>16</v>
      </c>
      <c r="E43" s="394"/>
      <c r="F43" s="110">
        <v>-2133806.67</v>
      </c>
      <c r="I43" s="395" t="s">
        <v>17</v>
      </c>
      <c r="J43" s="396"/>
      <c r="K43" s="397">
        <f>F48</f>
        <v>401595.14000000013</v>
      </c>
      <c r="L43" s="397"/>
      <c r="M43" s="408"/>
      <c r="N43" s="409"/>
      <c r="Q43" s="5">
        <f>SUM(Q39:Q42)</f>
        <v>2200344.23</v>
      </c>
      <c r="S43" s="179"/>
      <c r="W43" s="394" t="s">
        <v>16</v>
      </c>
      <c r="X43" s="394"/>
      <c r="Y43" s="110">
        <v>-1611430.46</v>
      </c>
      <c r="AB43" s="395" t="s">
        <v>17</v>
      </c>
      <c r="AC43" s="396"/>
      <c r="AD43" s="397">
        <f>Y48</f>
        <v>711930.66000000027</v>
      </c>
      <c r="AE43" s="398"/>
    </row>
    <row r="44" spans="1:35" ht="19.5" thickBot="1" x14ac:dyDescent="0.35">
      <c r="D44" s="64"/>
      <c r="E44" s="65" t="s">
        <v>18</v>
      </c>
      <c r="F44" s="66">
        <f>-C39</f>
        <v>-185904.05999999997</v>
      </c>
      <c r="I44" s="67"/>
      <c r="J44" s="67"/>
      <c r="K44" s="68"/>
      <c r="L44" s="68"/>
      <c r="M44" s="408"/>
      <c r="N44" s="409"/>
      <c r="Q44" s="5"/>
      <c r="S44" s="179"/>
      <c r="W44" s="64"/>
      <c r="X44" s="65" t="s">
        <v>18</v>
      </c>
      <c r="Y44" s="66">
        <f>-V39</f>
        <v>-185901.05999999997</v>
      </c>
      <c r="AB44" s="67"/>
      <c r="AC44" s="67"/>
      <c r="AD44" s="68"/>
      <c r="AE44" s="68"/>
    </row>
    <row r="45" spans="1:35" ht="20.25" thickTop="1" thickBot="1" x14ac:dyDescent="0.35">
      <c r="C45" s="3" t="s">
        <v>7</v>
      </c>
      <c r="E45" s="25" t="s">
        <v>19</v>
      </c>
      <c r="F45" s="4">
        <f>SUM(F42:F44)</f>
        <v>71537.560000000143</v>
      </c>
      <c r="I45" s="69" t="s">
        <v>20</v>
      </c>
      <c r="J45" s="70"/>
      <c r="K45" s="399">
        <f>-C4</f>
        <v>-243097.17</v>
      </c>
      <c r="L45" s="397"/>
      <c r="M45" s="410"/>
      <c r="N45" s="411"/>
      <c r="Q45" s="5"/>
      <c r="S45" s="179"/>
      <c r="V45" s="3" t="s">
        <v>7</v>
      </c>
      <c r="X45" s="25" t="s">
        <v>19</v>
      </c>
      <c r="Y45" s="4">
        <f>SUM(Y42:Y44)</f>
        <v>508860.37000000023</v>
      </c>
      <c r="AB45" s="69" t="s">
        <v>20</v>
      </c>
      <c r="AC45" s="70"/>
      <c r="AD45" s="399">
        <f>-V4</f>
        <v>-243097.17</v>
      </c>
      <c r="AE45" s="398"/>
      <c r="AF45" s="5" t="s">
        <v>21</v>
      </c>
    </row>
    <row r="46" spans="1:35" ht="15.75" thickBot="1" x14ac:dyDescent="0.3">
      <c r="D46" s="71" t="s">
        <v>22</v>
      </c>
      <c r="E46" s="25" t="s">
        <v>23</v>
      </c>
      <c r="F46" s="4">
        <v>12709.6</v>
      </c>
      <c r="Q46" s="5"/>
      <c r="S46" s="179"/>
      <c r="W46" s="71" t="s">
        <v>22</v>
      </c>
      <c r="X46" s="25" t="s">
        <v>23</v>
      </c>
      <c r="Y46" s="4">
        <v>33151.64</v>
      </c>
    </row>
    <row r="47" spans="1:35" ht="20.25" thickTop="1" thickBot="1" x14ac:dyDescent="0.35">
      <c r="C47" s="201">
        <v>43504</v>
      </c>
      <c r="D47" s="400" t="s">
        <v>24</v>
      </c>
      <c r="E47" s="400"/>
      <c r="F47" s="72">
        <v>317347.98</v>
      </c>
      <c r="I47" s="401" t="s">
        <v>95</v>
      </c>
      <c r="J47" s="402"/>
      <c r="K47" s="403">
        <f>K43+K45</f>
        <v>158497.97000000012</v>
      </c>
      <c r="L47" s="404"/>
      <c r="S47" s="179"/>
      <c r="V47" s="59"/>
      <c r="W47" s="400" t="s">
        <v>24</v>
      </c>
      <c r="X47" s="400"/>
      <c r="Y47" s="72">
        <v>169918.65</v>
      </c>
      <c r="AB47" s="401" t="s">
        <v>95</v>
      </c>
      <c r="AC47" s="402"/>
      <c r="AD47" s="403">
        <f>AD43+AD45</f>
        <v>468833.49000000022</v>
      </c>
      <c r="AE47" s="404"/>
    </row>
    <row r="48" spans="1:35" ht="18.75" x14ac:dyDescent="0.3">
      <c r="C48" s="59"/>
      <c r="D48" s="58"/>
      <c r="E48" s="33" t="s">
        <v>25</v>
      </c>
      <c r="F48" s="73">
        <f>F45+F46+F47</f>
        <v>401595.14000000013</v>
      </c>
      <c r="J48" s="6"/>
      <c r="M48" s="74"/>
      <c r="S48" s="179"/>
      <c r="V48" s="59"/>
      <c r="W48" s="58"/>
      <c r="X48" s="33" t="s">
        <v>25</v>
      </c>
      <c r="Y48" s="73">
        <f>Y45+Y46+Y47</f>
        <v>711930.66000000027</v>
      </c>
      <c r="AC48" s="6"/>
      <c r="AF48" s="74"/>
    </row>
    <row r="50" spans="2:34" x14ac:dyDescent="0.25">
      <c r="B50"/>
      <c r="C50"/>
      <c r="D50" s="392"/>
      <c r="E50" s="392"/>
      <c r="M50" s="75"/>
      <c r="N50" s="25"/>
      <c r="O50" s="25"/>
      <c r="U50"/>
      <c r="V50"/>
      <c r="W50" s="392"/>
      <c r="X50" s="392"/>
      <c r="AF50" s="75"/>
      <c r="AG50" s="25"/>
      <c r="AH50" s="25"/>
    </row>
    <row r="51" spans="2:34" x14ac:dyDescent="0.25">
      <c r="B51"/>
      <c r="C51"/>
      <c r="M51" s="75"/>
      <c r="N51" s="25"/>
      <c r="O51" s="25"/>
      <c r="U51"/>
      <c r="V51"/>
      <c r="AF51" s="75"/>
      <c r="AG51" s="25"/>
      <c r="AH51" s="25"/>
    </row>
    <row r="52" spans="2:34" x14ac:dyDescent="0.25">
      <c r="B52"/>
      <c r="C52"/>
      <c r="N52" s="25"/>
      <c r="O52" s="25"/>
      <c r="U52"/>
      <c r="V52"/>
      <c r="AG52" s="25"/>
      <c r="AH52" s="25"/>
    </row>
    <row r="53" spans="2:34" x14ac:dyDescent="0.25">
      <c r="B53"/>
      <c r="C53"/>
      <c r="F53"/>
      <c r="I53"/>
      <c r="J53"/>
      <c r="M53"/>
      <c r="N53" s="25"/>
      <c r="O53" s="25"/>
      <c r="U53"/>
      <c r="V53"/>
      <c r="Y53"/>
      <c r="AB53"/>
      <c r="AC53"/>
      <c r="AF53"/>
      <c r="AG53" s="25"/>
      <c r="AH53" s="25"/>
    </row>
    <row r="54" spans="2:34" x14ac:dyDescent="0.25">
      <c r="B54"/>
      <c r="C54"/>
      <c r="N54" s="25"/>
      <c r="O54" s="25"/>
      <c r="U54"/>
      <c r="V54"/>
      <c r="AG54" s="25"/>
      <c r="AH54" s="25"/>
    </row>
    <row r="55" spans="2:34" x14ac:dyDescent="0.25">
      <c r="M55" s="4"/>
      <c r="N55" s="25"/>
      <c r="O55" s="25"/>
      <c r="AF55" s="4"/>
      <c r="AG55" s="25"/>
      <c r="AH55" s="25"/>
    </row>
    <row r="56" spans="2:34" x14ac:dyDescent="0.25">
      <c r="M56" s="4"/>
      <c r="N56" s="25"/>
      <c r="O56" s="25"/>
      <c r="AF56" s="4"/>
      <c r="AG56" s="25"/>
      <c r="AH56" s="25"/>
    </row>
    <row r="57" spans="2:34" x14ac:dyDescent="0.25">
      <c r="M57" s="4"/>
      <c r="N57" s="25"/>
      <c r="O57" s="25"/>
      <c r="AF57" s="4"/>
      <c r="AG57" s="25"/>
      <c r="AH57" s="25"/>
    </row>
    <row r="58" spans="2:34" x14ac:dyDescent="0.25">
      <c r="M58" s="4"/>
      <c r="N58" s="25"/>
      <c r="O58" s="25"/>
      <c r="AF58" s="4"/>
      <c r="AG58" s="25"/>
      <c r="AH58" s="25"/>
    </row>
    <row r="59" spans="2:34" x14ac:dyDescent="0.25">
      <c r="M59" s="4"/>
      <c r="AF59" s="4"/>
    </row>
    <row r="60" spans="2:34" x14ac:dyDescent="0.25">
      <c r="M60" s="4"/>
      <c r="AF60" s="4"/>
    </row>
    <row r="61" spans="2:34" x14ac:dyDescent="0.25">
      <c r="M61" s="4"/>
      <c r="AF61" s="4"/>
    </row>
    <row r="62" spans="2:34" x14ac:dyDescent="0.25">
      <c r="M62" s="4"/>
      <c r="AF62" s="4"/>
    </row>
    <row r="63" spans="2:34" x14ac:dyDescent="0.25">
      <c r="M63" s="4"/>
      <c r="AF63" s="4"/>
    </row>
    <row r="64" spans="2:34" x14ac:dyDescent="0.25">
      <c r="M64" s="4"/>
      <c r="AF64" s="4"/>
    </row>
    <row r="65" spans="13:32" x14ac:dyDescent="0.25">
      <c r="M65" s="4"/>
      <c r="AF65" s="4"/>
    </row>
    <row r="66" spans="13:32" x14ac:dyDescent="0.25">
      <c r="M66" s="4"/>
      <c r="AF66" s="4"/>
    </row>
    <row r="67" spans="13:32" x14ac:dyDescent="0.25">
      <c r="M67" s="4"/>
      <c r="AF67" s="4"/>
    </row>
    <row r="68" spans="13:32" x14ac:dyDescent="0.25">
      <c r="M68" s="4"/>
      <c r="AF68" s="4"/>
    </row>
    <row r="69" spans="13:32" x14ac:dyDescent="0.25">
      <c r="M69" s="4"/>
      <c r="AF69" s="4"/>
    </row>
    <row r="70" spans="13:32" x14ac:dyDescent="0.25">
      <c r="M70" s="4"/>
      <c r="AF70" s="4"/>
    </row>
    <row r="71" spans="13:32" x14ac:dyDescent="0.25">
      <c r="M71" s="4"/>
      <c r="AF71" s="4"/>
    </row>
    <row r="72" spans="13:32" x14ac:dyDescent="0.25">
      <c r="M72" s="4"/>
      <c r="AF72" s="4"/>
    </row>
    <row r="73" spans="13:32" x14ac:dyDescent="0.25">
      <c r="M73" s="4"/>
      <c r="AF73" s="4"/>
    </row>
    <row r="74" spans="13:32" x14ac:dyDescent="0.25">
      <c r="M74" s="4"/>
      <c r="AF74" s="4"/>
    </row>
    <row r="75" spans="13:32" x14ac:dyDescent="0.25">
      <c r="M75" s="4"/>
      <c r="AF75" s="4"/>
    </row>
    <row r="76" spans="13:32" x14ac:dyDescent="0.25">
      <c r="M76" s="4"/>
      <c r="AF76" s="4"/>
    </row>
    <row r="77" spans="13:32" x14ac:dyDescent="0.25">
      <c r="M77" s="4"/>
      <c r="AF77" s="4"/>
    </row>
  </sheetData>
  <sortState ref="AC9:AE14">
    <sortCondition ref="AC9:AC14"/>
  </sortState>
  <mergeCells count="32">
    <mergeCell ref="M41:N45"/>
    <mergeCell ref="D47:E47"/>
    <mergeCell ref="I47:J47"/>
    <mergeCell ref="K47:L47"/>
    <mergeCell ref="D50:E50"/>
    <mergeCell ref="D42:E42"/>
    <mergeCell ref="D43:E43"/>
    <mergeCell ref="I43:J43"/>
    <mergeCell ref="K43:L43"/>
    <mergeCell ref="K45:L45"/>
    <mergeCell ref="C1:K1"/>
    <mergeCell ref="E4:F4"/>
    <mergeCell ref="I4:L4"/>
    <mergeCell ref="H41:I41"/>
    <mergeCell ref="K41:L41"/>
    <mergeCell ref="W50:X50"/>
    <mergeCell ref="W42:X42"/>
    <mergeCell ref="W43:X43"/>
    <mergeCell ref="AB43:AC43"/>
    <mergeCell ref="AD43:AE43"/>
    <mergeCell ref="AD45:AE45"/>
    <mergeCell ref="W47:X47"/>
    <mergeCell ref="AB47:AC47"/>
    <mergeCell ref="AD47:AE47"/>
    <mergeCell ref="V1:AD1"/>
    <mergeCell ref="AO1:AP1"/>
    <mergeCell ref="X4:Y4"/>
    <mergeCell ref="AB4:AE4"/>
    <mergeCell ref="AA41:AB41"/>
    <mergeCell ref="AD41:AE41"/>
    <mergeCell ref="AO4:AP4"/>
    <mergeCell ref="AO21:AP21"/>
  </mergeCells>
  <pageMargins left="0.31496062992125984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ED6E-2528-4AE7-ABCF-8192B6097CE6}">
  <sheetPr>
    <tabColor rgb="FFFF9900"/>
  </sheetPr>
  <dimension ref="A1:F94"/>
  <sheetViews>
    <sheetView topLeftCell="A28" workbookViewId="0">
      <selection activeCell="D37" sqref="D37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43595</v>
      </c>
      <c r="B3" s="256" t="s">
        <v>346</v>
      </c>
      <c r="C3" s="257">
        <v>24655.200000000001</v>
      </c>
      <c r="D3" s="258"/>
      <c r="E3" s="257"/>
      <c r="F3" s="79">
        <f>C3-E3</f>
        <v>24655.200000000001</v>
      </c>
    </row>
    <row r="4" spans="1:6" x14ac:dyDescent="0.25">
      <c r="A4" s="255">
        <v>43596</v>
      </c>
      <c r="B4" s="256" t="s">
        <v>347</v>
      </c>
      <c r="C4" s="257">
        <v>992.2</v>
      </c>
      <c r="D4" s="258"/>
      <c r="E4" s="257"/>
      <c r="F4" s="79">
        <f>F3+C4-E4</f>
        <v>25647.4</v>
      </c>
    </row>
    <row r="5" spans="1:6" x14ac:dyDescent="0.25">
      <c r="A5" s="259">
        <v>43596</v>
      </c>
      <c r="B5" s="260" t="s">
        <v>348</v>
      </c>
      <c r="C5" s="257">
        <v>168092.08</v>
      </c>
      <c r="D5" s="258"/>
      <c r="E5" s="257"/>
      <c r="F5" s="79">
        <f t="shared" ref="F5:F57" si="0">F4+C5-E5</f>
        <v>193739.47999999998</v>
      </c>
    </row>
    <row r="6" spans="1:6" x14ac:dyDescent="0.25">
      <c r="A6" s="259">
        <v>43597</v>
      </c>
      <c r="B6" s="260" t="s">
        <v>349</v>
      </c>
      <c r="C6" s="257">
        <v>82254.350000000006</v>
      </c>
      <c r="D6" s="258"/>
      <c r="E6" s="257"/>
      <c r="F6" s="79">
        <f t="shared" si="0"/>
        <v>275993.82999999996</v>
      </c>
    </row>
    <row r="7" spans="1:6" x14ac:dyDescent="0.25">
      <c r="A7" s="259">
        <v>43597</v>
      </c>
      <c r="B7" s="260" t="s">
        <v>350</v>
      </c>
      <c r="C7" s="257">
        <v>25026.76</v>
      </c>
      <c r="D7" s="258">
        <v>43599</v>
      </c>
      <c r="E7" s="257">
        <v>301020.59000000003</v>
      </c>
      <c r="F7" s="79">
        <f t="shared" si="0"/>
        <v>0</v>
      </c>
    </row>
    <row r="8" spans="1:6" x14ac:dyDescent="0.25">
      <c r="A8" s="259">
        <v>43599</v>
      </c>
      <c r="B8" s="260" t="s">
        <v>351</v>
      </c>
      <c r="C8" s="257">
        <v>73168.2</v>
      </c>
      <c r="D8" s="261"/>
      <c r="E8" s="257"/>
      <c r="F8" s="79">
        <f t="shared" si="0"/>
        <v>73168.2</v>
      </c>
    </row>
    <row r="9" spans="1:6" x14ac:dyDescent="0.25">
      <c r="A9" s="259">
        <v>43599</v>
      </c>
      <c r="B9" s="260" t="s">
        <v>352</v>
      </c>
      <c r="C9" s="257">
        <v>45321.35</v>
      </c>
      <c r="D9" s="258"/>
      <c r="E9" s="257"/>
      <c r="F9" s="79">
        <f t="shared" si="0"/>
        <v>118489.54999999999</v>
      </c>
    </row>
    <row r="10" spans="1:6" x14ac:dyDescent="0.25">
      <c r="A10" s="259">
        <v>43601</v>
      </c>
      <c r="B10" s="260" t="s">
        <v>353</v>
      </c>
      <c r="C10" s="257">
        <v>3425.95</v>
      </c>
      <c r="D10" s="258"/>
      <c r="E10" s="257"/>
      <c r="F10" s="79">
        <f t="shared" si="0"/>
        <v>121915.49999999999</v>
      </c>
    </row>
    <row r="11" spans="1:6" x14ac:dyDescent="0.25">
      <c r="A11" s="262">
        <v>43601</v>
      </c>
      <c r="B11" s="260" t="s">
        <v>354</v>
      </c>
      <c r="C11" s="257">
        <v>190946.9</v>
      </c>
      <c r="D11" s="258"/>
      <c r="E11" s="257"/>
      <c r="F11" s="79">
        <f t="shared" si="0"/>
        <v>312862.39999999997</v>
      </c>
    </row>
    <row r="12" spans="1:6" x14ac:dyDescent="0.25">
      <c r="A12" s="259">
        <v>43602</v>
      </c>
      <c r="B12" s="260" t="s">
        <v>355</v>
      </c>
      <c r="C12" s="257">
        <v>125065.55</v>
      </c>
      <c r="D12" s="258"/>
      <c r="E12" s="257"/>
      <c r="F12" s="79">
        <f t="shared" si="0"/>
        <v>437927.94999999995</v>
      </c>
    </row>
    <row r="13" spans="1:6" x14ac:dyDescent="0.25">
      <c r="A13" s="259">
        <v>43602</v>
      </c>
      <c r="B13" s="260" t="s">
        <v>356</v>
      </c>
      <c r="C13" s="257">
        <v>3362.4</v>
      </c>
      <c r="D13" s="258"/>
      <c r="E13" s="257"/>
      <c r="F13" s="79">
        <f t="shared" si="0"/>
        <v>441290.35</v>
      </c>
    </row>
    <row r="14" spans="1:6" x14ac:dyDescent="0.25">
      <c r="A14" s="259">
        <v>43603</v>
      </c>
      <c r="B14" s="260" t="s">
        <v>357</v>
      </c>
      <c r="C14" s="257">
        <v>626.4</v>
      </c>
      <c r="D14" s="258"/>
      <c r="E14" s="257"/>
      <c r="F14" s="79">
        <f t="shared" si="0"/>
        <v>441916.75</v>
      </c>
    </row>
    <row r="15" spans="1:6" x14ac:dyDescent="0.25">
      <c r="A15" s="259">
        <v>43603</v>
      </c>
      <c r="B15" s="260" t="s">
        <v>358</v>
      </c>
      <c r="C15" s="257">
        <v>100375.42</v>
      </c>
      <c r="D15" s="258">
        <v>43607</v>
      </c>
      <c r="E15" s="257">
        <v>542292.17000000004</v>
      </c>
      <c r="F15" s="79">
        <f t="shared" si="0"/>
        <v>0</v>
      </c>
    </row>
    <row r="16" spans="1:6" x14ac:dyDescent="0.25">
      <c r="A16" s="259">
        <v>43605</v>
      </c>
      <c r="B16" s="260" t="s">
        <v>359</v>
      </c>
      <c r="C16" s="257">
        <v>76823.199999999997</v>
      </c>
      <c r="D16" s="258"/>
      <c r="E16" s="257"/>
      <c r="F16" s="79">
        <f t="shared" si="0"/>
        <v>76823.199999999997</v>
      </c>
    </row>
    <row r="17" spans="1:6" x14ac:dyDescent="0.25">
      <c r="A17" s="259">
        <v>43606</v>
      </c>
      <c r="B17" s="260" t="s">
        <v>360</v>
      </c>
      <c r="C17" s="257">
        <v>106969.55</v>
      </c>
      <c r="D17" s="258"/>
      <c r="E17" s="257"/>
      <c r="F17" s="79">
        <f t="shared" si="0"/>
        <v>183792.75</v>
      </c>
    </row>
    <row r="18" spans="1:6" x14ac:dyDescent="0.25">
      <c r="A18" s="259">
        <v>43607</v>
      </c>
      <c r="B18" s="260" t="s">
        <v>361</v>
      </c>
      <c r="C18" s="257">
        <v>1361</v>
      </c>
      <c r="D18" s="258">
        <v>43607</v>
      </c>
      <c r="E18" s="257">
        <v>185153.75</v>
      </c>
      <c r="F18" s="79">
        <f t="shared" si="0"/>
        <v>0</v>
      </c>
    </row>
    <row r="19" spans="1:6" x14ac:dyDescent="0.25">
      <c r="A19" s="259">
        <v>43608</v>
      </c>
      <c r="B19" s="260" t="s">
        <v>362</v>
      </c>
      <c r="C19" s="257">
        <v>20756.54</v>
      </c>
      <c r="D19" s="261"/>
      <c r="E19" s="257"/>
      <c r="F19" s="79">
        <f t="shared" si="0"/>
        <v>20756.54</v>
      </c>
    </row>
    <row r="20" spans="1:6" x14ac:dyDescent="0.25">
      <c r="A20" s="259">
        <v>43609</v>
      </c>
      <c r="B20" s="260" t="s">
        <v>363</v>
      </c>
      <c r="C20" s="257">
        <v>153980.20000000001</v>
      </c>
      <c r="D20" s="258"/>
      <c r="E20" s="257"/>
      <c r="F20" s="79">
        <f t="shared" si="0"/>
        <v>174736.74000000002</v>
      </c>
    </row>
    <row r="21" spans="1:6" x14ac:dyDescent="0.25">
      <c r="A21" s="259">
        <v>43609</v>
      </c>
      <c r="B21" s="260" t="s">
        <v>364</v>
      </c>
      <c r="C21" s="257">
        <v>31828.15</v>
      </c>
      <c r="D21" s="258"/>
      <c r="E21" s="257"/>
      <c r="F21" s="79">
        <f t="shared" si="0"/>
        <v>206564.89</v>
      </c>
    </row>
    <row r="22" spans="1:6" x14ac:dyDescent="0.25">
      <c r="A22" s="259">
        <v>43610</v>
      </c>
      <c r="B22" s="260" t="s">
        <v>365</v>
      </c>
      <c r="C22" s="257">
        <v>140007.07999999999</v>
      </c>
      <c r="D22" s="258"/>
      <c r="E22" s="257"/>
      <c r="F22" s="79">
        <f t="shared" si="0"/>
        <v>346571.97</v>
      </c>
    </row>
    <row r="23" spans="1:6" x14ac:dyDescent="0.25">
      <c r="A23" s="259">
        <v>43612</v>
      </c>
      <c r="B23" s="260" t="s">
        <v>366</v>
      </c>
      <c r="C23" s="257">
        <v>122546.02</v>
      </c>
      <c r="D23" s="258"/>
      <c r="E23" s="257"/>
      <c r="F23" s="79">
        <f t="shared" si="0"/>
        <v>469117.99</v>
      </c>
    </row>
    <row r="24" spans="1:6" x14ac:dyDescent="0.25">
      <c r="A24" s="259">
        <v>43613</v>
      </c>
      <c r="B24" s="260" t="s">
        <v>367</v>
      </c>
      <c r="C24" s="257">
        <v>1248.8</v>
      </c>
      <c r="D24" s="258"/>
      <c r="E24" s="257"/>
      <c r="F24" s="79">
        <f t="shared" si="0"/>
        <v>470366.79</v>
      </c>
    </row>
    <row r="25" spans="1:6" x14ac:dyDescent="0.25">
      <c r="A25" s="259">
        <v>43613</v>
      </c>
      <c r="B25" s="260" t="s">
        <v>368</v>
      </c>
      <c r="C25" s="257">
        <v>3806</v>
      </c>
      <c r="D25" s="258"/>
      <c r="E25" s="257"/>
      <c r="F25" s="79">
        <f t="shared" si="0"/>
        <v>474172.79</v>
      </c>
    </row>
    <row r="26" spans="1:6" x14ac:dyDescent="0.25">
      <c r="A26" s="255">
        <v>43614</v>
      </c>
      <c r="B26" s="256" t="s">
        <v>369</v>
      </c>
      <c r="C26" s="257">
        <v>159458</v>
      </c>
      <c r="D26" s="258"/>
      <c r="E26" s="257"/>
      <c r="F26" s="79">
        <f t="shared" si="0"/>
        <v>633630.79</v>
      </c>
    </row>
    <row r="27" spans="1:6" x14ac:dyDescent="0.25">
      <c r="A27" s="255">
        <v>43615</v>
      </c>
      <c r="B27" s="256" t="s">
        <v>370</v>
      </c>
      <c r="C27" s="257">
        <v>102655</v>
      </c>
      <c r="D27" s="258">
        <v>43615</v>
      </c>
      <c r="E27" s="257">
        <v>736285.79</v>
      </c>
      <c r="F27" s="79">
        <f t="shared" si="0"/>
        <v>0</v>
      </c>
    </row>
    <row r="28" spans="1:6" x14ac:dyDescent="0.25">
      <c r="A28" s="255">
        <v>43616</v>
      </c>
      <c r="B28" s="256" t="s">
        <v>371</v>
      </c>
      <c r="C28" s="257">
        <v>13674</v>
      </c>
      <c r="D28" s="258"/>
      <c r="E28" s="257"/>
      <c r="F28" s="79">
        <f t="shared" si="0"/>
        <v>13674</v>
      </c>
    </row>
    <row r="29" spans="1:6" x14ac:dyDescent="0.25">
      <c r="A29" s="255">
        <v>43617</v>
      </c>
      <c r="B29" s="256" t="s">
        <v>372</v>
      </c>
      <c r="C29" s="257">
        <v>168865.38</v>
      </c>
      <c r="D29" s="258"/>
      <c r="E29" s="257"/>
      <c r="F29" s="79">
        <f t="shared" si="0"/>
        <v>182539.38</v>
      </c>
    </row>
    <row r="30" spans="1:6" x14ac:dyDescent="0.25">
      <c r="A30" s="255">
        <v>43618</v>
      </c>
      <c r="B30" s="256" t="s">
        <v>373</v>
      </c>
      <c r="C30" s="257">
        <v>26356.240000000002</v>
      </c>
      <c r="D30" s="258"/>
      <c r="E30" s="257"/>
      <c r="F30" s="79">
        <f t="shared" si="0"/>
        <v>208895.62</v>
      </c>
    </row>
    <row r="31" spans="1:6" x14ac:dyDescent="0.25">
      <c r="A31" s="255">
        <v>43619</v>
      </c>
      <c r="B31" s="256" t="s">
        <v>374</v>
      </c>
      <c r="C31" s="257">
        <v>129786.64</v>
      </c>
      <c r="D31" s="258"/>
      <c r="E31" s="257"/>
      <c r="F31" s="79">
        <f t="shared" si="0"/>
        <v>338682.26</v>
      </c>
    </row>
    <row r="32" spans="1:6" x14ac:dyDescent="0.25">
      <c r="A32" s="255">
        <v>43620</v>
      </c>
      <c r="B32" s="256" t="s">
        <v>375</v>
      </c>
      <c r="C32" s="257">
        <v>37602.870000000003</v>
      </c>
      <c r="D32" s="258"/>
      <c r="E32" s="257"/>
      <c r="F32" s="79">
        <f t="shared" si="0"/>
        <v>376285.13</v>
      </c>
    </row>
    <row r="33" spans="1:6" x14ac:dyDescent="0.25">
      <c r="A33" s="255">
        <v>43620</v>
      </c>
      <c r="B33" s="256" t="s">
        <v>376</v>
      </c>
      <c r="C33" s="257">
        <v>165525.06</v>
      </c>
      <c r="D33" s="258">
        <v>43621</v>
      </c>
      <c r="E33" s="257">
        <v>541810.18999999994</v>
      </c>
      <c r="F33" s="79">
        <f t="shared" si="0"/>
        <v>0</v>
      </c>
    </row>
    <row r="34" spans="1:6" x14ac:dyDescent="0.25">
      <c r="A34" s="255">
        <v>43622</v>
      </c>
      <c r="B34" s="256" t="s">
        <v>377</v>
      </c>
      <c r="C34" s="257">
        <v>1613.87</v>
      </c>
      <c r="D34" s="331">
        <v>43628</v>
      </c>
      <c r="E34" s="332">
        <v>1613.87</v>
      </c>
      <c r="F34" s="79">
        <f t="shared" si="0"/>
        <v>0</v>
      </c>
    </row>
    <row r="35" spans="1:6" x14ac:dyDescent="0.25">
      <c r="A35" s="255"/>
      <c r="B35" s="256"/>
      <c r="C35" s="257"/>
      <c r="D35" s="258"/>
      <c r="E35" s="257"/>
      <c r="F35" s="79">
        <f t="shared" si="0"/>
        <v>0</v>
      </c>
    </row>
    <row r="36" spans="1:6" x14ac:dyDescent="0.25">
      <c r="A36" s="255"/>
      <c r="B36" s="256"/>
      <c r="C36" s="257"/>
      <c r="D36" s="258"/>
      <c r="E36" s="257"/>
      <c r="F36" s="79">
        <f t="shared" si="0"/>
        <v>0</v>
      </c>
    </row>
    <row r="37" spans="1:6" x14ac:dyDescent="0.25">
      <c r="A37" s="255"/>
      <c r="B37" s="256"/>
      <c r="C37" s="257"/>
      <c r="D37" s="258"/>
      <c r="E37" s="257"/>
      <c r="F37" s="79">
        <f t="shared" si="0"/>
        <v>0</v>
      </c>
    </row>
    <row r="38" spans="1:6" x14ac:dyDescent="0.25">
      <c r="A38" s="255"/>
      <c r="B38" s="256"/>
      <c r="C38" s="257"/>
      <c r="D38" s="258"/>
      <c r="E38" s="257"/>
      <c r="F38" s="79">
        <f t="shared" si="0"/>
        <v>0</v>
      </c>
    </row>
    <row r="39" spans="1:6" x14ac:dyDescent="0.25">
      <c r="A39" s="255"/>
      <c r="B39" s="256"/>
      <c r="C39" s="257"/>
      <c r="D39" s="258"/>
      <c r="E39" s="257"/>
      <c r="F39" s="79">
        <f t="shared" si="0"/>
        <v>0</v>
      </c>
    </row>
    <row r="40" spans="1:6" x14ac:dyDescent="0.25">
      <c r="A40" s="255"/>
      <c r="B40" s="256"/>
      <c r="C40" s="257"/>
      <c r="D40" s="258"/>
      <c r="E40" s="257"/>
      <c r="F40" s="79">
        <f t="shared" si="0"/>
        <v>0</v>
      </c>
    </row>
    <row r="41" spans="1:6" x14ac:dyDescent="0.25">
      <c r="A41" s="255"/>
      <c r="B41" s="256"/>
      <c r="C41" s="257"/>
      <c r="D41" s="258"/>
      <c r="E41" s="257"/>
      <c r="F41" s="79">
        <f t="shared" si="0"/>
        <v>0</v>
      </c>
    </row>
    <row r="42" spans="1:6" x14ac:dyDescent="0.25">
      <c r="A42" s="255"/>
      <c r="B42" s="256"/>
      <c r="C42" s="257"/>
      <c r="D42" s="258"/>
      <c r="E42" s="257"/>
      <c r="F42" s="79">
        <f t="shared" si="0"/>
        <v>0</v>
      </c>
    </row>
    <row r="43" spans="1:6" x14ac:dyDescent="0.25">
      <c r="A43" s="255"/>
      <c r="B43" s="256"/>
      <c r="C43" s="257"/>
      <c r="D43" s="258"/>
      <c r="E43" s="257"/>
      <c r="F43" s="79">
        <f t="shared" si="0"/>
        <v>0</v>
      </c>
    </row>
    <row r="44" spans="1:6" x14ac:dyDescent="0.25">
      <c r="A44" s="255"/>
      <c r="B44" s="256"/>
      <c r="C44" s="257"/>
      <c r="D44" s="258"/>
      <c r="E44" s="257"/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x14ac:dyDescent="0.25">
      <c r="A46" s="255"/>
      <c r="B46" s="256"/>
      <c r="C46" s="257"/>
      <c r="D46" s="258"/>
      <c r="E46" s="257"/>
      <c r="F46" s="79">
        <f t="shared" si="0"/>
        <v>0</v>
      </c>
    </row>
    <row r="47" spans="1:6" x14ac:dyDescent="0.25">
      <c r="A47" s="255"/>
      <c r="B47" s="256"/>
      <c r="C47" s="257"/>
      <c r="D47" s="258"/>
      <c r="E47" s="257"/>
      <c r="F47" s="79">
        <f t="shared" si="0"/>
        <v>0</v>
      </c>
    </row>
    <row r="48" spans="1:6" x14ac:dyDescent="0.25">
      <c r="A48" s="255"/>
      <c r="B48" s="256"/>
      <c r="C48" s="257"/>
      <c r="D48" s="258"/>
      <c r="E48" s="257"/>
      <c r="F48" s="79">
        <f t="shared" si="0"/>
        <v>0</v>
      </c>
    </row>
    <row r="49" spans="1:6" x14ac:dyDescent="0.25">
      <c r="A49" s="255"/>
      <c r="B49" s="256"/>
      <c r="C49" s="257"/>
      <c r="D49" s="258"/>
      <c r="E49" s="257"/>
      <c r="F49" s="79">
        <f t="shared" si="0"/>
        <v>0</v>
      </c>
    </row>
    <row r="50" spans="1:6" x14ac:dyDescent="0.25">
      <c r="A50" s="255"/>
      <c r="B50" s="256"/>
      <c r="C50" s="257"/>
      <c r="D50" s="258"/>
      <c r="E50" s="257"/>
      <c r="F50" s="79">
        <f t="shared" si="0"/>
        <v>0</v>
      </c>
    </row>
    <row r="51" spans="1:6" x14ac:dyDescent="0.25">
      <c r="A51" s="255"/>
      <c r="B51" s="256"/>
      <c r="C51" s="257"/>
      <c r="D51" s="258"/>
      <c r="E51" s="257"/>
      <c r="F51" s="79">
        <f t="shared" si="0"/>
        <v>0</v>
      </c>
    </row>
    <row r="52" spans="1:6" x14ac:dyDescent="0.25">
      <c r="A52" s="255"/>
      <c r="B52" s="256"/>
      <c r="C52" s="257"/>
      <c r="D52" s="258"/>
      <c r="E52" s="257"/>
      <c r="F52" s="79">
        <f t="shared" si="0"/>
        <v>0</v>
      </c>
    </row>
    <row r="53" spans="1:6" x14ac:dyDescent="0.25">
      <c r="A53" s="255"/>
      <c r="B53" s="256"/>
      <c r="C53" s="257"/>
      <c r="D53" s="258"/>
      <c r="E53" s="257"/>
      <c r="F53" s="79">
        <f t="shared" si="0"/>
        <v>0</v>
      </c>
    </row>
    <row r="54" spans="1:6" x14ac:dyDescent="0.25">
      <c r="A54" s="255"/>
      <c r="B54" s="256"/>
      <c r="C54" s="257"/>
      <c r="D54" s="258"/>
      <c r="E54" s="257"/>
      <c r="F54" s="79">
        <f t="shared" si="0"/>
        <v>0</v>
      </c>
    </row>
    <row r="55" spans="1:6" x14ac:dyDescent="0.25">
      <c r="A55" s="255"/>
      <c r="B55" s="256"/>
      <c r="C55" s="257"/>
      <c r="D55" s="258"/>
      <c r="E55" s="257"/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2308176.3600000003</v>
      </c>
      <c r="D58" s="1"/>
      <c r="E58" s="5">
        <f>SUM(E3:E57)</f>
        <v>2308176.3600000003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4AB5-9523-416D-A16F-E47EE1FA38E0}">
  <sheetPr>
    <tabColor theme="9" tint="-0.249977111117893"/>
  </sheetPr>
  <dimension ref="A1:AB72"/>
  <sheetViews>
    <sheetView topLeftCell="I1" workbookViewId="0">
      <selection activeCell="R30" sqref="R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78" t="s">
        <v>379</v>
      </c>
      <c r="D1" s="378"/>
      <c r="E1" s="378"/>
      <c r="F1" s="378"/>
      <c r="G1" s="378"/>
      <c r="H1" s="378"/>
      <c r="I1" s="378"/>
      <c r="J1" s="378"/>
      <c r="K1" s="378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customHeight="1" thickTop="1" thickBot="1" x14ac:dyDescent="0.35">
      <c r="B3" s="425" t="s">
        <v>3</v>
      </c>
      <c r="C3" s="426"/>
      <c r="D3" s="13"/>
      <c r="I3" s="14" t="s">
        <v>4</v>
      </c>
      <c r="J3" s="9"/>
      <c r="K3" s="15" t="s">
        <v>126</v>
      </c>
      <c r="L3" s="15"/>
      <c r="U3" s="388" t="s">
        <v>56</v>
      </c>
      <c r="V3" s="389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281768.01</v>
      </c>
      <c r="D4" s="213">
        <v>43622</v>
      </c>
      <c r="E4" s="422" t="s">
        <v>6</v>
      </c>
      <c r="F4" s="423"/>
      <c r="H4" s="382" t="s">
        <v>460</v>
      </c>
      <c r="I4" s="424"/>
      <c r="J4" s="337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43623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43623</v>
      </c>
      <c r="C5" s="234">
        <v>1980</v>
      </c>
      <c r="D5" s="311" t="s">
        <v>49</v>
      </c>
      <c r="E5" s="312">
        <v>43623</v>
      </c>
      <c r="F5" s="233">
        <v>126520</v>
      </c>
      <c r="G5" s="244"/>
      <c r="H5" s="335">
        <v>43623</v>
      </c>
      <c r="I5" s="336">
        <v>14020</v>
      </c>
      <c r="J5" s="106"/>
      <c r="L5" s="4"/>
      <c r="M5" s="237">
        <v>109807</v>
      </c>
      <c r="N5" s="238">
        <v>713</v>
      </c>
      <c r="O5" s="277"/>
      <c r="P5" s="277">
        <f>C5+I5+M5+N5</f>
        <v>126520</v>
      </c>
      <c r="Q5" s="4">
        <f>P5-F5</f>
        <v>0</v>
      </c>
      <c r="S5" s="212"/>
      <c r="T5" s="228">
        <v>43623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43624</v>
      </c>
      <c r="C6" s="234">
        <v>1390</v>
      </c>
      <c r="D6" s="242" t="s">
        <v>51</v>
      </c>
      <c r="E6" s="312">
        <v>43624</v>
      </c>
      <c r="F6" s="233">
        <v>169635</v>
      </c>
      <c r="G6" s="244"/>
      <c r="H6" s="313">
        <v>43624</v>
      </c>
      <c r="I6" s="235">
        <v>0</v>
      </c>
      <c r="J6" s="106"/>
      <c r="K6" s="127"/>
      <c r="L6" s="208"/>
      <c r="M6" s="237">
        <f>100000+65360</f>
        <v>165360</v>
      </c>
      <c r="N6" s="238">
        <v>2885</v>
      </c>
      <c r="O6" s="277"/>
      <c r="P6" s="277">
        <f>C6+I6+M6+N6</f>
        <v>169635</v>
      </c>
      <c r="Q6" s="4">
        <f t="shared" ref="Q6:Q32" si="0">P6-F6</f>
        <v>0</v>
      </c>
      <c r="S6" s="212"/>
      <c r="T6" s="229"/>
      <c r="U6" s="134" t="s">
        <v>41</v>
      </c>
      <c r="V6" s="135">
        <v>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43625</v>
      </c>
      <c r="C7" s="234">
        <v>0</v>
      </c>
      <c r="D7" s="314"/>
      <c r="E7" s="312">
        <v>43625</v>
      </c>
      <c r="F7" s="233">
        <v>141641</v>
      </c>
      <c r="G7" s="244"/>
      <c r="H7" s="313">
        <v>43625</v>
      </c>
      <c r="I7" s="235">
        <v>0</v>
      </c>
      <c r="J7" s="31">
        <v>43648</v>
      </c>
      <c r="K7" s="127" t="s">
        <v>9</v>
      </c>
      <c r="L7" s="248">
        <v>1647</v>
      </c>
      <c r="M7" s="237">
        <v>127755</v>
      </c>
      <c r="N7" s="238">
        <v>4536</v>
      </c>
      <c r="O7" s="277"/>
      <c r="P7" s="277">
        <f>C7+M7+N7+L12-R12</f>
        <v>141640.62999999998</v>
      </c>
      <c r="Q7" s="167">
        <f t="shared" si="0"/>
        <v>-0.37000000002444722</v>
      </c>
      <c r="R7" s="4"/>
      <c r="S7" s="4"/>
      <c r="T7" s="230"/>
      <c r="U7" s="136" t="s">
        <v>47</v>
      </c>
      <c r="V7" s="135">
        <v>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43626</v>
      </c>
      <c r="C8" s="234">
        <v>15395</v>
      </c>
      <c r="D8" s="315" t="s">
        <v>393</v>
      </c>
      <c r="E8" s="312">
        <v>43626</v>
      </c>
      <c r="F8" s="233">
        <v>63529</v>
      </c>
      <c r="G8" s="244"/>
      <c r="H8" s="313">
        <v>43626</v>
      </c>
      <c r="I8" s="235">
        <v>782.5</v>
      </c>
      <c r="J8" s="34"/>
      <c r="K8" s="35" t="s">
        <v>10</v>
      </c>
      <c r="L8" s="250">
        <v>0</v>
      </c>
      <c r="M8" s="237">
        <v>37426</v>
      </c>
      <c r="N8" s="238">
        <v>9925</v>
      </c>
      <c r="O8" s="277"/>
      <c r="P8" s="277">
        <f>M8+N8+C8+I8</f>
        <v>63528.5</v>
      </c>
      <c r="Q8" s="167">
        <f t="shared" si="0"/>
        <v>-0.5</v>
      </c>
      <c r="R8" s="4"/>
      <c r="S8" s="4"/>
      <c r="T8" s="228">
        <v>43637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43627</v>
      </c>
      <c r="C9" s="234">
        <v>15013.12</v>
      </c>
      <c r="D9" s="316" t="s">
        <v>394</v>
      </c>
      <c r="E9" s="312">
        <v>43627</v>
      </c>
      <c r="F9" s="233">
        <v>61842</v>
      </c>
      <c r="G9" s="244"/>
      <c r="H9" s="313">
        <v>43627</v>
      </c>
      <c r="I9" s="235">
        <v>0</v>
      </c>
      <c r="J9" s="96">
        <v>43646</v>
      </c>
      <c r="K9" s="102" t="s">
        <v>11</v>
      </c>
      <c r="L9" s="248">
        <v>20000</v>
      </c>
      <c r="M9" s="237">
        <v>46182</v>
      </c>
      <c r="N9" s="238">
        <v>647</v>
      </c>
      <c r="O9" s="277"/>
      <c r="P9" s="277">
        <f>C9+I9+M9+N9</f>
        <v>61842.12</v>
      </c>
      <c r="Q9" s="4">
        <f t="shared" si="0"/>
        <v>0.12000000000261934</v>
      </c>
      <c r="R9" s="4"/>
      <c r="S9" s="4"/>
      <c r="T9" s="230">
        <v>43637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43628</v>
      </c>
      <c r="C10" s="234">
        <v>1634</v>
      </c>
      <c r="D10" s="242" t="s">
        <v>184</v>
      </c>
      <c r="E10" s="312">
        <v>43628</v>
      </c>
      <c r="F10" s="233">
        <v>65216</v>
      </c>
      <c r="G10" s="244"/>
      <c r="H10" s="313">
        <v>43628</v>
      </c>
      <c r="I10" s="235">
        <v>0</v>
      </c>
      <c r="J10" s="106"/>
      <c r="K10" s="126"/>
      <c r="L10" s="236">
        <v>0</v>
      </c>
      <c r="M10" s="237">
        <v>63200</v>
      </c>
      <c r="N10" s="238">
        <v>387</v>
      </c>
      <c r="O10" s="277"/>
      <c r="P10" s="277">
        <f>C10+I10+M10+N10+L10</f>
        <v>65221</v>
      </c>
      <c r="Q10" s="4">
        <f t="shared" si="0"/>
        <v>5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43629</v>
      </c>
      <c r="C11" s="234">
        <v>1520</v>
      </c>
      <c r="D11" s="242" t="s">
        <v>49</v>
      </c>
      <c r="E11" s="312">
        <v>43629</v>
      </c>
      <c r="F11" s="233">
        <v>94483</v>
      </c>
      <c r="G11" s="244"/>
      <c r="H11" s="313">
        <v>43629</v>
      </c>
      <c r="I11" s="235">
        <v>3804.8</v>
      </c>
      <c r="J11" s="106"/>
      <c r="K11" s="147"/>
      <c r="L11" s="236">
        <v>0</v>
      </c>
      <c r="M11" s="237">
        <v>88383</v>
      </c>
      <c r="N11" s="238">
        <v>771</v>
      </c>
      <c r="O11" s="277"/>
      <c r="P11" s="277">
        <f>C11+I11+M11+N11</f>
        <v>94478.8</v>
      </c>
      <c r="Q11" s="167">
        <f t="shared" si="0"/>
        <v>-4.1999999999970896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43630</v>
      </c>
      <c r="C12" s="234">
        <v>0</v>
      </c>
      <c r="D12" s="242"/>
      <c r="E12" s="312">
        <v>43630</v>
      </c>
      <c r="F12" s="233">
        <v>136969</v>
      </c>
      <c r="G12" s="244"/>
      <c r="H12" s="313">
        <v>43630</v>
      </c>
      <c r="I12" s="235">
        <v>12589.5</v>
      </c>
      <c r="J12" s="106">
        <v>43625</v>
      </c>
      <c r="K12" s="102" t="s">
        <v>380</v>
      </c>
      <c r="L12" s="236">
        <v>14968.27</v>
      </c>
      <c r="M12" s="237">
        <v>117678.5</v>
      </c>
      <c r="N12" s="238">
        <v>6701</v>
      </c>
      <c r="O12" s="277"/>
      <c r="P12" s="277">
        <f>C12+I12+M12+N12</f>
        <v>136969</v>
      </c>
      <c r="Q12" s="4">
        <f t="shared" si="0"/>
        <v>0</v>
      </c>
      <c r="R12" s="254">
        <v>5618.64</v>
      </c>
      <c r="S12" s="33" t="s">
        <v>380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43631</v>
      </c>
      <c r="C13" s="234">
        <v>14775</v>
      </c>
      <c r="D13" s="315" t="s">
        <v>396</v>
      </c>
      <c r="E13" s="312">
        <v>43631</v>
      </c>
      <c r="F13" s="233">
        <v>161392</v>
      </c>
      <c r="G13" s="244"/>
      <c r="H13" s="313">
        <v>43631</v>
      </c>
      <c r="I13" s="235">
        <v>0</v>
      </c>
      <c r="J13" s="106">
        <v>43631</v>
      </c>
      <c r="K13" s="102" t="s">
        <v>381</v>
      </c>
      <c r="L13" s="236">
        <v>14872.6</v>
      </c>
      <c r="M13" s="237">
        <v>134303</v>
      </c>
      <c r="N13" s="238">
        <v>3060</v>
      </c>
      <c r="O13" s="277"/>
      <c r="P13" s="277">
        <f>C13+I13+M13+N13+L13-R13</f>
        <v>161391.96</v>
      </c>
      <c r="Q13" s="167">
        <f t="shared" si="0"/>
        <v>-4.0000000008149073E-2</v>
      </c>
      <c r="R13" s="254">
        <v>5618.64</v>
      </c>
      <c r="S13" s="33" t="s">
        <v>381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43632</v>
      </c>
      <c r="C14" s="234">
        <v>1232</v>
      </c>
      <c r="D14" s="314" t="s">
        <v>49</v>
      </c>
      <c r="E14" s="312">
        <v>43632</v>
      </c>
      <c r="F14" s="233">
        <v>136203</v>
      </c>
      <c r="G14" s="244"/>
      <c r="H14" s="313">
        <v>43632</v>
      </c>
      <c r="I14" s="235">
        <v>400</v>
      </c>
      <c r="J14" s="106">
        <v>43638</v>
      </c>
      <c r="K14" s="102" t="s">
        <v>382</v>
      </c>
      <c r="L14" s="236">
        <v>15539.27</v>
      </c>
      <c r="M14" s="237">
        <v>128400</v>
      </c>
      <c r="N14" s="238">
        <v>6178</v>
      </c>
      <c r="O14" s="277"/>
      <c r="P14" s="277">
        <f t="shared" ref="P14:P25" si="1">C14+I14+M14+N14</f>
        <v>136210</v>
      </c>
      <c r="Q14" s="4">
        <f t="shared" si="0"/>
        <v>7</v>
      </c>
      <c r="R14" s="254">
        <v>5618.64</v>
      </c>
      <c r="S14" s="33" t="s">
        <v>382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43633</v>
      </c>
      <c r="C15" s="234">
        <v>14889.6</v>
      </c>
      <c r="D15" s="242" t="s">
        <v>274</v>
      </c>
      <c r="E15" s="312">
        <v>43633</v>
      </c>
      <c r="F15" s="233">
        <v>83381</v>
      </c>
      <c r="G15" s="244"/>
      <c r="H15" s="313">
        <v>43633</v>
      </c>
      <c r="I15" s="235">
        <v>0</v>
      </c>
      <c r="J15" s="106">
        <v>43645</v>
      </c>
      <c r="K15" s="102" t="s">
        <v>383</v>
      </c>
      <c r="L15" s="236">
        <v>14815.38</v>
      </c>
      <c r="M15" s="237">
        <v>61355</v>
      </c>
      <c r="N15" s="238">
        <v>7136</v>
      </c>
      <c r="O15" s="277"/>
      <c r="P15" s="277">
        <f t="shared" si="1"/>
        <v>83380.600000000006</v>
      </c>
      <c r="Q15" s="167">
        <f t="shared" si="0"/>
        <v>-0.39999999999417923</v>
      </c>
      <c r="R15" s="254">
        <v>5168.5600000000004</v>
      </c>
      <c r="S15" s="33" t="s">
        <v>407</v>
      </c>
      <c r="T15" s="228"/>
      <c r="U15" s="133" t="s">
        <v>13</v>
      </c>
      <c r="V15" s="132">
        <f>SUM(V4:V14)</f>
        <v>20040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43634</v>
      </c>
      <c r="C16" s="234">
        <v>1694</v>
      </c>
      <c r="D16" s="242" t="s">
        <v>342</v>
      </c>
      <c r="E16" s="312">
        <v>43634</v>
      </c>
      <c r="F16" s="233">
        <v>76303</v>
      </c>
      <c r="G16" s="244"/>
      <c r="H16" s="313">
        <v>43634</v>
      </c>
      <c r="I16" s="235">
        <v>0</v>
      </c>
      <c r="J16" s="42"/>
      <c r="K16" s="25" t="s">
        <v>384</v>
      </c>
      <c r="L16" s="4">
        <v>0</v>
      </c>
      <c r="M16" s="237">
        <v>74609</v>
      </c>
      <c r="N16" s="238">
        <v>0</v>
      </c>
      <c r="O16" s="277"/>
      <c r="P16" s="277">
        <f t="shared" si="1"/>
        <v>76303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43635</v>
      </c>
      <c r="C17" s="234">
        <v>2188</v>
      </c>
      <c r="D17" s="315" t="s">
        <v>184</v>
      </c>
      <c r="E17" s="312">
        <v>43635</v>
      </c>
      <c r="F17" s="233">
        <v>75867</v>
      </c>
      <c r="G17" s="244"/>
      <c r="H17" s="313">
        <v>43635</v>
      </c>
      <c r="I17" s="240">
        <v>215.95</v>
      </c>
      <c r="J17" s="96">
        <v>43638</v>
      </c>
      <c r="K17" s="148" t="s">
        <v>402</v>
      </c>
      <c r="L17" s="210">
        <v>2142.86</v>
      </c>
      <c r="M17" s="237">
        <v>73006</v>
      </c>
      <c r="N17" s="238">
        <v>457</v>
      </c>
      <c r="O17" s="277"/>
      <c r="P17" s="277">
        <f t="shared" si="1"/>
        <v>75866.95</v>
      </c>
      <c r="Q17" s="167">
        <f t="shared" si="0"/>
        <v>-5.0000000002910383E-2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43636</v>
      </c>
      <c r="C18" s="234">
        <v>17397</v>
      </c>
      <c r="D18" s="242" t="s">
        <v>399</v>
      </c>
      <c r="E18" s="312">
        <v>43636</v>
      </c>
      <c r="F18" s="233">
        <v>75244</v>
      </c>
      <c r="G18" s="244"/>
      <c r="H18" s="313">
        <v>43636</v>
      </c>
      <c r="I18" s="235">
        <v>268</v>
      </c>
      <c r="J18" s="42"/>
      <c r="K18" s="317" t="s">
        <v>403</v>
      </c>
      <c r="L18" s="236">
        <v>0</v>
      </c>
      <c r="M18" s="237">
        <v>54091</v>
      </c>
      <c r="N18" s="238">
        <v>3488.01</v>
      </c>
      <c r="O18" s="277"/>
      <c r="P18" s="277">
        <f t="shared" si="1"/>
        <v>75244.009999999995</v>
      </c>
      <c r="Q18" s="4">
        <f t="shared" si="0"/>
        <v>9.9999999947613105E-3</v>
      </c>
      <c r="R18" s="4">
        <f>SUM(R12:R17)</f>
        <v>22024.480000000003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43637</v>
      </c>
      <c r="C19" s="234">
        <v>1679</v>
      </c>
      <c r="D19" s="316" t="s">
        <v>400</v>
      </c>
      <c r="E19" s="312">
        <v>43637</v>
      </c>
      <c r="F19" s="233">
        <v>126396</v>
      </c>
      <c r="G19" s="244"/>
      <c r="H19" s="313">
        <v>43637</v>
      </c>
      <c r="I19" s="235">
        <v>12306</v>
      </c>
      <c r="J19" s="276"/>
      <c r="K19" s="150"/>
      <c r="L19" s="208">
        <v>0</v>
      </c>
      <c r="M19" s="237">
        <v>105155</v>
      </c>
      <c r="N19" s="238">
        <v>7256</v>
      </c>
      <c r="O19" s="277"/>
      <c r="P19" s="277">
        <f t="shared" si="1"/>
        <v>126396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43638</v>
      </c>
      <c r="C20" s="234">
        <v>830</v>
      </c>
      <c r="D20" s="242" t="s">
        <v>51</v>
      </c>
      <c r="E20" s="312">
        <v>43638</v>
      </c>
      <c r="F20" s="233">
        <v>118800</v>
      </c>
      <c r="G20" s="244"/>
      <c r="H20" s="313">
        <v>43638</v>
      </c>
      <c r="I20" s="235">
        <v>0</v>
      </c>
      <c r="J20" s="42"/>
      <c r="K20" s="149"/>
      <c r="L20" s="210">
        <v>0</v>
      </c>
      <c r="M20" s="237">
        <v>104330</v>
      </c>
      <c r="N20" s="238">
        <v>1576</v>
      </c>
      <c r="O20" s="277"/>
      <c r="P20" s="277">
        <f>C20+I20+M20+N20+L17+L14-R14</f>
        <v>118799.49</v>
      </c>
      <c r="Q20" s="167">
        <f t="shared" si="0"/>
        <v>-0.50999999999476131</v>
      </c>
      <c r="S20" s="5"/>
      <c r="U20" s="390" t="s">
        <v>56</v>
      </c>
      <c r="V20" s="391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43639</v>
      </c>
      <c r="C21" s="234">
        <v>1148</v>
      </c>
      <c r="D21" s="242" t="s">
        <v>49</v>
      </c>
      <c r="E21" s="312">
        <v>43639</v>
      </c>
      <c r="F21" s="233">
        <v>141326</v>
      </c>
      <c r="G21" s="244"/>
      <c r="H21" s="313">
        <v>43639</v>
      </c>
      <c r="I21" s="235">
        <v>0</v>
      </c>
      <c r="J21" s="44"/>
      <c r="K21" s="195"/>
      <c r="L21" s="210">
        <v>0</v>
      </c>
      <c r="M21" s="237">
        <v>135920</v>
      </c>
      <c r="N21" s="238">
        <v>4258</v>
      </c>
      <c r="O21" s="277"/>
      <c r="P21" s="277">
        <f t="shared" si="1"/>
        <v>141326</v>
      </c>
      <c r="Q21" s="4">
        <f t="shared" si="0"/>
        <v>0</v>
      </c>
      <c r="S21" s="5"/>
      <c r="T21" s="228">
        <v>43623</v>
      </c>
      <c r="U21" s="25" t="s">
        <v>39</v>
      </c>
      <c r="V21" s="125">
        <v>4000</v>
      </c>
      <c r="W21" t="s">
        <v>392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43640</v>
      </c>
      <c r="C22" s="234">
        <v>15010</v>
      </c>
      <c r="D22" s="242" t="s">
        <v>404</v>
      </c>
      <c r="E22" s="312">
        <v>43640</v>
      </c>
      <c r="F22" s="233">
        <v>82277</v>
      </c>
      <c r="G22" s="244"/>
      <c r="H22" s="313">
        <v>43640</v>
      </c>
      <c r="I22" s="235">
        <v>84</v>
      </c>
      <c r="J22" s="34"/>
      <c r="K22" s="153"/>
      <c r="L22" s="210">
        <v>0</v>
      </c>
      <c r="M22" s="237">
        <f>1143+6490+67450</f>
        <v>75083</v>
      </c>
      <c r="N22" s="238">
        <v>469</v>
      </c>
      <c r="O22" s="319"/>
      <c r="P22" s="277">
        <f t="shared" si="1"/>
        <v>90646</v>
      </c>
      <c r="Q22" s="4">
        <f t="shared" si="0"/>
        <v>8369</v>
      </c>
      <c r="S22" s="5"/>
      <c r="T22" s="228">
        <v>43630</v>
      </c>
      <c r="U22" s="102" t="s">
        <v>39</v>
      </c>
      <c r="V22" s="103">
        <v>2000</v>
      </c>
      <c r="W22" t="s">
        <v>395</v>
      </c>
    </row>
    <row r="23" spans="1:28" ht="15.75" thickBot="1" x14ac:dyDescent="0.3">
      <c r="A23" s="21"/>
      <c r="B23" s="241">
        <v>43641</v>
      </c>
      <c r="C23" s="234">
        <v>205</v>
      </c>
      <c r="D23" s="242" t="s">
        <v>48</v>
      </c>
      <c r="E23" s="312">
        <v>43641</v>
      </c>
      <c r="F23" s="233">
        <v>71739</v>
      </c>
      <c r="G23" s="244"/>
      <c r="H23" s="313">
        <v>43641</v>
      </c>
      <c r="I23" s="235">
        <v>0</v>
      </c>
      <c r="J23" s="95"/>
      <c r="K23" s="154"/>
      <c r="L23" s="210">
        <v>0</v>
      </c>
      <c r="M23" s="237">
        <v>70700</v>
      </c>
      <c r="N23" s="238">
        <v>843</v>
      </c>
      <c r="O23" s="277"/>
      <c r="P23" s="277">
        <f t="shared" si="1"/>
        <v>71748</v>
      </c>
      <c r="Q23" s="4">
        <f t="shared" si="0"/>
        <v>9</v>
      </c>
      <c r="S23" s="5"/>
      <c r="T23" s="228">
        <v>43637</v>
      </c>
      <c r="U23" s="102" t="s">
        <v>39</v>
      </c>
      <c r="V23" s="103">
        <v>2000</v>
      </c>
      <c r="W23" t="s">
        <v>401</v>
      </c>
    </row>
    <row r="24" spans="1:28" ht="15.75" thickBot="1" x14ac:dyDescent="0.3">
      <c r="A24" s="21"/>
      <c r="B24" s="241">
        <v>43642</v>
      </c>
      <c r="C24" s="234">
        <v>3156</v>
      </c>
      <c r="D24" s="242" t="s">
        <v>405</v>
      </c>
      <c r="E24" s="312">
        <v>43642</v>
      </c>
      <c r="F24" s="233">
        <v>85604</v>
      </c>
      <c r="G24" s="244"/>
      <c r="H24" s="313">
        <v>43642</v>
      </c>
      <c r="I24" s="235">
        <v>1170</v>
      </c>
      <c r="J24" s="46"/>
      <c r="K24" s="155"/>
      <c r="L24" s="135">
        <v>0</v>
      </c>
      <c r="M24" s="237">
        <v>79896</v>
      </c>
      <c r="N24" s="238">
        <v>1382</v>
      </c>
      <c r="O24" s="277"/>
      <c r="P24" s="277">
        <f t="shared" si="1"/>
        <v>85604</v>
      </c>
      <c r="Q24" s="4">
        <f t="shared" si="0"/>
        <v>0</v>
      </c>
      <c r="S24" s="5"/>
      <c r="T24" s="228">
        <v>43645</v>
      </c>
      <c r="U24" s="102" t="s">
        <v>39</v>
      </c>
      <c r="V24" s="104">
        <v>2000</v>
      </c>
      <c r="W24" t="s">
        <v>408</v>
      </c>
    </row>
    <row r="25" spans="1:28" ht="15.75" thickBot="1" x14ac:dyDescent="0.3">
      <c r="A25" s="21"/>
      <c r="B25" s="241">
        <v>43643</v>
      </c>
      <c r="C25" s="234">
        <v>0</v>
      </c>
      <c r="D25" s="242"/>
      <c r="E25" s="312">
        <v>43643</v>
      </c>
      <c r="F25" s="233">
        <v>69234</v>
      </c>
      <c r="G25" s="244"/>
      <c r="H25" s="313">
        <v>43643</v>
      </c>
      <c r="I25" s="235">
        <v>200</v>
      </c>
      <c r="J25" s="109"/>
      <c r="K25" s="155"/>
      <c r="L25" s="135">
        <v>0</v>
      </c>
      <c r="M25" s="237">
        <v>68818</v>
      </c>
      <c r="N25" s="238">
        <v>216</v>
      </c>
      <c r="O25" s="277"/>
      <c r="P25" s="277">
        <f t="shared" si="1"/>
        <v>69234</v>
      </c>
      <c r="Q25" s="4">
        <f t="shared" si="0"/>
        <v>0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43644</v>
      </c>
      <c r="C26" s="234">
        <v>2305</v>
      </c>
      <c r="D26" s="242" t="s">
        <v>49</v>
      </c>
      <c r="E26" s="312">
        <v>43644</v>
      </c>
      <c r="F26" s="233">
        <v>118745</v>
      </c>
      <c r="G26" s="244"/>
      <c r="H26" s="313">
        <v>43644</v>
      </c>
      <c r="I26" s="235">
        <v>2108</v>
      </c>
      <c r="J26" s="4"/>
      <c r="K26" s="148"/>
      <c r="L26" s="135">
        <v>0</v>
      </c>
      <c r="M26" s="237">
        <v>111944</v>
      </c>
      <c r="N26" s="238">
        <v>2388</v>
      </c>
      <c r="O26" s="277"/>
      <c r="P26" s="277">
        <f>I26+M26+N26+C26</f>
        <v>118745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43645</v>
      </c>
      <c r="C27" s="234">
        <v>19819.400000000001</v>
      </c>
      <c r="D27" s="315" t="s">
        <v>406</v>
      </c>
      <c r="E27" s="312">
        <v>43645</v>
      </c>
      <c r="F27" s="233">
        <v>142018</v>
      </c>
      <c r="G27" s="244"/>
      <c r="H27" s="313">
        <v>43645</v>
      </c>
      <c r="I27" s="235">
        <v>10010</v>
      </c>
      <c r="J27" s="4"/>
      <c r="K27" s="148"/>
      <c r="L27" s="135">
        <v>0</v>
      </c>
      <c r="M27" s="237">
        <v>99854</v>
      </c>
      <c r="N27" s="238">
        <v>2688</v>
      </c>
      <c r="O27" s="277"/>
      <c r="P27" s="277">
        <f>I27+M27+N27+C27+L10+L15-R15</f>
        <v>142018.22</v>
      </c>
      <c r="Q27" s="4">
        <f t="shared" si="0"/>
        <v>0.22000000000116415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43646</v>
      </c>
      <c r="C28" s="234">
        <v>1598</v>
      </c>
      <c r="D28" s="242" t="s">
        <v>49</v>
      </c>
      <c r="E28" s="312">
        <v>43646</v>
      </c>
      <c r="F28" s="233">
        <v>98397</v>
      </c>
      <c r="G28" s="244"/>
      <c r="H28" s="313">
        <v>43646</v>
      </c>
      <c r="I28" s="235">
        <v>0</v>
      </c>
      <c r="J28" s="4" t="s">
        <v>7</v>
      </c>
      <c r="K28" s="156"/>
      <c r="L28" s="135">
        <v>0</v>
      </c>
      <c r="M28" s="237">
        <v>71000</v>
      </c>
      <c r="N28" s="238">
        <v>5806</v>
      </c>
      <c r="O28" s="277"/>
      <c r="P28" s="277">
        <f>I28+M28+N28+C28+L11+L9</f>
        <v>98404</v>
      </c>
      <c r="Q28" s="4">
        <f t="shared" si="0"/>
        <v>7</v>
      </c>
      <c r="T28" s="228"/>
      <c r="U28" s="127"/>
      <c r="V28" s="129">
        <v>0</v>
      </c>
    </row>
    <row r="29" spans="1:28" ht="19.5" thickBot="1" x14ac:dyDescent="0.35">
      <c r="A29" s="21"/>
      <c r="B29" s="241">
        <v>43647</v>
      </c>
      <c r="C29" s="247">
        <v>0</v>
      </c>
      <c r="D29" s="315"/>
      <c r="E29" s="312">
        <v>43647</v>
      </c>
      <c r="F29" s="245">
        <v>92017</v>
      </c>
      <c r="G29" s="244"/>
      <c r="H29" s="313">
        <v>43647</v>
      </c>
      <c r="I29" s="246">
        <v>0</v>
      </c>
      <c r="J29" s="4"/>
      <c r="K29" s="157"/>
      <c r="L29" s="137">
        <v>0</v>
      </c>
      <c r="M29" s="237">
        <v>90950</v>
      </c>
      <c r="N29" s="238">
        <v>1054</v>
      </c>
      <c r="O29" s="277"/>
      <c r="P29" s="277">
        <f>I29+M29+N29+C29</f>
        <v>92004</v>
      </c>
      <c r="Q29" s="167">
        <f t="shared" si="0"/>
        <v>-13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43648</v>
      </c>
      <c r="C30" s="249">
        <v>17502</v>
      </c>
      <c r="D30" s="315" t="s">
        <v>409</v>
      </c>
      <c r="E30" s="312">
        <v>43648</v>
      </c>
      <c r="F30" s="249">
        <v>73580</v>
      </c>
      <c r="G30" s="244"/>
      <c r="H30" s="313">
        <v>43648</v>
      </c>
      <c r="I30" s="249">
        <v>40</v>
      </c>
      <c r="J30" s="34"/>
      <c r="K30" s="157"/>
      <c r="L30" s="137">
        <v>0</v>
      </c>
      <c r="M30" s="237">
        <v>53526</v>
      </c>
      <c r="N30" s="238">
        <v>878</v>
      </c>
      <c r="O30" s="277"/>
      <c r="P30" s="277">
        <f>I30+M30+N30+C30+L7</f>
        <v>73593</v>
      </c>
      <c r="Q30" s="4">
        <f t="shared" si="0"/>
        <v>13</v>
      </c>
      <c r="R30" s="251"/>
      <c r="S30" s="4"/>
      <c r="T30" s="25"/>
    </row>
    <row r="31" spans="1:28" ht="15.75" thickBot="1" x14ac:dyDescent="0.3">
      <c r="A31" s="21"/>
      <c r="B31" s="241">
        <v>43649</v>
      </c>
      <c r="C31" s="249">
        <v>6084</v>
      </c>
      <c r="D31" s="315" t="s">
        <v>410</v>
      </c>
      <c r="E31" s="312">
        <v>43649</v>
      </c>
      <c r="F31" s="249">
        <v>82492</v>
      </c>
      <c r="G31" s="244"/>
      <c r="H31" s="313">
        <v>43649</v>
      </c>
      <c r="I31" s="249">
        <v>0</v>
      </c>
      <c r="J31" s="34">
        <v>43649</v>
      </c>
      <c r="K31" s="215" t="s">
        <v>345</v>
      </c>
      <c r="L31" s="158">
        <v>870</v>
      </c>
      <c r="M31" s="237">
        <v>65709</v>
      </c>
      <c r="N31" s="238">
        <v>9829</v>
      </c>
      <c r="O31" s="277"/>
      <c r="P31" s="277">
        <f>I31+M31+N31+C31+L31</f>
        <v>82492</v>
      </c>
      <c r="Q31" s="4">
        <f t="shared" si="0"/>
        <v>0</v>
      </c>
      <c r="R31" s="4"/>
      <c r="S31" s="167"/>
      <c r="T31" s="25"/>
    </row>
    <row r="32" spans="1:28" ht="15.75" thickBot="1" x14ac:dyDescent="0.3">
      <c r="A32" s="21"/>
      <c r="B32" s="241">
        <v>43650</v>
      </c>
      <c r="C32" s="249">
        <v>2003</v>
      </c>
      <c r="D32" s="315" t="s">
        <v>197</v>
      </c>
      <c r="E32" s="312">
        <v>43650</v>
      </c>
      <c r="F32" s="249">
        <v>115738</v>
      </c>
      <c r="G32" s="244"/>
      <c r="H32" s="313">
        <v>43650</v>
      </c>
      <c r="I32" s="249">
        <v>0</v>
      </c>
      <c r="J32" s="4"/>
      <c r="K32" s="215"/>
      <c r="L32" s="209"/>
      <c r="M32" s="237">
        <f>97227+15532</f>
        <v>112759</v>
      </c>
      <c r="N32" s="238">
        <v>976</v>
      </c>
      <c r="O32" s="277" t="s">
        <v>7</v>
      </c>
      <c r="P32" s="277">
        <f t="shared" ref="P32" si="2">I32+M32+N32+C32</f>
        <v>115738</v>
      </c>
      <c r="Q32" s="4">
        <f t="shared" si="0"/>
        <v>0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2527199.5</v>
      </c>
      <c r="N33" s="211">
        <f>SUM(N5:N32)</f>
        <v>86503.010000000009</v>
      </c>
      <c r="O33" s="302"/>
      <c r="P33" s="211">
        <f>SUM(P5:P32)</f>
        <v>2894979.2800000003</v>
      </c>
      <c r="Q33" s="118">
        <f>SUM(Q5:Q32)</f>
        <v>8391.279999999977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160447.12</v>
      </c>
      <c r="E34" s="58" t="s">
        <v>13</v>
      </c>
      <c r="F34" s="59">
        <f>SUM(F5:F33)</f>
        <v>2886588</v>
      </c>
      <c r="H34" s="6" t="s">
        <v>13</v>
      </c>
      <c r="I34" s="4">
        <f>SUM(I5:I33)</f>
        <v>57998.75</v>
      </c>
      <c r="J34" s="4"/>
      <c r="K34" s="60" t="s">
        <v>13</v>
      </c>
      <c r="L34" s="40">
        <f>SUM(L5:L33)</f>
        <v>84855.38</v>
      </c>
      <c r="O34" s="257"/>
      <c r="T34" s="5"/>
    </row>
    <row r="35" spans="1:20" ht="19.5" thickBot="1" x14ac:dyDescent="0.3">
      <c r="C35" s="5" t="s">
        <v>7</v>
      </c>
      <c r="M35" s="412">
        <f>N33+M33</f>
        <v>2613702.5099999998</v>
      </c>
      <c r="N35" s="413"/>
      <c r="O35" s="303"/>
      <c r="P35" s="303"/>
      <c r="T35" s="5"/>
    </row>
    <row r="36" spans="1:20" ht="15.75" x14ac:dyDescent="0.25">
      <c r="A36" s="25"/>
      <c r="B36" s="61"/>
      <c r="C36" s="4"/>
      <c r="H36" s="384" t="s">
        <v>14</v>
      </c>
      <c r="I36" s="385"/>
      <c r="J36" s="322"/>
      <c r="K36" s="386">
        <f>I34+L34</f>
        <v>142854.13</v>
      </c>
      <c r="L36" s="387"/>
      <c r="R36" s="4"/>
      <c r="S36" s="41"/>
      <c r="T36" s="5"/>
    </row>
    <row r="37" spans="1:20" ht="15.75" x14ac:dyDescent="0.25">
      <c r="D37" s="393" t="s">
        <v>15</v>
      </c>
      <c r="E37" s="393"/>
      <c r="F37" s="205">
        <f>F34-K36-C34</f>
        <v>2583286.75</v>
      </c>
      <c r="I37" s="63"/>
      <c r="J37" s="63"/>
      <c r="T37" s="5"/>
    </row>
    <row r="38" spans="1:20" ht="18.75" x14ac:dyDescent="0.3">
      <c r="D38" s="394" t="s">
        <v>16</v>
      </c>
      <c r="E38" s="394"/>
      <c r="F38" s="110">
        <v>-2370355</v>
      </c>
      <c r="I38" s="395" t="s">
        <v>17</v>
      </c>
      <c r="J38" s="396"/>
      <c r="K38" s="397">
        <f>F43</f>
        <v>483700.33</v>
      </c>
      <c r="L38" s="398"/>
      <c r="T38" s="5"/>
    </row>
    <row r="39" spans="1:20" ht="4.5" customHeight="1" thickBot="1" x14ac:dyDescent="0.35">
      <c r="D39" s="64"/>
      <c r="E39" s="65"/>
      <c r="F39" s="66" t="s">
        <v>7</v>
      </c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212931.75</v>
      </c>
      <c r="I40" s="69" t="s">
        <v>20</v>
      </c>
      <c r="J40" s="70"/>
      <c r="K40" s="418">
        <f>-C4</f>
        <v>-281768.01</v>
      </c>
      <c r="L40" s="419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2758.8</v>
      </c>
      <c r="T41" s="5"/>
    </row>
    <row r="42" spans="1:20" ht="20.25" thickTop="1" thickBot="1" x14ac:dyDescent="0.35">
      <c r="C42" s="321">
        <v>43650</v>
      </c>
      <c r="D42" s="420" t="s">
        <v>24</v>
      </c>
      <c r="E42" s="421"/>
      <c r="F42" s="72">
        <v>268009.78000000003</v>
      </c>
      <c r="I42" s="414" t="s">
        <v>95</v>
      </c>
      <c r="J42" s="415"/>
      <c r="K42" s="416">
        <f>K38+K40</f>
        <v>201932.32</v>
      </c>
      <c r="L42" s="417"/>
    </row>
    <row r="43" spans="1:20" ht="18.75" x14ac:dyDescent="0.3">
      <c r="C43" s="59"/>
      <c r="D43" s="58"/>
      <c r="E43" s="33" t="s">
        <v>25</v>
      </c>
      <c r="F43" s="73">
        <f>F40+F41+F42</f>
        <v>483700.33</v>
      </c>
      <c r="J43" s="6"/>
      <c r="M43" s="74"/>
    </row>
    <row r="45" spans="1:20" x14ac:dyDescent="0.25">
      <c r="B45"/>
      <c r="C45"/>
      <c r="D45" s="392"/>
      <c r="E45" s="392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8">
    <mergeCell ref="M35:N35"/>
    <mergeCell ref="C1:K1"/>
    <mergeCell ref="U3:V3"/>
    <mergeCell ref="E4:F4"/>
    <mergeCell ref="U20:V20"/>
    <mergeCell ref="H4:I4"/>
    <mergeCell ref="B3:C3"/>
    <mergeCell ref="H36:I36"/>
    <mergeCell ref="K36:L36"/>
    <mergeCell ref="D37:E37"/>
    <mergeCell ref="D38:E38"/>
    <mergeCell ref="I38:J38"/>
    <mergeCell ref="K38:L38"/>
    <mergeCell ref="K40:L40"/>
    <mergeCell ref="D42:E42"/>
    <mergeCell ref="I42:J42"/>
    <mergeCell ref="K42:L42"/>
    <mergeCell ref="D45:E45"/>
  </mergeCells>
  <pageMargins left="0.15748031496062992" right="0.11811023622047245" top="0.31496062992125984" bottom="0.31496062992125984" header="0.31496062992125984" footer="0.31496062992125984"/>
  <pageSetup scale="8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4642-29BA-4691-896D-8715E5826E17}">
  <sheetPr>
    <tabColor theme="9" tint="-0.249977111117893"/>
  </sheetPr>
  <dimension ref="A1:F83"/>
  <sheetViews>
    <sheetView topLeftCell="A40" workbookViewId="0">
      <selection activeCell="D49" sqref="D4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43623</v>
      </c>
      <c r="B3" s="256" t="s">
        <v>417</v>
      </c>
      <c r="C3" s="257">
        <v>8304.4</v>
      </c>
      <c r="D3" s="258"/>
      <c r="E3" s="257"/>
      <c r="F3" s="79">
        <f>C3-E3</f>
        <v>8304.4</v>
      </c>
    </row>
    <row r="4" spans="1:6" x14ac:dyDescent="0.25">
      <c r="A4" s="255">
        <v>43623</v>
      </c>
      <c r="B4" s="256" t="s">
        <v>418</v>
      </c>
      <c r="C4" s="257">
        <v>11629.2</v>
      </c>
      <c r="D4" s="258"/>
      <c r="E4" s="257"/>
      <c r="F4" s="79">
        <f>F3+C4-E4</f>
        <v>19933.599999999999</v>
      </c>
    </row>
    <row r="5" spans="1:6" x14ac:dyDescent="0.25">
      <c r="A5" s="259">
        <v>43623</v>
      </c>
      <c r="B5" s="260" t="s">
        <v>416</v>
      </c>
      <c r="C5" s="257">
        <v>185575.95</v>
      </c>
      <c r="D5" s="258"/>
      <c r="E5" s="257"/>
      <c r="F5" s="79">
        <f t="shared" ref="F5:F46" si="0">F4+C5-E5</f>
        <v>205509.55000000002</v>
      </c>
    </row>
    <row r="6" spans="1:6" x14ac:dyDescent="0.25">
      <c r="A6" s="259">
        <v>43623</v>
      </c>
      <c r="B6" s="260" t="s">
        <v>419</v>
      </c>
      <c r="C6" s="257">
        <v>31445.1</v>
      </c>
      <c r="D6" s="258"/>
      <c r="E6" s="257"/>
      <c r="F6" s="79">
        <f t="shared" si="0"/>
        <v>236954.65000000002</v>
      </c>
    </row>
    <row r="7" spans="1:6" x14ac:dyDescent="0.25">
      <c r="A7" s="259">
        <v>43624</v>
      </c>
      <c r="B7" s="260" t="s">
        <v>420</v>
      </c>
      <c r="C7" s="257">
        <v>119639.51</v>
      </c>
      <c r="D7" s="258"/>
      <c r="E7" s="257"/>
      <c r="F7" s="79">
        <f t="shared" si="0"/>
        <v>356594.16000000003</v>
      </c>
    </row>
    <row r="8" spans="1:6" x14ac:dyDescent="0.25">
      <c r="A8" s="259">
        <v>43625</v>
      </c>
      <c r="B8" s="260" t="s">
        <v>421</v>
      </c>
      <c r="C8" s="257">
        <v>964.8</v>
      </c>
      <c r="D8" s="261"/>
      <c r="E8" s="257"/>
      <c r="F8" s="79">
        <f t="shared" si="0"/>
        <v>357558.96</v>
      </c>
    </row>
    <row r="9" spans="1:6" x14ac:dyDescent="0.25">
      <c r="A9" s="259">
        <v>43627</v>
      </c>
      <c r="B9" s="260" t="s">
        <v>422</v>
      </c>
      <c r="C9" s="257">
        <v>180216</v>
      </c>
      <c r="D9" s="258">
        <v>43628</v>
      </c>
      <c r="E9" s="257">
        <v>537774.96</v>
      </c>
      <c r="F9" s="79">
        <f t="shared" si="0"/>
        <v>0</v>
      </c>
    </row>
    <row r="10" spans="1:6" x14ac:dyDescent="0.25">
      <c r="A10" s="259">
        <v>43629</v>
      </c>
      <c r="B10" s="260" t="s">
        <v>423</v>
      </c>
      <c r="C10" s="257">
        <v>137080.76999999999</v>
      </c>
      <c r="D10" s="258"/>
      <c r="E10" s="257"/>
      <c r="F10" s="79">
        <f t="shared" si="0"/>
        <v>137080.76999999999</v>
      </c>
    </row>
    <row r="11" spans="1:6" x14ac:dyDescent="0.25">
      <c r="A11" s="262">
        <v>43629</v>
      </c>
      <c r="B11" s="260" t="s">
        <v>424</v>
      </c>
      <c r="C11" s="257">
        <v>52722.95</v>
      </c>
      <c r="D11" s="258"/>
      <c r="E11" s="257"/>
      <c r="F11" s="79">
        <f t="shared" si="0"/>
        <v>189803.71999999997</v>
      </c>
    </row>
    <row r="12" spans="1:6" x14ac:dyDescent="0.25">
      <c r="A12" s="259">
        <v>43630</v>
      </c>
      <c r="B12" s="260" t="s">
        <v>425</v>
      </c>
      <c r="C12" s="257">
        <v>17788.62</v>
      </c>
      <c r="D12" s="258"/>
      <c r="E12" s="257"/>
      <c r="F12" s="79">
        <f t="shared" si="0"/>
        <v>207592.33999999997</v>
      </c>
    </row>
    <row r="13" spans="1:6" x14ac:dyDescent="0.25">
      <c r="A13" s="259">
        <v>43630</v>
      </c>
      <c r="B13" s="260" t="s">
        <v>426</v>
      </c>
      <c r="C13" s="257">
        <v>1890</v>
      </c>
      <c r="D13" s="258">
        <v>43631</v>
      </c>
      <c r="E13" s="257">
        <v>209482.34</v>
      </c>
      <c r="F13" s="79">
        <f t="shared" si="0"/>
        <v>0</v>
      </c>
    </row>
    <row r="14" spans="1:6" x14ac:dyDescent="0.25">
      <c r="A14" s="259">
        <v>43630</v>
      </c>
      <c r="B14" s="260" t="s">
        <v>427</v>
      </c>
      <c r="C14" s="257">
        <v>88553.5</v>
      </c>
      <c r="D14" s="258"/>
      <c r="E14" s="257"/>
      <c r="F14" s="79">
        <f t="shared" si="0"/>
        <v>88553.5</v>
      </c>
    </row>
    <row r="15" spans="1:6" x14ac:dyDescent="0.25">
      <c r="A15" s="259">
        <v>43631</v>
      </c>
      <c r="B15" s="260" t="s">
        <v>428</v>
      </c>
      <c r="C15" s="257">
        <v>102154.41</v>
      </c>
      <c r="D15" s="258"/>
      <c r="E15" s="257"/>
      <c r="F15" s="79">
        <f t="shared" si="0"/>
        <v>190707.91</v>
      </c>
    </row>
    <row r="16" spans="1:6" x14ac:dyDescent="0.25">
      <c r="A16" s="259">
        <v>43632</v>
      </c>
      <c r="B16" s="260" t="s">
        <v>429</v>
      </c>
      <c r="C16" s="257">
        <v>14709.6</v>
      </c>
      <c r="D16" s="258"/>
      <c r="E16" s="257"/>
      <c r="F16" s="79">
        <f t="shared" si="0"/>
        <v>205417.51</v>
      </c>
    </row>
    <row r="17" spans="1:6" x14ac:dyDescent="0.25">
      <c r="A17" s="259">
        <v>43633</v>
      </c>
      <c r="B17" s="260" t="s">
        <v>430</v>
      </c>
      <c r="C17" s="257">
        <v>201853.55</v>
      </c>
      <c r="D17" s="258">
        <v>43635</v>
      </c>
      <c r="E17" s="257">
        <v>407271.06</v>
      </c>
      <c r="F17" s="79">
        <f t="shared" si="0"/>
        <v>0</v>
      </c>
    </row>
    <row r="18" spans="1:6" x14ac:dyDescent="0.25">
      <c r="A18" s="259">
        <v>43636</v>
      </c>
      <c r="B18" s="260" t="s">
        <v>431</v>
      </c>
      <c r="C18" s="257">
        <v>129704.06</v>
      </c>
      <c r="D18" s="258"/>
      <c r="E18" s="257"/>
      <c r="F18" s="79">
        <f t="shared" si="0"/>
        <v>129704.06</v>
      </c>
    </row>
    <row r="19" spans="1:6" x14ac:dyDescent="0.25">
      <c r="A19" s="259">
        <v>43636</v>
      </c>
      <c r="B19" s="260" t="s">
        <v>432</v>
      </c>
      <c r="C19" s="257">
        <v>2262.6</v>
      </c>
      <c r="D19" s="261"/>
      <c r="E19" s="257"/>
      <c r="F19" s="79">
        <f t="shared" si="0"/>
        <v>131966.66</v>
      </c>
    </row>
    <row r="20" spans="1:6" x14ac:dyDescent="0.25">
      <c r="A20" s="259">
        <v>43636</v>
      </c>
      <c r="B20" s="260" t="s">
        <v>433</v>
      </c>
      <c r="C20" s="257">
        <v>2400</v>
      </c>
      <c r="D20" s="258"/>
      <c r="E20" s="257"/>
      <c r="F20" s="79">
        <f t="shared" si="0"/>
        <v>134366.66</v>
      </c>
    </row>
    <row r="21" spans="1:6" x14ac:dyDescent="0.25">
      <c r="A21" s="259">
        <v>43636</v>
      </c>
      <c r="B21" s="260" t="s">
        <v>434</v>
      </c>
      <c r="C21" s="257">
        <v>755.25</v>
      </c>
      <c r="D21" s="258"/>
      <c r="E21" s="257"/>
      <c r="F21" s="79">
        <f t="shared" si="0"/>
        <v>135121.91</v>
      </c>
    </row>
    <row r="22" spans="1:6" x14ac:dyDescent="0.25">
      <c r="A22" s="259">
        <v>43637</v>
      </c>
      <c r="B22" s="260" t="s">
        <v>435</v>
      </c>
      <c r="C22" s="257">
        <v>94571.5</v>
      </c>
      <c r="D22" s="258"/>
      <c r="E22" s="257"/>
      <c r="F22" s="79">
        <f t="shared" si="0"/>
        <v>229693.41</v>
      </c>
    </row>
    <row r="23" spans="1:6" x14ac:dyDescent="0.25">
      <c r="A23" s="259">
        <v>43638</v>
      </c>
      <c r="B23" s="260" t="s">
        <v>436</v>
      </c>
      <c r="C23" s="257">
        <v>73261.8</v>
      </c>
      <c r="D23" s="258"/>
      <c r="E23" s="257"/>
      <c r="F23" s="79">
        <f t="shared" si="0"/>
        <v>302955.21000000002</v>
      </c>
    </row>
    <row r="24" spans="1:6" x14ac:dyDescent="0.25">
      <c r="A24" s="259">
        <v>43639</v>
      </c>
      <c r="B24" s="260" t="s">
        <v>437</v>
      </c>
      <c r="C24" s="257">
        <v>92429.55</v>
      </c>
      <c r="D24" s="258"/>
      <c r="E24" s="257"/>
      <c r="F24" s="79">
        <f t="shared" si="0"/>
        <v>395384.76</v>
      </c>
    </row>
    <row r="25" spans="1:6" x14ac:dyDescent="0.25">
      <c r="A25" s="259">
        <v>43641</v>
      </c>
      <c r="B25" s="260" t="s">
        <v>438</v>
      </c>
      <c r="C25" s="257">
        <v>9707.85</v>
      </c>
      <c r="D25" s="258"/>
      <c r="E25" s="257"/>
      <c r="F25" s="79">
        <f t="shared" si="0"/>
        <v>405092.61</v>
      </c>
    </row>
    <row r="26" spans="1:6" x14ac:dyDescent="0.25">
      <c r="A26" s="255">
        <v>43641</v>
      </c>
      <c r="B26" s="256" t="s">
        <v>439</v>
      </c>
      <c r="C26" s="257">
        <v>122054</v>
      </c>
      <c r="D26" s="258"/>
      <c r="E26" s="257"/>
      <c r="F26" s="79">
        <f t="shared" si="0"/>
        <v>527146.61</v>
      </c>
    </row>
    <row r="27" spans="1:6" x14ac:dyDescent="0.25">
      <c r="A27" s="255">
        <v>43641</v>
      </c>
      <c r="B27" s="256" t="s">
        <v>440</v>
      </c>
      <c r="C27" s="257">
        <v>7846.8</v>
      </c>
      <c r="D27" s="258">
        <v>43643</v>
      </c>
      <c r="E27" s="257">
        <v>534993.41</v>
      </c>
      <c r="F27" s="79">
        <f t="shared" si="0"/>
        <v>0</v>
      </c>
    </row>
    <row r="28" spans="1:6" x14ac:dyDescent="0.25">
      <c r="A28" s="255">
        <v>43642</v>
      </c>
      <c r="B28" s="256" t="s">
        <v>441</v>
      </c>
      <c r="C28" s="257">
        <v>55343.66</v>
      </c>
      <c r="D28" s="258"/>
      <c r="E28" s="257"/>
      <c r="F28" s="79">
        <f t="shared" si="0"/>
        <v>55343.66</v>
      </c>
    </row>
    <row r="29" spans="1:6" x14ac:dyDescent="0.25">
      <c r="A29" s="255">
        <v>43642</v>
      </c>
      <c r="B29" s="256" t="s">
        <v>442</v>
      </c>
      <c r="C29" s="257">
        <v>1470.96</v>
      </c>
      <c r="D29" s="258"/>
      <c r="E29" s="257"/>
      <c r="F29" s="79">
        <f t="shared" si="0"/>
        <v>56814.62</v>
      </c>
    </row>
    <row r="30" spans="1:6" x14ac:dyDescent="0.25">
      <c r="A30" s="255">
        <v>43643</v>
      </c>
      <c r="B30" s="256" t="s">
        <v>443</v>
      </c>
      <c r="C30" s="257">
        <v>6119.25</v>
      </c>
      <c r="D30" s="258"/>
      <c r="E30" s="257"/>
      <c r="F30" s="79">
        <f t="shared" si="0"/>
        <v>62933.87</v>
      </c>
    </row>
    <row r="31" spans="1:6" x14ac:dyDescent="0.25">
      <c r="A31" s="255">
        <v>43643</v>
      </c>
      <c r="B31" s="256" t="s">
        <v>444</v>
      </c>
      <c r="C31" s="257">
        <v>70049.5</v>
      </c>
      <c r="D31" s="258"/>
      <c r="E31" s="257"/>
      <c r="F31" s="79">
        <f t="shared" si="0"/>
        <v>132983.37</v>
      </c>
    </row>
    <row r="32" spans="1:6" x14ac:dyDescent="0.25">
      <c r="A32" s="255">
        <v>43644</v>
      </c>
      <c r="B32" s="256" t="s">
        <v>445</v>
      </c>
      <c r="C32" s="257">
        <v>3657.6</v>
      </c>
      <c r="D32" s="258"/>
      <c r="E32" s="257"/>
      <c r="F32" s="79">
        <f t="shared" si="0"/>
        <v>136640.97</v>
      </c>
    </row>
    <row r="33" spans="1:6" x14ac:dyDescent="0.25">
      <c r="A33" s="255">
        <v>43645</v>
      </c>
      <c r="B33" s="256" t="s">
        <v>446</v>
      </c>
      <c r="C33" s="257">
        <v>45030</v>
      </c>
      <c r="D33" s="258"/>
      <c r="E33" s="257"/>
      <c r="F33" s="79">
        <f t="shared" si="0"/>
        <v>181670.97</v>
      </c>
    </row>
    <row r="34" spans="1:6" x14ac:dyDescent="0.25">
      <c r="A34" s="255">
        <v>43645</v>
      </c>
      <c r="B34" s="256" t="s">
        <v>447</v>
      </c>
      <c r="C34" s="257">
        <v>121158.39999999999</v>
      </c>
      <c r="D34" s="258">
        <v>43645</v>
      </c>
      <c r="E34" s="257">
        <v>302829.37</v>
      </c>
      <c r="F34" s="79">
        <f t="shared" si="0"/>
        <v>0</v>
      </c>
    </row>
    <row r="35" spans="1:6" x14ac:dyDescent="0.25">
      <c r="A35" s="255">
        <v>43646</v>
      </c>
      <c r="B35" s="256" t="s">
        <v>448</v>
      </c>
      <c r="C35" s="257">
        <v>1374.8</v>
      </c>
      <c r="D35" s="258"/>
      <c r="E35" s="257"/>
      <c r="F35" s="79">
        <f t="shared" si="0"/>
        <v>1374.8</v>
      </c>
    </row>
    <row r="36" spans="1:6" x14ac:dyDescent="0.25">
      <c r="A36" s="255">
        <v>43646</v>
      </c>
      <c r="B36" s="256" t="s">
        <v>449</v>
      </c>
      <c r="C36" s="257">
        <v>1660.35</v>
      </c>
      <c r="D36" s="258"/>
      <c r="E36" s="257"/>
      <c r="F36" s="79">
        <f t="shared" si="0"/>
        <v>3035.1499999999996</v>
      </c>
    </row>
    <row r="37" spans="1:6" x14ac:dyDescent="0.25">
      <c r="A37" s="255">
        <v>43646</v>
      </c>
      <c r="B37" s="256" t="s">
        <v>450</v>
      </c>
      <c r="C37" s="257">
        <v>61353.75</v>
      </c>
      <c r="D37" s="258"/>
      <c r="E37" s="257"/>
      <c r="F37" s="79">
        <f t="shared" si="0"/>
        <v>64388.9</v>
      </c>
    </row>
    <row r="38" spans="1:6" x14ac:dyDescent="0.25">
      <c r="A38" s="255">
        <v>43646</v>
      </c>
      <c r="B38" s="256" t="s">
        <v>451</v>
      </c>
      <c r="C38" s="257">
        <v>36205.699999999997</v>
      </c>
      <c r="D38" s="258"/>
      <c r="E38" s="257"/>
      <c r="F38" s="79">
        <f t="shared" si="0"/>
        <v>100594.6</v>
      </c>
    </row>
    <row r="39" spans="1:6" x14ac:dyDescent="0.25">
      <c r="A39" s="255">
        <v>43648</v>
      </c>
      <c r="B39" s="256" t="s">
        <v>452</v>
      </c>
      <c r="C39" s="257">
        <v>55172.4</v>
      </c>
      <c r="D39" s="258"/>
      <c r="E39" s="257"/>
      <c r="F39" s="79">
        <f t="shared" si="0"/>
        <v>155767</v>
      </c>
    </row>
    <row r="40" spans="1:6" x14ac:dyDescent="0.25">
      <c r="A40" s="255">
        <v>43648</v>
      </c>
      <c r="B40" s="256" t="s">
        <v>453</v>
      </c>
      <c r="C40" s="257">
        <v>66241.100000000006</v>
      </c>
      <c r="D40" s="258"/>
      <c r="E40" s="257"/>
      <c r="F40" s="79">
        <f t="shared" si="0"/>
        <v>222008.1</v>
      </c>
    </row>
    <row r="41" spans="1:6" x14ac:dyDescent="0.25">
      <c r="A41" s="255">
        <v>43648</v>
      </c>
      <c r="B41" s="256" t="s">
        <v>454</v>
      </c>
      <c r="C41" s="257">
        <v>44832.74</v>
      </c>
      <c r="D41" s="258"/>
      <c r="E41" s="257"/>
      <c r="F41" s="79">
        <f t="shared" si="0"/>
        <v>266840.84000000003</v>
      </c>
    </row>
    <row r="42" spans="1:6" x14ac:dyDescent="0.25">
      <c r="A42" s="255">
        <v>43648</v>
      </c>
      <c r="B42" s="256" t="s">
        <v>455</v>
      </c>
      <c r="C42" s="257">
        <v>844.25</v>
      </c>
      <c r="D42" s="258"/>
      <c r="E42" s="257"/>
      <c r="F42" s="79">
        <f t="shared" si="0"/>
        <v>267685.09000000003</v>
      </c>
    </row>
    <row r="43" spans="1:6" x14ac:dyDescent="0.25">
      <c r="A43" s="255">
        <v>43649</v>
      </c>
      <c r="B43" s="256" t="s">
        <v>456</v>
      </c>
      <c r="C43" s="257">
        <v>107568.73</v>
      </c>
      <c r="D43" s="258"/>
      <c r="E43" s="257"/>
      <c r="F43" s="79">
        <f t="shared" si="0"/>
        <v>375253.82</v>
      </c>
    </row>
    <row r="44" spans="1:6" x14ac:dyDescent="0.25">
      <c r="A44" s="255">
        <v>43650</v>
      </c>
      <c r="B44" s="256" t="s">
        <v>457</v>
      </c>
      <c r="C44" s="257">
        <v>2750.04</v>
      </c>
      <c r="D44" s="258">
        <v>43651</v>
      </c>
      <c r="E44" s="257">
        <v>378003.86</v>
      </c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ht="15.75" thickBot="1" x14ac:dyDescent="0.3">
      <c r="A46" s="263"/>
      <c r="B46" s="264"/>
      <c r="C46" s="265"/>
      <c r="D46" s="266"/>
      <c r="E46" s="265"/>
      <c r="F46" s="79">
        <f t="shared" si="0"/>
        <v>0</v>
      </c>
    </row>
    <row r="47" spans="1:6" ht="19.5" thickTop="1" x14ac:dyDescent="0.3">
      <c r="B47" s="25"/>
      <c r="C47" s="4">
        <f>SUM(C3:C46)</f>
        <v>2370355.0000000005</v>
      </c>
      <c r="D47" s="1"/>
      <c r="E47" s="5">
        <f>SUM(E3:E46)</f>
        <v>2370355</v>
      </c>
      <c r="F47" s="186">
        <f>F46</f>
        <v>0</v>
      </c>
    </row>
    <row r="48" spans="1:6" x14ac:dyDescent="0.25">
      <c r="B48" s="25"/>
      <c r="C48" s="4"/>
      <c r="D48" s="1"/>
      <c r="E48" s="5"/>
      <c r="F48" s="4"/>
    </row>
    <row r="49" spans="1:6" x14ac:dyDescent="0.25">
      <c r="B49" s="25"/>
      <c r="C49" s="4"/>
      <c r="D49" s="1"/>
      <c r="E49" s="5"/>
      <c r="F49" s="4"/>
    </row>
    <row r="50" spans="1:6" x14ac:dyDescent="0.25">
      <c r="A50"/>
      <c r="B50" s="21"/>
      <c r="D50" s="21"/>
    </row>
    <row r="51" spans="1:6" x14ac:dyDescent="0.25">
      <c r="A51"/>
      <c r="B51" s="21"/>
      <c r="D51" s="21"/>
    </row>
    <row r="52" spans="1:6" x14ac:dyDescent="0.25">
      <c r="A52"/>
      <c r="B52" s="21"/>
      <c r="D52" s="21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F58"/>
    </row>
    <row r="59" spans="1:6" x14ac:dyDescent="0.25">
      <c r="A59"/>
      <c r="B59" s="21"/>
      <c r="D59" s="21"/>
      <c r="F59"/>
    </row>
    <row r="60" spans="1:6" x14ac:dyDescent="0.25">
      <c r="A60"/>
      <c r="B60" s="21"/>
      <c r="D60" s="21"/>
      <c r="F60"/>
    </row>
    <row r="61" spans="1:6" x14ac:dyDescent="0.25">
      <c r="A61"/>
      <c r="B61" s="21"/>
      <c r="D61" s="2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A64"/>
      <c r="B64" s="21"/>
      <c r="D64" s="21"/>
      <c r="E64"/>
      <c r="F64"/>
    </row>
    <row r="65" spans="1:6" x14ac:dyDescent="0.25">
      <c r="A65"/>
      <c r="B65" s="21"/>
      <c r="D65" s="21"/>
      <c r="E65"/>
      <c r="F65"/>
    </row>
    <row r="66" spans="1:6" x14ac:dyDescent="0.25">
      <c r="A66"/>
      <c r="B66" s="21"/>
      <c r="D66" s="21"/>
      <c r="E66"/>
      <c r="F66"/>
    </row>
    <row r="67" spans="1:6" x14ac:dyDescent="0.25">
      <c r="A67"/>
      <c r="B67" s="21"/>
      <c r="D67" s="21"/>
      <c r="E67"/>
      <c r="F67"/>
    </row>
    <row r="68" spans="1:6" x14ac:dyDescent="0.25">
      <c r="B68" s="21"/>
      <c r="D68" s="21"/>
      <c r="E68"/>
    </row>
    <row r="69" spans="1:6" x14ac:dyDescent="0.25">
      <c r="B69" s="21"/>
      <c r="D69" s="21"/>
      <c r="E69"/>
    </row>
    <row r="70" spans="1:6" x14ac:dyDescent="0.25">
      <c r="B70" s="21"/>
      <c r="D70" s="21"/>
      <c r="E70"/>
    </row>
    <row r="71" spans="1:6" x14ac:dyDescent="0.25">
      <c r="B71" s="21"/>
      <c r="D71" s="21"/>
      <c r="E71"/>
    </row>
    <row r="72" spans="1:6" x14ac:dyDescent="0.25">
      <c r="B72" s="21"/>
      <c r="D72" s="21"/>
      <c r="E72"/>
    </row>
    <row r="73" spans="1:6" x14ac:dyDescent="0.25">
      <c r="B73" s="21"/>
      <c r="D73" s="21"/>
      <c r="E73"/>
    </row>
    <row r="74" spans="1:6" x14ac:dyDescent="0.25">
      <c r="B74" s="21"/>
      <c r="D74" s="21"/>
      <c r="E74"/>
    </row>
    <row r="75" spans="1:6" x14ac:dyDescent="0.25">
      <c r="B75" s="21"/>
      <c r="D75" s="21"/>
      <c r="E75"/>
    </row>
    <row r="76" spans="1:6" x14ac:dyDescent="0.25">
      <c r="B76" s="21"/>
      <c r="D76" s="21"/>
      <c r="E76"/>
    </row>
    <row r="77" spans="1:6" x14ac:dyDescent="0.25">
      <c r="B77" s="21"/>
    </row>
    <row r="78" spans="1:6" x14ac:dyDescent="0.25">
      <c r="B78" s="21"/>
    </row>
    <row r="79" spans="1:6" x14ac:dyDescent="0.25">
      <c r="B79" s="21"/>
      <c r="D79" s="21"/>
    </row>
    <row r="80" spans="1:6" x14ac:dyDescent="0.25">
      <c r="B80" s="21"/>
    </row>
    <row r="81" spans="2:3" x14ac:dyDescent="0.25">
      <c r="B81" s="21"/>
    </row>
    <row r="82" spans="2:3" x14ac:dyDescent="0.25">
      <c r="B82" s="21"/>
    </row>
    <row r="83" spans="2:3" ht="18.75" x14ac:dyDescent="0.3">
      <c r="C83" s="74"/>
    </row>
  </sheetData>
  <pageMargins left="0.7" right="0.7" top="0.43" bottom="0.36" header="0.44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038-84DD-4C9C-BBFD-A10FA2815943}">
  <sheetPr>
    <tabColor rgb="FF66FFFF"/>
  </sheetPr>
  <dimension ref="A1:AB73"/>
  <sheetViews>
    <sheetView topLeftCell="D25" workbookViewId="0">
      <selection activeCell="F41" sqref="F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78" t="s">
        <v>411</v>
      </c>
      <c r="D1" s="378"/>
      <c r="E1" s="378"/>
      <c r="F1" s="378"/>
      <c r="G1" s="378"/>
      <c r="H1" s="378"/>
      <c r="I1" s="378"/>
      <c r="J1" s="378"/>
      <c r="K1" s="378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20.25" thickTop="1" thickBot="1" x14ac:dyDescent="0.35">
      <c r="B3" s="425" t="s">
        <v>3</v>
      </c>
      <c r="C3" s="426"/>
      <c r="D3" s="13"/>
      <c r="I3" s="14" t="s">
        <v>4</v>
      </c>
      <c r="J3" s="9"/>
      <c r="K3" s="15" t="s">
        <v>126</v>
      </c>
      <c r="L3" s="15"/>
      <c r="U3" s="388" t="s">
        <v>56</v>
      </c>
      <c r="V3" s="389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268009.78000000003</v>
      </c>
      <c r="D4" s="213">
        <v>43650</v>
      </c>
      <c r="E4" s="422" t="s">
        <v>6</v>
      </c>
      <c r="F4" s="423"/>
      <c r="H4" s="382" t="s">
        <v>460</v>
      </c>
      <c r="I4" s="424"/>
      <c r="J4" s="338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43651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43651</v>
      </c>
      <c r="C5" s="234">
        <v>9472.64</v>
      </c>
      <c r="D5" s="311" t="s">
        <v>43</v>
      </c>
      <c r="E5" s="312">
        <v>43651</v>
      </c>
      <c r="F5" s="233">
        <v>146220</v>
      </c>
      <c r="G5" s="244"/>
      <c r="H5" s="335">
        <v>43651</v>
      </c>
      <c r="I5" s="336">
        <v>12858.5</v>
      </c>
      <c r="J5" s="106"/>
      <c r="L5" s="4"/>
      <c r="M5" s="237">
        <v>121770</v>
      </c>
      <c r="N5" s="238">
        <v>2119</v>
      </c>
      <c r="O5" s="277"/>
      <c r="P5" s="277">
        <f>C5+I5+M5+N5</f>
        <v>146220.14000000001</v>
      </c>
      <c r="Q5" s="4">
        <f>P5-F5</f>
        <v>0.14000000001396984</v>
      </c>
      <c r="S5" s="212"/>
      <c r="T5" s="228">
        <v>43651</v>
      </c>
      <c r="U5" s="136" t="s">
        <v>41</v>
      </c>
      <c r="V5" s="135">
        <v>5020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43652</v>
      </c>
      <c r="C6" s="234">
        <v>14688.44</v>
      </c>
      <c r="D6" s="242" t="s">
        <v>259</v>
      </c>
      <c r="E6" s="312">
        <v>43652</v>
      </c>
      <c r="F6" s="233">
        <v>138267</v>
      </c>
      <c r="G6" s="244"/>
      <c r="H6" s="313">
        <v>43652</v>
      </c>
      <c r="I6" s="235">
        <v>0</v>
      </c>
      <c r="J6" s="106"/>
      <c r="K6" s="127"/>
      <c r="L6" s="208"/>
      <c r="M6" s="237">
        <v>110525</v>
      </c>
      <c r="N6" s="238">
        <v>3132</v>
      </c>
      <c r="O6" s="277"/>
      <c r="P6" s="277">
        <f>C6+I6+M6+N6+L12-R12</f>
        <v>138266.06999999998</v>
      </c>
      <c r="Q6" s="257">
        <f t="shared" ref="Q6:Q33" si="0">P6-F6</f>
        <v>-0.93000000002211891</v>
      </c>
      <c r="S6" s="212"/>
      <c r="T6" s="229">
        <v>43658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43653</v>
      </c>
      <c r="C7" s="234">
        <v>1506</v>
      </c>
      <c r="D7" s="314" t="s">
        <v>49</v>
      </c>
      <c r="E7" s="312">
        <v>43653</v>
      </c>
      <c r="F7" s="233">
        <v>101358</v>
      </c>
      <c r="G7" s="244"/>
      <c r="H7" s="313">
        <v>43653</v>
      </c>
      <c r="I7" s="235">
        <v>0</v>
      </c>
      <c r="J7" s="31"/>
      <c r="K7" s="127" t="s">
        <v>9</v>
      </c>
      <c r="L7" s="248">
        <v>0</v>
      </c>
      <c r="M7" s="237">
        <v>93508</v>
      </c>
      <c r="N7" s="238">
        <v>6344</v>
      </c>
      <c r="O7" s="277"/>
      <c r="P7" s="277">
        <f>C7+M7+N7</f>
        <v>101358</v>
      </c>
      <c r="Q7" s="167">
        <f t="shared" si="0"/>
        <v>0</v>
      </c>
      <c r="R7" s="4"/>
      <c r="S7" s="4"/>
      <c r="T7" s="230">
        <v>43658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43654</v>
      </c>
      <c r="C8" s="234">
        <v>0</v>
      </c>
      <c r="D8" s="315"/>
      <c r="E8" s="312">
        <v>43654</v>
      </c>
      <c r="F8" s="233">
        <v>102301</v>
      </c>
      <c r="G8" s="244"/>
      <c r="H8" s="313">
        <v>43654</v>
      </c>
      <c r="I8" s="235">
        <v>0</v>
      </c>
      <c r="J8" s="34">
        <v>43672</v>
      </c>
      <c r="K8" s="35" t="s">
        <v>10</v>
      </c>
      <c r="L8" s="250">
        <v>26244</v>
      </c>
      <c r="M8" s="237">
        <v>93024</v>
      </c>
      <c r="N8" s="238">
        <v>9277</v>
      </c>
      <c r="O8" s="277"/>
      <c r="P8" s="277">
        <f>M8+N8+C8+I8</f>
        <v>102301</v>
      </c>
      <c r="Q8" s="167">
        <f t="shared" si="0"/>
        <v>0</v>
      </c>
      <c r="R8" s="4"/>
      <c r="S8" s="4"/>
      <c r="T8" s="228">
        <v>43665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43655</v>
      </c>
      <c r="C9" s="234">
        <v>2184</v>
      </c>
      <c r="D9" s="316" t="s">
        <v>49</v>
      </c>
      <c r="E9" s="312">
        <v>43655</v>
      </c>
      <c r="F9" s="233">
        <v>72210</v>
      </c>
      <c r="G9" s="244"/>
      <c r="H9" s="313">
        <v>43655</v>
      </c>
      <c r="I9" s="235">
        <v>256.64</v>
      </c>
      <c r="J9" s="96">
        <v>43677</v>
      </c>
      <c r="K9" s="102" t="s">
        <v>11</v>
      </c>
      <c r="L9" s="248">
        <v>20000</v>
      </c>
      <c r="M9" s="237">
        <v>68558</v>
      </c>
      <c r="N9" s="238">
        <v>1211</v>
      </c>
      <c r="O9" s="277"/>
      <c r="P9" s="277">
        <f>C9+I9+M9+N9</f>
        <v>72209.64</v>
      </c>
      <c r="Q9" s="4">
        <f t="shared" si="0"/>
        <v>-0.36000000000058208</v>
      </c>
      <c r="R9" s="4"/>
      <c r="S9" s="4"/>
      <c r="T9" s="230">
        <v>43665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43656</v>
      </c>
      <c r="C10" s="234">
        <v>14848.16</v>
      </c>
      <c r="D10" s="242" t="s">
        <v>259</v>
      </c>
      <c r="E10" s="312">
        <v>43656</v>
      </c>
      <c r="F10" s="233">
        <v>72008</v>
      </c>
      <c r="G10" s="244"/>
      <c r="H10" s="313">
        <v>43656</v>
      </c>
      <c r="I10" s="235">
        <v>0</v>
      </c>
      <c r="J10" s="106"/>
      <c r="K10" s="126"/>
      <c r="L10" s="236">
        <v>0</v>
      </c>
      <c r="M10" s="237">
        <v>56982</v>
      </c>
      <c r="N10" s="238">
        <v>177</v>
      </c>
      <c r="O10" s="277"/>
      <c r="P10" s="277">
        <f>C10+I10+M10+N10+L10</f>
        <v>72007.16</v>
      </c>
      <c r="Q10" s="4">
        <f t="shared" si="0"/>
        <v>-0.83999999999650754</v>
      </c>
      <c r="S10" s="212"/>
      <c r="T10" s="228">
        <v>43672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43657</v>
      </c>
      <c r="C11" s="234">
        <v>1496</v>
      </c>
      <c r="D11" s="242" t="s">
        <v>461</v>
      </c>
      <c r="E11" s="312">
        <v>43657</v>
      </c>
      <c r="F11" s="233">
        <v>87889</v>
      </c>
      <c r="G11" s="244"/>
      <c r="H11" s="313">
        <v>43657</v>
      </c>
      <c r="I11" s="235">
        <v>0</v>
      </c>
      <c r="J11" s="106"/>
      <c r="K11" s="147"/>
      <c r="L11" s="236">
        <v>0</v>
      </c>
      <c r="M11" s="237">
        <v>85053</v>
      </c>
      <c r="N11" s="238">
        <v>1340</v>
      </c>
      <c r="O11" s="277"/>
      <c r="P11" s="277">
        <f>C11+I11+M11+N11</f>
        <v>87889</v>
      </c>
      <c r="Q11" s="167">
        <f t="shared" si="0"/>
        <v>0</v>
      </c>
      <c r="R11" s="253"/>
      <c r="S11" s="212"/>
      <c r="T11" s="228">
        <v>43672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43658</v>
      </c>
      <c r="C12" s="234">
        <v>1548</v>
      </c>
      <c r="D12" s="242" t="s">
        <v>195</v>
      </c>
      <c r="E12" s="312">
        <v>43658</v>
      </c>
      <c r="F12" s="233">
        <v>123186</v>
      </c>
      <c r="G12" s="244"/>
      <c r="H12" s="313">
        <v>43658</v>
      </c>
      <c r="I12" s="235">
        <v>12092</v>
      </c>
      <c r="J12" s="106">
        <v>43652</v>
      </c>
      <c r="K12" s="102" t="s">
        <v>384</v>
      </c>
      <c r="L12" s="236">
        <v>15539.27</v>
      </c>
      <c r="M12" s="237">
        <v>109690</v>
      </c>
      <c r="N12" s="238">
        <v>2616</v>
      </c>
      <c r="O12" s="277"/>
      <c r="P12" s="277">
        <f>C12+I12+M12+N12</f>
        <v>125946</v>
      </c>
      <c r="Q12" s="309">
        <f t="shared" si="0"/>
        <v>2760</v>
      </c>
      <c r="R12" s="254">
        <v>5618.64</v>
      </c>
      <c r="S12" s="33" t="s">
        <v>384</v>
      </c>
      <c r="T12" s="228">
        <v>43679</v>
      </c>
      <c r="U12" s="134" t="s">
        <v>41</v>
      </c>
      <c r="V12" s="339">
        <v>5000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43659</v>
      </c>
      <c r="C13" s="234">
        <v>14722.31</v>
      </c>
      <c r="D13" s="315" t="s">
        <v>259</v>
      </c>
      <c r="E13" s="312">
        <v>43659</v>
      </c>
      <c r="F13" s="233">
        <v>152826</v>
      </c>
      <c r="G13" s="244"/>
      <c r="H13" s="313">
        <v>43659</v>
      </c>
      <c r="I13" s="235">
        <v>200</v>
      </c>
      <c r="J13" s="106">
        <v>43659</v>
      </c>
      <c r="K13" s="102" t="s">
        <v>412</v>
      </c>
      <c r="L13" s="236">
        <v>16963.060000000001</v>
      </c>
      <c r="M13" s="237">
        <v>123867</v>
      </c>
      <c r="N13" s="238">
        <v>2692</v>
      </c>
      <c r="O13" s="277"/>
      <c r="P13" s="277">
        <f>C13+I13+M13+N13+L13-R13</f>
        <v>152825.72999999998</v>
      </c>
      <c r="Q13" s="167">
        <f t="shared" si="0"/>
        <v>-0.27000000001862645</v>
      </c>
      <c r="R13" s="254">
        <v>5618.64</v>
      </c>
      <c r="S13" s="33" t="s">
        <v>412</v>
      </c>
      <c r="T13" s="228">
        <v>43679</v>
      </c>
      <c r="U13" s="136" t="s">
        <v>47</v>
      </c>
      <c r="V13" s="135">
        <v>5010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43660</v>
      </c>
      <c r="C14" s="234">
        <v>0</v>
      </c>
      <c r="D14" s="314"/>
      <c r="E14" s="312">
        <v>43660</v>
      </c>
      <c r="F14" s="233">
        <v>91569</v>
      </c>
      <c r="G14" s="244"/>
      <c r="H14" s="313">
        <v>43660</v>
      </c>
      <c r="I14" s="235">
        <v>200</v>
      </c>
      <c r="J14" s="106">
        <v>43666</v>
      </c>
      <c r="K14" s="102" t="s">
        <v>413</v>
      </c>
      <c r="L14" s="236">
        <v>13304.47</v>
      </c>
      <c r="M14" s="237">
        <v>85271</v>
      </c>
      <c r="N14" s="238">
        <v>6098</v>
      </c>
      <c r="O14" s="277"/>
      <c r="P14" s="277">
        <f t="shared" ref="P14:P25" si="1">C14+I14+M14+N14</f>
        <v>91569</v>
      </c>
      <c r="Q14" s="4">
        <f t="shared" si="0"/>
        <v>0</v>
      </c>
      <c r="R14" s="254">
        <v>5320.1</v>
      </c>
      <c r="S14" s="33" t="s">
        <v>413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43661</v>
      </c>
      <c r="C15" s="234">
        <v>10941.8</v>
      </c>
      <c r="D15" s="242" t="s">
        <v>338</v>
      </c>
      <c r="E15" s="312">
        <v>43661</v>
      </c>
      <c r="F15" s="233">
        <v>110743</v>
      </c>
      <c r="G15" s="244"/>
      <c r="H15" s="313">
        <v>43661</v>
      </c>
      <c r="I15" s="235">
        <v>547.5</v>
      </c>
      <c r="J15" s="106">
        <v>43673</v>
      </c>
      <c r="K15" s="102" t="s">
        <v>414</v>
      </c>
      <c r="L15" s="236">
        <v>14896.41</v>
      </c>
      <c r="M15" s="237">
        <v>98387</v>
      </c>
      <c r="N15" s="238">
        <v>867</v>
      </c>
      <c r="O15" s="277"/>
      <c r="P15" s="277">
        <f t="shared" si="1"/>
        <v>110743.3</v>
      </c>
      <c r="Q15" s="167">
        <f t="shared" si="0"/>
        <v>0.30000000000291038</v>
      </c>
      <c r="R15" s="254">
        <v>5618.64</v>
      </c>
      <c r="S15" s="33" t="s">
        <v>468</v>
      </c>
      <c r="T15" s="228"/>
      <c r="U15" s="133" t="s">
        <v>13</v>
      </c>
      <c r="V15" s="132">
        <f>SUM(V4:V14)</f>
        <v>50100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43662</v>
      </c>
      <c r="C16" s="234">
        <v>2662</v>
      </c>
      <c r="D16" s="242" t="s">
        <v>463</v>
      </c>
      <c r="E16" s="312">
        <v>43662</v>
      </c>
      <c r="F16" s="233">
        <v>129822</v>
      </c>
      <c r="G16" s="244"/>
      <c r="H16" s="313">
        <v>43662</v>
      </c>
      <c r="I16" s="235">
        <v>132</v>
      </c>
      <c r="J16" s="42"/>
      <c r="K16" s="25" t="s">
        <v>415</v>
      </c>
      <c r="L16" s="4">
        <v>0</v>
      </c>
      <c r="M16" s="237">
        <v>125991</v>
      </c>
      <c r="N16" s="238">
        <v>1037</v>
      </c>
      <c r="O16" s="277"/>
      <c r="P16" s="277">
        <f t="shared" si="1"/>
        <v>129822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43663</v>
      </c>
      <c r="C17" s="234">
        <v>4760</v>
      </c>
      <c r="D17" s="315" t="s">
        <v>464</v>
      </c>
      <c r="E17" s="312">
        <v>43663</v>
      </c>
      <c r="F17" s="233">
        <v>89708</v>
      </c>
      <c r="G17" s="244"/>
      <c r="H17" s="313">
        <v>43663</v>
      </c>
      <c r="I17" s="240">
        <v>0</v>
      </c>
      <c r="J17" s="96"/>
      <c r="K17" s="148" t="s">
        <v>402</v>
      </c>
      <c r="L17" s="210">
        <v>0</v>
      </c>
      <c r="M17" s="237">
        <v>82488</v>
      </c>
      <c r="N17" s="238">
        <v>2460</v>
      </c>
      <c r="O17" s="277"/>
      <c r="P17" s="277">
        <f t="shared" si="1"/>
        <v>89708</v>
      </c>
      <c r="Q17" s="167">
        <f t="shared" si="0"/>
        <v>0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43664</v>
      </c>
      <c r="C18" s="234">
        <v>25397.4</v>
      </c>
      <c r="D18" s="242" t="s">
        <v>396</v>
      </c>
      <c r="E18" s="312">
        <v>43664</v>
      </c>
      <c r="F18" s="233">
        <v>121807</v>
      </c>
      <c r="G18" s="244"/>
      <c r="H18" s="313">
        <v>43664</v>
      </c>
      <c r="I18" s="235">
        <v>535</v>
      </c>
      <c r="J18" s="42"/>
      <c r="K18" s="317"/>
      <c r="L18" s="236">
        <v>0</v>
      </c>
      <c r="M18" s="237">
        <v>95200</v>
      </c>
      <c r="N18" s="238">
        <v>675</v>
      </c>
      <c r="O18" s="277"/>
      <c r="P18" s="277">
        <f t="shared" si="1"/>
        <v>121807.4</v>
      </c>
      <c r="Q18" s="4">
        <f t="shared" si="0"/>
        <v>0.39999999999417923</v>
      </c>
      <c r="R18" s="4">
        <f>SUM(R12:R17)</f>
        <v>22176.02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43665</v>
      </c>
      <c r="C19" s="234">
        <v>2046</v>
      </c>
      <c r="D19" s="316" t="s">
        <v>49</v>
      </c>
      <c r="E19" s="312">
        <v>43665</v>
      </c>
      <c r="F19" s="233">
        <v>160303</v>
      </c>
      <c r="G19" s="244"/>
      <c r="H19" s="313">
        <v>43665</v>
      </c>
      <c r="I19" s="235">
        <v>12189</v>
      </c>
      <c r="J19" s="276"/>
      <c r="K19" s="150"/>
      <c r="L19" s="208">
        <v>0</v>
      </c>
      <c r="M19" s="237">
        <f>114800+29478</f>
        <v>144278</v>
      </c>
      <c r="N19" s="238">
        <v>1790</v>
      </c>
      <c r="O19" s="277"/>
      <c r="P19" s="277">
        <f t="shared" si="1"/>
        <v>160303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43666</v>
      </c>
      <c r="C20" s="234">
        <v>1120</v>
      </c>
      <c r="D20" s="242" t="s">
        <v>51</v>
      </c>
      <c r="E20" s="312">
        <v>43666</v>
      </c>
      <c r="F20" s="233">
        <v>195642</v>
      </c>
      <c r="G20" s="244"/>
      <c r="H20" s="313">
        <v>43666</v>
      </c>
      <c r="I20" s="235">
        <v>54</v>
      </c>
      <c r="J20" s="42"/>
      <c r="K20" s="149"/>
      <c r="L20" s="210">
        <v>0</v>
      </c>
      <c r="M20" s="237">
        <f>29630+118000+34870</f>
        <v>182500</v>
      </c>
      <c r="N20" s="238">
        <v>3994</v>
      </c>
      <c r="O20" s="277"/>
      <c r="P20" s="277">
        <f>C20+I20+M20+N20+L14-R14</f>
        <v>195652.37</v>
      </c>
      <c r="Q20" s="167">
        <f t="shared" si="0"/>
        <v>10.369999999995343</v>
      </c>
      <c r="S20" s="5"/>
      <c r="U20" s="390" t="s">
        <v>56</v>
      </c>
      <c r="V20" s="391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43667</v>
      </c>
      <c r="C21" s="234">
        <v>1804</v>
      </c>
      <c r="D21" s="242" t="s">
        <v>49</v>
      </c>
      <c r="E21" s="312">
        <v>43667</v>
      </c>
      <c r="F21" s="233">
        <v>92225</v>
      </c>
      <c r="G21" s="244"/>
      <c r="H21" s="313">
        <v>43667</v>
      </c>
      <c r="I21" s="235">
        <v>0</v>
      </c>
      <c r="J21" s="44"/>
      <c r="K21" s="195"/>
      <c r="L21" s="210">
        <v>0</v>
      </c>
      <c r="M21" s="237">
        <v>86763</v>
      </c>
      <c r="N21" s="238">
        <v>3658</v>
      </c>
      <c r="O21" s="277"/>
      <c r="P21" s="277">
        <f t="shared" si="1"/>
        <v>92225</v>
      </c>
      <c r="Q21" s="4">
        <f t="shared" si="0"/>
        <v>0</v>
      </c>
      <c r="S21" s="5"/>
      <c r="T21" s="228">
        <v>43651</v>
      </c>
      <c r="U21" s="25" t="s">
        <v>39</v>
      </c>
      <c r="V21" s="125">
        <v>2000</v>
      </c>
      <c r="W21" t="s">
        <v>408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43668</v>
      </c>
      <c r="C22" s="234">
        <v>15970</v>
      </c>
      <c r="D22" s="242" t="s">
        <v>466</v>
      </c>
      <c r="E22" s="312">
        <v>43668</v>
      </c>
      <c r="F22" s="233">
        <v>70520</v>
      </c>
      <c r="G22" s="244"/>
      <c r="H22" s="313">
        <v>43668</v>
      </c>
      <c r="I22" s="235">
        <v>750</v>
      </c>
      <c r="J22" s="34"/>
      <c r="K22" s="153"/>
      <c r="L22" s="210">
        <v>0</v>
      </c>
      <c r="M22" s="237">
        <v>51736</v>
      </c>
      <c r="N22" s="238">
        <v>2064</v>
      </c>
      <c r="O22" s="277"/>
      <c r="P22" s="277">
        <f t="shared" si="1"/>
        <v>70520</v>
      </c>
      <c r="Q22" s="4">
        <f t="shared" si="0"/>
        <v>0</v>
      </c>
      <c r="S22" s="5"/>
      <c r="T22" s="228">
        <v>43658</v>
      </c>
      <c r="U22" s="102" t="s">
        <v>39</v>
      </c>
      <c r="V22" s="103">
        <v>2000</v>
      </c>
      <c r="W22" t="s">
        <v>462</v>
      </c>
    </row>
    <row r="23" spans="1:28" ht="15.75" thickBot="1" x14ac:dyDescent="0.3">
      <c r="A23" s="21"/>
      <c r="B23" s="241">
        <v>43669</v>
      </c>
      <c r="C23" s="234">
        <v>2600</v>
      </c>
      <c r="D23" s="242" t="s">
        <v>467</v>
      </c>
      <c r="E23" s="312">
        <v>43669</v>
      </c>
      <c r="F23" s="233">
        <v>73173</v>
      </c>
      <c r="G23" s="244"/>
      <c r="H23" s="313">
        <v>43669</v>
      </c>
      <c r="I23" s="235">
        <v>0</v>
      </c>
      <c r="J23" s="95"/>
      <c r="K23" s="154"/>
      <c r="L23" s="210">
        <v>0</v>
      </c>
      <c r="M23" s="237">
        <v>67545</v>
      </c>
      <c r="N23" s="238">
        <v>3028</v>
      </c>
      <c r="O23" s="277"/>
      <c r="P23" s="277">
        <f t="shared" si="1"/>
        <v>73173</v>
      </c>
      <c r="Q23" s="4">
        <f t="shared" si="0"/>
        <v>0</v>
      </c>
      <c r="S23" s="5"/>
      <c r="T23" s="228">
        <v>43665</v>
      </c>
      <c r="U23" s="102" t="s">
        <v>39</v>
      </c>
      <c r="V23" s="103">
        <v>2000</v>
      </c>
      <c r="W23" t="s">
        <v>465</v>
      </c>
    </row>
    <row r="24" spans="1:28" ht="15.75" thickBot="1" x14ac:dyDescent="0.3">
      <c r="A24" s="21"/>
      <c r="B24" s="241">
        <v>43670</v>
      </c>
      <c r="C24" s="234">
        <v>1406</v>
      </c>
      <c r="D24" s="242" t="s">
        <v>49</v>
      </c>
      <c r="E24" s="312">
        <v>43670</v>
      </c>
      <c r="F24" s="233">
        <v>91508</v>
      </c>
      <c r="G24" s="244"/>
      <c r="H24" s="313">
        <v>43670</v>
      </c>
      <c r="I24" s="235">
        <v>0</v>
      </c>
      <c r="J24" s="46"/>
      <c r="K24" s="155"/>
      <c r="L24" s="135">
        <v>0</v>
      </c>
      <c r="M24" s="237">
        <v>88485</v>
      </c>
      <c r="N24" s="238">
        <v>1617</v>
      </c>
      <c r="O24" s="277"/>
      <c r="P24" s="277">
        <f t="shared" si="1"/>
        <v>91508</v>
      </c>
      <c r="Q24" s="4">
        <f t="shared" si="0"/>
        <v>0</v>
      </c>
      <c r="S24" s="5"/>
      <c r="T24" s="228">
        <v>43679</v>
      </c>
      <c r="U24" s="102" t="s">
        <v>39</v>
      </c>
      <c r="V24" s="104">
        <v>4000</v>
      </c>
      <c r="W24" t="s">
        <v>470</v>
      </c>
      <c r="X24" t="s">
        <v>7</v>
      </c>
    </row>
    <row r="25" spans="1:28" ht="15.75" thickBot="1" x14ac:dyDescent="0.3">
      <c r="A25" s="21"/>
      <c r="B25" s="241">
        <v>43671</v>
      </c>
      <c r="C25" s="234">
        <v>16271.47</v>
      </c>
      <c r="D25" s="242" t="s">
        <v>43</v>
      </c>
      <c r="E25" s="312">
        <v>43671</v>
      </c>
      <c r="F25" s="233">
        <v>80811</v>
      </c>
      <c r="G25" s="244"/>
      <c r="H25" s="313">
        <v>43671</v>
      </c>
      <c r="I25" s="235">
        <v>659.99</v>
      </c>
      <c r="J25" s="109"/>
      <c r="K25" s="155"/>
      <c r="L25" s="135">
        <v>0</v>
      </c>
      <c r="M25" s="237">
        <v>61052</v>
      </c>
      <c r="N25" s="238">
        <v>2828</v>
      </c>
      <c r="O25" s="277"/>
      <c r="P25" s="277">
        <f t="shared" si="1"/>
        <v>80811.459999999992</v>
      </c>
      <c r="Q25" s="4">
        <f t="shared" si="0"/>
        <v>0.45999999999185093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43672</v>
      </c>
      <c r="C26" s="234">
        <v>10096</v>
      </c>
      <c r="D26" s="242" t="s">
        <v>274</v>
      </c>
      <c r="E26" s="312">
        <v>43672</v>
      </c>
      <c r="F26" s="233">
        <v>135508</v>
      </c>
      <c r="G26" s="244"/>
      <c r="H26" s="313">
        <v>43672</v>
      </c>
      <c r="I26" s="235">
        <v>10858</v>
      </c>
      <c r="J26" s="4"/>
      <c r="K26" s="148"/>
      <c r="L26" s="135">
        <v>0</v>
      </c>
      <c r="M26" s="237">
        <v>87585</v>
      </c>
      <c r="N26" s="238">
        <v>725</v>
      </c>
      <c r="O26" s="277"/>
      <c r="P26" s="277">
        <f>I26+M26+N26+C26+L8</f>
        <v>135508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43673</v>
      </c>
      <c r="C27" s="234">
        <v>560</v>
      </c>
      <c r="D27" s="315" t="s">
        <v>51</v>
      </c>
      <c r="E27" s="312">
        <v>43673</v>
      </c>
      <c r="F27" s="233">
        <v>134006</v>
      </c>
      <c r="G27" s="244"/>
      <c r="H27" s="313">
        <v>43673</v>
      </c>
      <c r="I27" s="235">
        <v>0</v>
      </c>
      <c r="J27" s="4"/>
      <c r="K27" s="148"/>
      <c r="L27" s="135">
        <v>0</v>
      </c>
      <c r="M27" s="237">
        <v>115371</v>
      </c>
      <c r="N27" s="238">
        <v>8797</v>
      </c>
      <c r="O27" s="277"/>
      <c r="P27" s="277">
        <f>I27+M27+N27+C27+L10+L15-R15</f>
        <v>134005.76999999999</v>
      </c>
      <c r="Q27" s="4">
        <f t="shared" si="0"/>
        <v>-0.23000000001047738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43674</v>
      </c>
      <c r="C28" s="234">
        <v>1664</v>
      </c>
      <c r="D28" s="242" t="s">
        <v>49</v>
      </c>
      <c r="E28" s="312">
        <v>43674</v>
      </c>
      <c r="F28" s="233">
        <v>118133</v>
      </c>
      <c r="G28" s="244"/>
      <c r="H28" s="313">
        <v>43674</v>
      </c>
      <c r="I28" s="235">
        <v>0</v>
      </c>
      <c r="J28" s="4"/>
      <c r="K28" s="156"/>
      <c r="L28" s="135">
        <v>0</v>
      </c>
      <c r="M28" s="237">
        <v>113504</v>
      </c>
      <c r="N28" s="238">
        <v>2965</v>
      </c>
      <c r="O28" s="277"/>
      <c r="P28" s="277">
        <f>I28+M28+N28+C28+L11</f>
        <v>118133</v>
      </c>
      <c r="Q28" s="4">
        <f t="shared" si="0"/>
        <v>0</v>
      </c>
      <c r="T28" s="228"/>
      <c r="U28" s="127"/>
      <c r="V28" s="129">
        <v>0</v>
      </c>
    </row>
    <row r="29" spans="1:28" ht="19.5" thickBot="1" x14ac:dyDescent="0.35">
      <c r="A29" s="21"/>
      <c r="B29" s="241">
        <v>43675</v>
      </c>
      <c r="C29" s="247">
        <v>12222.54</v>
      </c>
      <c r="D29" s="315" t="s">
        <v>469</v>
      </c>
      <c r="E29" s="312">
        <v>43675</v>
      </c>
      <c r="F29" s="245">
        <v>120646</v>
      </c>
      <c r="G29" s="244"/>
      <c r="H29" s="313">
        <v>43675</v>
      </c>
      <c r="I29" s="246">
        <v>0</v>
      </c>
      <c r="J29" s="4"/>
      <c r="K29" s="157"/>
      <c r="L29" s="137">
        <v>0</v>
      </c>
      <c r="M29" s="237">
        <v>108086</v>
      </c>
      <c r="N29" s="238">
        <v>337</v>
      </c>
      <c r="O29" s="277"/>
      <c r="P29" s="277">
        <f>I29+M29+N29+C29</f>
        <v>120645.54000000001</v>
      </c>
      <c r="Q29" s="167">
        <f t="shared" si="0"/>
        <v>-0.45999999999185093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43676</v>
      </c>
      <c r="C30" s="249">
        <v>1066</v>
      </c>
      <c r="D30" s="315" t="s">
        <v>104</v>
      </c>
      <c r="E30" s="312">
        <v>43676</v>
      </c>
      <c r="F30" s="249">
        <v>65249</v>
      </c>
      <c r="G30" s="244"/>
      <c r="H30" s="313">
        <v>43676</v>
      </c>
      <c r="I30" s="249">
        <v>0</v>
      </c>
      <c r="J30" s="34"/>
      <c r="K30" s="157"/>
      <c r="L30" s="137">
        <v>0</v>
      </c>
      <c r="M30" s="237">
        <v>63840</v>
      </c>
      <c r="N30" s="238">
        <v>343</v>
      </c>
      <c r="O30" s="277"/>
      <c r="P30" s="277">
        <f>I30+M30+N30+C30+L7</f>
        <v>65249</v>
      </c>
      <c r="Q30" s="4">
        <f t="shared" si="0"/>
        <v>0</v>
      </c>
      <c r="R30" s="251"/>
      <c r="S30" s="4"/>
      <c r="T30" s="25"/>
    </row>
    <row r="31" spans="1:28" ht="15.75" thickBot="1" x14ac:dyDescent="0.3">
      <c r="A31" s="21"/>
      <c r="B31" s="241">
        <v>43677</v>
      </c>
      <c r="C31" s="249">
        <v>4380</v>
      </c>
      <c r="D31" s="315" t="s">
        <v>282</v>
      </c>
      <c r="E31" s="312">
        <v>43677</v>
      </c>
      <c r="F31" s="249">
        <v>140882</v>
      </c>
      <c r="G31" s="244"/>
      <c r="H31" s="313">
        <v>43677</v>
      </c>
      <c r="I31" s="249">
        <v>370</v>
      </c>
      <c r="J31" s="34"/>
      <c r="K31" s="215" t="s">
        <v>345</v>
      </c>
      <c r="L31" s="158"/>
      <c r="M31" s="237">
        <f>100250+11433.5</f>
        <v>111683.5</v>
      </c>
      <c r="N31" s="238">
        <v>4448</v>
      </c>
      <c r="O31" s="277"/>
      <c r="P31" s="277">
        <f>I31+M31+N31+C31+L31</f>
        <v>120881.5</v>
      </c>
      <c r="Q31" s="4" t="s">
        <v>21</v>
      </c>
      <c r="R31" s="4"/>
      <c r="S31" s="167"/>
      <c r="T31" s="25"/>
    </row>
    <row r="32" spans="1:28" ht="15.75" thickBot="1" x14ac:dyDescent="0.3">
      <c r="A32" s="21"/>
      <c r="B32" s="241">
        <v>43678</v>
      </c>
      <c r="C32" s="249">
        <v>0</v>
      </c>
      <c r="D32" s="315"/>
      <c r="E32" s="312">
        <v>43678</v>
      </c>
      <c r="F32" s="249">
        <v>81019</v>
      </c>
      <c r="G32" s="244"/>
      <c r="H32" s="313">
        <v>43678</v>
      </c>
      <c r="I32" s="249">
        <v>450</v>
      </c>
      <c r="J32" s="4"/>
      <c r="K32" s="215"/>
      <c r="L32" s="209"/>
      <c r="M32" s="237">
        <v>77118</v>
      </c>
      <c r="N32" s="238">
        <v>3453</v>
      </c>
      <c r="O32" s="277" t="s">
        <v>7</v>
      </c>
      <c r="P32" s="277">
        <f t="shared" ref="P32:P33" si="2">I32+M32+N32+C32</f>
        <v>81021</v>
      </c>
      <c r="Q32" s="4">
        <f t="shared" si="0"/>
        <v>2</v>
      </c>
      <c r="R32" s="4"/>
      <c r="S32" s="167"/>
      <c r="T32" s="25"/>
    </row>
    <row r="33" spans="1:20" ht="15.75" thickBot="1" x14ac:dyDescent="0.3">
      <c r="A33" s="21"/>
      <c r="B33" s="241">
        <v>43679</v>
      </c>
      <c r="C33" s="277">
        <v>12721.46</v>
      </c>
      <c r="D33" s="315" t="s">
        <v>274</v>
      </c>
      <c r="E33" s="312">
        <v>43679</v>
      </c>
      <c r="F33" s="277">
        <v>133948</v>
      </c>
      <c r="G33" s="244"/>
      <c r="H33" s="313">
        <v>43679</v>
      </c>
      <c r="I33" s="249">
        <v>15081</v>
      </c>
      <c r="J33" s="4"/>
      <c r="K33" s="278"/>
      <c r="L33" s="279"/>
      <c r="M33" s="277">
        <v>98955</v>
      </c>
      <c r="N33" s="277">
        <v>7190</v>
      </c>
      <c r="O33" s="277"/>
      <c r="P33" s="277">
        <f t="shared" si="2"/>
        <v>133947.46</v>
      </c>
      <c r="Q33" s="4">
        <f t="shared" si="0"/>
        <v>-0.54000000000814907</v>
      </c>
      <c r="R33" s="4"/>
      <c r="S33" s="167"/>
      <c r="T33" s="25"/>
    </row>
    <row r="34" spans="1:20" ht="16.5" thickBot="1" x14ac:dyDescent="0.3">
      <c r="A34" s="49"/>
      <c r="B34" s="241"/>
      <c r="C34" s="51">
        <v>0</v>
      </c>
      <c r="D34" s="19"/>
      <c r="E34" s="29"/>
      <c r="F34" s="53">
        <v>0</v>
      </c>
      <c r="H34" s="24"/>
      <c r="I34" s="117"/>
      <c r="K34" s="54"/>
      <c r="L34" s="55"/>
      <c r="M34" s="211">
        <f>SUM(M5:M33)</f>
        <v>2808815.5</v>
      </c>
      <c r="N34" s="211">
        <f>SUM(N5:N33)</f>
        <v>87282</v>
      </c>
      <c r="O34" s="302"/>
      <c r="P34" s="211">
        <f>SUM(P5:P32)</f>
        <v>3082309.08</v>
      </c>
      <c r="Q34" s="118">
        <f>SUM(Q5:Q32)</f>
        <v>2770.5799999999581</v>
      </c>
      <c r="R34" s="5">
        <f>SUM(R28:R32)</f>
        <v>0</v>
      </c>
    </row>
    <row r="35" spans="1:20" ht="15.75" thickBot="1" x14ac:dyDescent="0.3">
      <c r="B35" s="56" t="s">
        <v>13</v>
      </c>
      <c r="C35" s="57">
        <f>SUM(C5:C34)</f>
        <v>188154.22</v>
      </c>
      <c r="E35" s="58" t="s">
        <v>13</v>
      </c>
      <c r="F35" s="59">
        <f>SUM(F5:F34)</f>
        <v>3233487</v>
      </c>
      <c r="H35" s="6" t="s">
        <v>13</v>
      </c>
      <c r="I35" s="4">
        <f>SUM(I5:I34)</f>
        <v>67233.63</v>
      </c>
      <c r="J35" s="4"/>
      <c r="K35" s="60" t="s">
        <v>13</v>
      </c>
      <c r="L35" s="40">
        <f>SUM(L5:L34)</f>
        <v>106947.21</v>
      </c>
      <c r="O35" s="257"/>
      <c r="T35" s="5"/>
    </row>
    <row r="36" spans="1:20" ht="19.5" thickBot="1" x14ac:dyDescent="0.3">
      <c r="C36" s="5" t="s">
        <v>7</v>
      </c>
      <c r="M36" s="412">
        <f>N34+M34</f>
        <v>2896097.5</v>
      </c>
      <c r="N36" s="413"/>
      <c r="O36" s="303"/>
      <c r="P36" s="303"/>
      <c r="T36" s="5"/>
    </row>
    <row r="37" spans="1:20" ht="15.75" x14ac:dyDescent="0.25">
      <c r="A37" s="25"/>
      <c r="B37" s="61"/>
      <c r="C37" s="4"/>
      <c r="H37" s="384" t="s">
        <v>14</v>
      </c>
      <c r="I37" s="385"/>
      <c r="J37" s="330">
        <v>-7</v>
      </c>
      <c r="K37" s="386">
        <f>I35+L35</f>
        <v>174180.84000000003</v>
      </c>
      <c r="L37" s="387"/>
      <c r="R37" s="4"/>
      <c r="S37" s="41"/>
      <c r="T37" s="5"/>
    </row>
    <row r="38" spans="1:20" ht="15.75" x14ac:dyDescent="0.25">
      <c r="D38" s="393" t="s">
        <v>15</v>
      </c>
      <c r="E38" s="393"/>
      <c r="F38" s="205">
        <f>F35-K37-C35</f>
        <v>2871151.94</v>
      </c>
      <c r="I38" s="63"/>
      <c r="J38" s="63"/>
      <c r="T38" s="5"/>
    </row>
    <row r="39" spans="1:20" ht="18.75" x14ac:dyDescent="0.3">
      <c r="D39" s="394" t="s">
        <v>16</v>
      </c>
      <c r="E39" s="394"/>
      <c r="F39" s="110">
        <v>-2637417.14</v>
      </c>
      <c r="I39" s="395" t="s">
        <v>17</v>
      </c>
      <c r="J39" s="396"/>
      <c r="K39" s="397">
        <f>F44</f>
        <v>495230.49999999977</v>
      </c>
      <c r="L39" s="398"/>
      <c r="T39" s="5"/>
    </row>
    <row r="40" spans="1:20" ht="4.5" customHeight="1" thickBot="1" x14ac:dyDescent="0.35">
      <c r="D40" s="64"/>
      <c r="E40" s="65"/>
      <c r="F40" s="66" t="s">
        <v>7</v>
      </c>
      <c r="I40" s="67"/>
      <c r="J40" s="67"/>
      <c r="K40" s="68"/>
      <c r="L40" s="68"/>
      <c r="T40" s="5"/>
    </row>
    <row r="41" spans="1:20" ht="19.5" thickTop="1" x14ac:dyDescent="0.3">
      <c r="C41" s="3" t="s">
        <v>7</v>
      </c>
      <c r="E41" s="25" t="s">
        <v>19</v>
      </c>
      <c r="F41" s="4">
        <f>SUM(F38:F40)</f>
        <v>233734.79999999981</v>
      </c>
      <c r="I41" s="69" t="s">
        <v>20</v>
      </c>
      <c r="J41" s="70"/>
      <c r="K41" s="418">
        <f>-C4</f>
        <v>-268009.78000000003</v>
      </c>
      <c r="L41" s="419"/>
      <c r="M41" s="5" t="s">
        <v>21</v>
      </c>
      <c r="T41" s="5"/>
    </row>
    <row r="42" spans="1:20" ht="15.75" thickBot="1" x14ac:dyDescent="0.3">
      <c r="D42" s="71" t="s">
        <v>22</v>
      </c>
      <c r="E42" s="25" t="s">
        <v>23</v>
      </c>
      <c r="F42" s="249">
        <v>26821.52</v>
      </c>
      <c r="T42" s="5"/>
    </row>
    <row r="43" spans="1:20" ht="20.25" thickTop="1" thickBot="1" x14ac:dyDescent="0.35">
      <c r="C43" s="321">
        <v>43679</v>
      </c>
      <c r="D43" s="420" t="s">
        <v>24</v>
      </c>
      <c r="E43" s="421"/>
      <c r="F43" s="72">
        <v>234674.18</v>
      </c>
      <c r="I43" s="414" t="s">
        <v>95</v>
      </c>
      <c r="J43" s="415"/>
      <c r="K43" s="416">
        <f>K39+K41</f>
        <v>227220.71999999974</v>
      </c>
      <c r="L43" s="417"/>
    </row>
    <row r="44" spans="1:20" ht="18.75" x14ac:dyDescent="0.3">
      <c r="C44" s="59"/>
      <c r="D44" s="58"/>
      <c r="E44" s="33" t="s">
        <v>25</v>
      </c>
      <c r="F44" s="73">
        <f>F41+F42+F43</f>
        <v>495230.49999999977</v>
      </c>
      <c r="J44" s="6"/>
      <c r="M44" s="74"/>
    </row>
    <row r="46" spans="1:20" x14ac:dyDescent="0.25">
      <c r="B46"/>
      <c r="C46"/>
      <c r="D46" s="392"/>
      <c r="E46" s="392"/>
      <c r="M46" s="75"/>
      <c r="N46" s="25"/>
      <c r="O46" s="25"/>
      <c r="P46" s="25"/>
      <c r="Q46" s="25"/>
    </row>
    <row r="47" spans="1:20" x14ac:dyDescent="0.25">
      <c r="B47"/>
      <c r="C47"/>
      <c r="M47" s="75"/>
      <c r="N47" s="25"/>
      <c r="O47" s="25"/>
      <c r="P47" s="25"/>
      <c r="Q47" s="25"/>
    </row>
    <row r="48" spans="1:20" x14ac:dyDescent="0.25">
      <c r="B48"/>
      <c r="C48"/>
      <c r="N48" s="25"/>
      <c r="O48" s="25"/>
      <c r="P48" s="25"/>
      <c r="Q48" s="25"/>
    </row>
    <row r="49" spans="2:17" x14ac:dyDescent="0.25">
      <c r="B49"/>
      <c r="C49"/>
      <c r="F49"/>
      <c r="I49"/>
      <c r="J49"/>
      <c r="M49"/>
      <c r="N49" s="25"/>
      <c r="O49" s="25"/>
      <c r="P49" s="25"/>
      <c r="Q49" s="25"/>
    </row>
    <row r="50" spans="2:17" x14ac:dyDescent="0.25">
      <c r="B50"/>
      <c r="C50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  <c r="N54" s="25"/>
      <c r="O54" s="25"/>
      <c r="P54" s="25"/>
      <c r="Q54" s="25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</sheetData>
  <mergeCells count="18">
    <mergeCell ref="K41:L41"/>
    <mergeCell ref="D43:E43"/>
    <mergeCell ref="I43:J43"/>
    <mergeCell ref="K43:L43"/>
    <mergeCell ref="D46:E46"/>
    <mergeCell ref="H37:I37"/>
    <mergeCell ref="K37:L37"/>
    <mergeCell ref="D38:E38"/>
    <mergeCell ref="D39:E39"/>
    <mergeCell ref="I39:J39"/>
    <mergeCell ref="K39:L39"/>
    <mergeCell ref="M36:N36"/>
    <mergeCell ref="C1:K1"/>
    <mergeCell ref="U3:V3"/>
    <mergeCell ref="E4:F4"/>
    <mergeCell ref="U20:V20"/>
    <mergeCell ref="B3:C3"/>
    <mergeCell ref="H4:I4"/>
  </mergeCells>
  <pageMargins left="0.15748031496062992" right="0.15748031496062992" top="0.31496062992125984" bottom="0.15748031496062992" header="0.31496062992125984" footer="0.16"/>
  <pageSetup scale="8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3087-6B6E-4ED3-A599-D6FAEA5ACB28}">
  <sheetPr>
    <tabColor rgb="FF66FFFF"/>
  </sheetPr>
  <dimension ref="A1:F94"/>
  <sheetViews>
    <sheetView topLeftCell="A43" zoomScaleNormal="100" workbookViewId="0">
      <selection activeCell="E21" sqref="E21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43651</v>
      </c>
      <c r="B3" s="256" t="s">
        <v>458</v>
      </c>
      <c r="C3" s="257">
        <v>76665.33</v>
      </c>
      <c r="D3" s="258"/>
      <c r="E3" s="257"/>
      <c r="F3" s="79">
        <f>C3-E3</f>
        <v>76665.33</v>
      </c>
    </row>
    <row r="4" spans="1:6" x14ac:dyDescent="0.25">
      <c r="A4" s="262">
        <v>43651</v>
      </c>
      <c r="B4" s="260" t="s">
        <v>459</v>
      </c>
      <c r="C4" s="249">
        <v>31966.6</v>
      </c>
      <c r="D4" s="259">
        <v>43651</v>
      </c>
      <c r="E4" s="249">
        <v>108631.93</v>
      </c>
      <c r="F4" s="79">
        <f>F3+C4-E4</f>
        <v>0</v>
      </c>
    </row>
    <row r="5" spans="1:6" x14ac:dyDescent="0.25">
      <c r="A5" s="259">
        <v>43652</v>
      </c>
      <c r="B5" s="260" t="s">
        <v>471</v>
      </c>
      <c r="C5" s="249">
        <v>41525.79</v>
      </c>
      <c r="D5" s="259"/>
      <c r="E5" s="249"/>
      <c r="F5" s="79">
        <f t="shared" ref="F5:F57" si="0">F4+C5-E5</f>
        <v>41525.79</v>
      </c>
    </row>
    <row r="6" spans="1:6" x14ac:dyDescent="0.25">
      <c r="A6" s="259">
        <v>43652</v>
      </c>
      <c r="B6" s="260" t="s">
        <v>472</v>
      </c>
      <c r="C6" s="249">
        <v>140411.79999999999</v>
      </c>
      <c r="D6" s="259"/>
      <c r="E6" s="249"/>
      <c r="F6" s="79">
        <f t="shared" si="0"/>
        <v>181937.59</v>
      </c>
    </row>
    <row r="7" spans="1:6" x14ac:dyDescent="0.25">
      <c r="A7" s="259">
        <v>43653</v>
      </c>
      <c r="B7" s="260" t="s">
        <v>473</v>
      </c>
      <c r="C7" s="249">
        <v>2492.8000000000002</v>
      </c>
      <c r="D7" s="259"/>
      <c r="E7" s="249"/>
      <c r="F7" s="79">
        <f t="shared" si="0"/>
        <v>184430.38999999998</v>
      </c>
    </row>
    <row r="8" spans="1:6" x14ac:dyDescent="0.25">
      <c r="A8" s="259">
        <v>43653</v>
      </c>
      <c r="B8" s="260" t="s">
        <v>474</v>
      </c>
      <c r="C8" s="249">
        <v>215.8</v>
      </c>
      <c r="D8" s="342"/>
      <c r="E8" s="249"/>
      <c r="F8" s="79">
        <f t="shared" si="0"/>
        <v>184646.18999999997</v>
      </c>
    </row>
    <row r="9" spans="1:6" x14ac:dyDescent="0.25">
      <c r="A9" s="259">
        <v>43654</v>
      </c>
      <c r="B9" s="260" t="s">
        <v>475</v>
      </c>
      <c r="C9" s="249">
        <v>15597.34</v>
      </c>
      <c r="D9" s="259"/>
      <c r="E9" s="249"/>
      <c r="F9" s="79">
        <f t="shared" si="0"/>
        <v>200243.52999999997</v>
      </c>
    </row>
    <row r="10" spans="1:6" x14ac:dyDescent="0.25">
      <c r="A10" s="259">
        <v>43655</v>
      </c>
      <c r="B10" s="260" t="s">
        <v>476</v>
      </c>
      <c r="C10" s="249">
        <v>17335.599999999999</v>
      </c>
      <c r="D10" s="259"/>
      <c r="E10" s="249"/>
      <c r="F10" s="79">
        <f t="shared" si="0"/>
        <v>217579.12999999998</v>
      </c>
    </row>
    <row r="11" spans="1:6" x14ac:dyDescent="0.25">
      <c r="A11" s="262">
        <v>43655</v>
      </c>
      <c r="B11" s="260" t="s">
        <v>477</v>
      </c>
      <c r="C11" s="249">
        <v>152245.85</v>
      </c>
      <c r="D11" s="259"/>
      <c r="E11" s="249"/>
      <c r="F11" s="79">
        <f t="shared" si="0"/>
        <v>369824.98</v>
      </c>
    </row>
    <row r="12" spans="1:6" x14ac:dyDescent="0.25">
      <c r="A12" s="259">
        <v>43656</v>
      </c>
      <c r="B12" s="260" t="s">
        <v>478</v>
      </c>
      <c r="C12" s="249">
        <v>1770.8</v>
      </c>
      <c r="D12" s="259"/>
      <c r="E12" s="249"/>
      <c r="F12" s="79">
        <f t="shared" si="0"/>
        <v>371595.77999999997</v>
      </c>
    </row>
    <row r="13" spans="1:6" x14ac:dyDescent="0.25">
      <c r="A13" s="259">
        <v>43656</v>
      </c>
      <c r="B13" s="260" t="s">
        <v>479</v>
      </c>
      <c r="C13" s="249">
        <v>34418.39</v>
      </c>
      <c r="D13" s="259">
        <v>43658</v>
      </c>
      <c r="E13" s="249">
        <v>406014.17</v>
      </c>
      <c r="F13" s="79">
        <f t="shared" si="0"/>
        <v>0</v>
      </c>
    </row>
    <row r="14" spans="1:6" x14ac:dyDescent="0.25">
      <c r="A14" s="259">
        <v>43657</v>
      </c>
      <c r="B14" s="260" t="s">
        <v>480</v>
      </c>
      <c r="C14" s="249">
        <v>1500</v>
      </c>
      <c r="D14" s="259"/>
      <c r="E14" s="249"/>
      <c r="F14" s="79">
        <f t="shared" si="0"/>
        <v>1500</v>
      </c>
    </row>
    <row r="15" spans="1:6" x14ac:dyDescent="0.25">
      <c r="A15" s="259">
        <v>43657</v>
      </c>
      <c r="B15" s="260" t="s">
        <v>481</v>
      </c>
      <c r="C15" s="249">
        <v>134757.78</v>
      </c>
      <c r="D15" s="259"/>
      <c r="E15" s="249"/>
      <c r="F15" s="79">
        <f t="shared" si="0"/>
        <v>136257.78</v>
      </c>
    </row>
    <row r="16" spans="1:6" x14ac:dyDescent="0.25">
      <c r="A16" s="259">
        <v>43657</v>
      </c>
      <c r="B16" s="260" t="s">
        <v>482</v>
      </c>
      <c r="C16" s="249">
        <v>3224.6</v>
      </c>
      <c r="D16" s="259"/>
      <c r="E16" s="249"/>
      <c r="F16" s="79">
        <f t="shared" si="0"/>
        <v>139482.38</v>
      </c>
    </row>
    <row r="17" spans="1:6" x14ac:dyDescent="0.25">
      <c r="A17" s="259">
        <v>43659</v>
      </c>
      <c r="B17" s="260" t="s">
        <v>483</v>
      </c>
      <c r="C17" s="249">
        <v>68743.7</v>
      </c>
      <c r="D17" s="259"/>
      <c r="E17" s="249"/>
      <c r="F17" s="79">
        <f t="shared" si="0"/>
        <v>208226.08000000002</v>
      </c>
    </row>
    <row r="18" spans="1:6" x14ac:dyDescent="0.25">
      <c r="A18" s="259">
        <v>43659</v>
      </c>
      <c r="B18" s="260" t="s">
        <v>484</v>
      </c>
      <c r="C18" s="249">
        <v>128203.25</v>
      </c>
      <c r="D18" s="259">
        <v>43661</v>
      </c>
      <c r="E18" s="249">
        <v>336429.33</v>
      </c>
      <c r="F18" s="79">
        <f t="shared" si="0"/>
        <v>0</v>
      </c>
    </row>
    <row r="19" spans="1:6" x14ac:dyDescent="0.25">
      <c r="A19" s="259">
        <v>43660</v>
      </c>
      <c r="B19" s="260" t="s">
        <v>485</v>
      </c>
      <c r="C19" s="249">
        <v>3400</v>
      </c>
      <c r="D19" s="342"/>
      <c r="E19" s="249"/>
      <c r="F19" s="79">
        <f t="shared" si="0"/>
        <v>3400</v>
      </c>
    </row>
    <row r="20" spans="1:6" x14ac:dyDescent="0.25">
      <c r="A20" s="259">
        <v>43662</v>
      </c>
      <c r="B20" s="260" t="s">
        <v>486</v>
      </c>
      <c r="C20" s="249">
        <v>35680.800000000003</v>
      </c>
      <c r="D20" s="259"/>
      <c r="E20" s="249"/>
      <c r="F20" s="79">
        <f t="shared" si="0"/>
        <v>39080.800000000003</v>
      </c>
    </row>
    <row r="21" spans="1:6" x14ac:dyDescent="0.25">
      <c r="A21" s="259">
        <v>43662</v>
      </c>
      <c r="B21" s="260" t="s">
        <v>487</v>
      </c>
      <c r="C21" s="249">
        <v>32767</v>
      </c>
      <c r="D21" s="259"/>
      <c r="E21" s="249"/>
      <c r="F21" s="79">
        <f t="shared" si="0"/>
        <v>71847.8</v>
      </c>
    </row>
    <row r="22" spans="1:6" x14ac:dyDescent="0.25">
      <c r="A22" s="259">
        <v>43662</v>
      </c>
      <c r="B22" s="260" t="s">
        <v>488</v>
      </c>
      <c r="C22" s="249">
        <v>61628.92</v>
      </c>
      <c r="D22" s="259"/>
      <c r="E22" s="249"/>
      <c r="F22" s="79">
        <f t="shared" si="0"/>
        <v>133476.72</v>
      </c>
    </row>
    <row r="23" spans="1:6" x14ac:dyDescent="0.25">
      <c r="A23" s="259">
        <v>43663</v>
      </c>
      <c r="B23" s="260" t="s">
        <v>489</v>
      </c>
      <c r="C23" s="249">
        <v>74779.91</v>
      </c>
      <c r="D23" s="259"/>
      <c r="E23" s="249"/>
      <c r="F23" s="79">
        <f t="shared" si="0"/>
        <v>208256.63</v>
      </c>
    </row>
    <row r="24" spans="1:6" x14ac:dyDescent="0.25">
      <c r="A24" s="259">
        <v>43663</v>
      </c>
      <c r="B24" s="260" t="s">
        <v>490</v>
      </c>
      <c r="C24" s="249">
        <v>151241.26999999999</v>
      </c>
      <c r="D24" s="259"/>
      <c r="E24" s="249"/>
      <c r="F24" s="79">
        <f t="shared" si="0"/>
        <v>359497.9</v>
      </c>
    </row>
    <row r="25" spans="1:6" x14ac:dyDescent="0.25">
      <c r="A25" s="259">
        <v>43663</v>
      </c>
      <c r="B25" s="260" t="s">
        <v>491</v>
      </c>
      <c r="C25" s="249">
        <v>1635</v>
      </c>
      <c r="D25" s="259"/>
      <c r="E25" s="249"/>
      <c r="F25" s="79">
        <f t="shared" si="0"/>
        <v>361132.9</v>
      </c>
    </row>
    <row r="26" spans="1:6" x14ac:dyDescent="0.25">
      <c r="A26" s="262">
        <v>43663</v>
      </c>
      <c r="B26" s="260" t="s">
        <v>492</v>
      </c>
      <c r="C26" s="249">
        <v>62087.28</v>
      </c>
      <c r="D26" s="259"/>
      <c r="E26" s="249"/>
      <c r="F26" s="79">
        <f t="shared" si="0"/>
        <v>423220.18000000005</v>
      </c>
    </row>
    <row r="27" spans="1:6" x14ac:dyDescent="0.25">
      <c r="A27" s="262">
        <v>43665</v>
      </c>
      <c r="B27" s="260" t="s">
        <v>493</v>
      </c>
      <c r="C27" s="249">
        <v>3862.42</v>
      </c>
      <c r="D27" s="259"/>
      <c r="E27" s="249"/>
      <c r="F27" s="79">
        <f t="shared" si="0"/>
        <v>427082.60000000003</v>
      </c>
    </row>
    <row r="28" spans="1:6" x14ac:dyDescent="0.25">
      <c r="A28" s="262">
        <v>43665</v>
      </c>
      <c r="B28" s="260" t="s">
        <v>494</v>
      </c>
      <c r="C28" s="249">
        <v>36748.28</v>
      </c>
      <c r="D28" s="259"/>
      <c r="E28" s="249"/>
      <c r="F28" s="79">
        <f t="shared" si="0"/>
        <v>463830.88</v>
      </c>
    </row>
    <row r="29" spans="1:6" x14ac:dyDescent="0.25">
      <c r="A29" s="262">
        <v>43665</v>
      </c>
      <c r="B29" s="260" t="s">
        <v>495</v>
      </c>
      <c r="C29" s="249">
        <v>66596.7</v>
      </c>
      <c r="D29" s="259">
        <v>43666</v>
      </c>
      <c r="E29" s="249">
        <v>530427.57999999996</v>
      </c>
      <c r="F29" s="79">
        <f t="shared" si="0"/>
        <v>0</v>
      </c>
    </row>
    <row r="30" spans="1:6" x14ac:dyDescent="0.25">
      <c r="A30" s="262">
        <v>43665</v>
      </c>
      <c r="B30" s="260" t="s">
        <v>496</v>
      </c>
      <c r="C30" s="249">
        <v>35029.599999999999</v>
      </c>
      <c r="D30" s="259"/>
      <c r="E30" s="249"/>
      <c r="F30" s="79">
        <f t="shared" si="0"/>
        <v>35029.599999999999</v>
      </c>
    </row>
    <row r="31" spans="1:6" x14ac:dyDescent="0.25">
      <c r="A31" s="262">
        <v>43666</v>
      </c>
      <c r="B31" s="260" t="s">
        <v>497</v>
      </c>
      <c r="C31" s="249">
        <v>36698.080000000002</v>
      </c>
      <c r="D31" s="259"/>
      <c r="E31" s="249"/>
      <c r="F31" s="79">
        <f t="shared" si="0"/>
        <v>71727.679999999993</v>
      </c>
    </row>
    <row r="32" spans="1:6" x14ac:dyDescent="0.25">
      <c r="A32" s="262">
        <v>43666</v>
      </c>
      <c r="B32" s="260" t="s">
        <v>498</v>
      </c>
      <c r="C32" s="249">
        <v>39669.78</v>
      </c>
      <c r="D32" s="259"/>
      <c r="E32" s="249"/>
      <c r="F32" s="79">
        <f t="shared" si="0"/>
        <v>111397.45999999999</v>
      </c>
    </row>
    <row r="33" spans="1:6" x14ac:dyDescent="0.25">
      <c r="A33" s="262">
        <v>43666</v>
      </c>
      <c r="B33" s="260" t="s">
        <v>499</v>
      </c>
      <c r="C33" s="249">
        <v>44595.1</v>
      </c>
      <c r="D33" s="259"/>
      <c r="E33" s="249"/>
      <c r="F33" s="79">
        <f t="shared" si="0"/>
        <v>155992.56</v>
      </c>
    </row>
    <row r="34" spans="1:6" x14ac:dyDescent="0.25">
      <c r="A34" s="262">
        <v>43667</v>
      </c>
      <c r="B34" s="260" t="s">
        <v>500</v>
      </c>
      <c r="C34" s="249">
        <v>35614.800000000003</v>
      </c>
      <c r="D34" s="259"/>
      <c r="E34" s="249"/>
      <c r="F34" s="79">
        <f t="shared" si="0"/>
        <v>191607.36</v>
      </c>
    </row>
    <row r="35" spans="1:6" x14ac:dyDescent="0.25">
      <c r="A35" s="262">
        <v>43667</v>
      </c>
      <c r="B35" s="260" t="s">
        <v>501</v>
      </c>
      <c r="C35" s="249">
        <v>34428</v>
      </c>
      <c r="D35" s="259"/>
      <c r="E35" s="249"/>
      <c r="F35" s="79">
        <f t="shared" si="0"/>
        <v>226035.36</v>
      </c>
    </row>
    <row r="36" spans="1:6" x14ac:dyDescent="0.25">
      <c r="A36" s="262">
        <v>43668</v>
      </c>
      <c r="B36" s="260" t="s">
        <v>502</v>
      </c>
      <c r="C36" s="249">
        <v>12604.17</v>
      </c>
      <c r="D36" s="259"/>
      <c r="E36" s="249"/>
      <c r="F36" s="79">
        <f t="shared" si="0"/>
        <v>238639.53</v>
      </c>
    </row>
    <row r="37" spans="1:6" x14ac:dyDescent="0.25">
      <c r="A37" s="262">
        <v>43668</v>
      </c>
      <c r="B37" s="260" t="s">
        <v>503</v>
      </c>
      <c r="C37" s="249">
        <v>62984.24</v>
      </c>
      <c r="D37" s="259"/>
      <c r="E37" s="249"/>
      <c r="F37" s="79">
        <f t="shared" si="0"/>
        <v>301623.77</v>
      </c>
    </row>
    <row r="38" spans="1:6" x14ac:dyDescent="0.25">
      <c r="A38" s="262">
        <v>43669</v>
      </c>
      <c r="B38" s="260" t="s">
        <v>504</v>
      </c>
      <c r="C38" s="249">
        <v>19436.2</v>
      </c>
      <c r="D38" s="259"/>
      <c r="E38" s="249"/>
      <c r="F38" s="79">
        <f t="shared" si="0"/>
        <v>321059.97000000003</v>
      </c>
    </row>
    <row r="39" spans="1:6" x14ac:dyDescent="0.25">
      <c r="A39" s="262">
        <v>43669</v>
      </c>
      <c r="B39" s="260" t="s">
        <v>505</v>
      </c>
      <c r="C39" s="249">
        <v>12677.5</v>
      </c>
      <c r="D39" s="259"/>
      <c r="E39" s="249"/>
      <c r="F39" s="79">
        <f t="shared" si="0"/>
        <v>333737.47000000003</v>
      </c>
    </row>
    <row r="40" spans="1:6" x14ac:dyDescent="0.25">
      <c r="A40" s="262">
        <v>43669</v>
      </c>
      <c r="B40" s="260" t="s">
        <v>506</v>
      </c>
      <c r="C40" s="249">
        <v>34893.699999999997</v>
      </c>
      <c r="D40" s="259"/>
      <c r="E40" s="249"/>
      <c r="F40" s="79">
        <f t="shared" si="0"/>
        <v>368631.17000000004</v>
      </c>
    </row>
    <row r="41" spans="1:6" x14ac:dyDescent="0.25">
      <c r="A41" s="262">
        <v>43669</v>
      </c>
      <c r="B41" s="260" t="s">
        <v>507</v>
      </c>
      <c r="C41" s="249">
        <v>104797.54</v>
      </c>
      <c r="D41" s="259"/>
      <c r="E41" s="249"/>
      <c r="F41" s="79">
        <f t="shared" si="0"/>
        <v>473428.71</v>
      </c>
    </row>
    <row r="42" spans="1:6" x14ac:dyDescent="0.25">
      <c r="A42" s="262">
        <v>43669</v>
      </c>
      <c r="B42" s="260" t="s">
        <v>508</v>
      </c>
      <c r="C42" s="249">
        <v>1021.2</v>
      </c>
      <c r="D42" s="259"/>
      <c r="E42" s="249"/>
      <c r="F42" s="79">
        <f t="shared" si="0"/>
        <v>474449.91000000003</v>
      </c>
    </row>
    <row r="43" spans="1:6" x14ac:dyDescent="0.25">
      <c r="A43" s="262">
        <v>43671</v>
      </c>
      <c r="B43" s="260" t="s">
        <v>509</v>
      </c>
      <c r="C43" s="249">
        <v>48788.75</v>
      </c>
      <c r="D43" s="259"/>
      <c r="E43" s="249"/>
      <c r="F43" s="79">
        <f t="shared" si="0"/>
        <v>523238.66000000003</v>
      </c>
    </row>
    <row r="44" spans="1:6" x14ac:dyDescent="0.25">
      <c r="A44" s="262">
        <v>43672</v>
      </c>
      <c r="B44" s="260" t="s">
        <v>510</v>
      </c>
      <c r="C44" s="249">
        <v>56912.67</v>
      </c>
      <c r="D44" s="259">
        <v>43672</v>
      </c>
      <c r="E44" s="249">
        <v>580151.32999999996</v>
      </c>
      <c r="F44" s="79">
        <f t="shared" si="0"/>
        <v>0</v>
      </c>
    </row>
    <row r="45" spans="1:6" x14ac:dyDescent="0.25">
      <c r="A45" s="262">
        <v>43672</v>
      </c>
      <c r="B45" s="260" t="s">
        <v>511</v>
      </c>
      <c r="C45" s="249">
        <v>107248</v>
      </c>
      <c r="D45" s="259"/>
      <c r="E45" s="249"/>
      <c r="F45" s="79">
        <f t="shared" si="0"/>
        <v>107248</v>
      </c>
    </row>
    <row r="46" spans="1:6" x14ac:dyDescent="0.25">
      <c r="A46" s="262">
        <v>43673</v>
      </c>
      <c r="B46" s="260" t="s">
        <v>512</v>
      </c>
      <c r="C46" s="249">
        <v>59854.6</v>
      </c>
      <c r="D46" s="259"/>
      <c r="E46" s="249"/>
      <c r="F46" s="79">
        <f t="shared" si="0"/>
        <v>167102.6</v>
      </c>
    </row>
    <row r="47" spans="1:6" x14ac:dyDescent="0.25">
      <c r="A47" s="262">
        <v>43673</v>
      </c>
      <c r="B47" s="260" t="s">
        <v>513</v>
      </c>
      <c r="C47" s="249">
        <v>10825.6</v>
      </c>
      <c r="D47" s="259"/>
      <c r="E47" s="249"/>
      <c r="F47" s="79">
        <f t="shared" si="0"/>
        <v>177928.2</v>
      </c>
    </row>
    <row r="48" spans="1:6" x14ac:dyDescent="0.25">
      <c r="A48" s="262">
        <v>43674</v>
      </c>
      <c r="B48" s="260" t="s">
        <v>514</v>
      </c>
      <c r="C48" s="249">
        <v>17721.400000000001</v>
      </c>
      <c r="D48" s="259"/>
      <c r="E48" s="249"/>
      <c r="F48" s="79">
        <f t="shared" si="0"/>
        <v>195649.6</v>
      </c>
    </row>
    <row r="49" spans="1:6" x14ac:dyDescent="0.25">
      <c r="A49" s="262">
        <v>43675</v>
      </c>
      <c r="B49" s="260" t="s">
        <v>515</v>
      </c>
      <c r="C49" s="249">
        <v>43382.46</v>
      </c>
      <c r="D49" s="259"/>
      <c r="E49" s="249"/>
      <c r="F49" s="79">
        <f t="shared" si="0"/>
        <v>239032.06</v>
      </c>
    </row>
    <row r="50" spans="1:6" x14ac:dyDescent="0.25">
      <c r="A50" s="262">
        <v>43675</v>
      </c>
      <c r="B50" s="260" t="s">
        <v>516</v>
      </c>
      <c r="C50" s="249">
        <v>59615.8</v>
      </c>
      <c r="D50" s="259"/>
      <c r="E50" s="249"/>
      <c r="F50" s="79">
        <f t="shared" si="0"/>
        <v>298647.86</v>
      </c>
    </row>
    <row r="51" spans="1:6" x14ac:dyDescent="0.25">
      <c r="A51" s="262">
        <v>43676</v>
      </c>
      <c r="B51" s="260" t="s">
        <v>517</v>
      </c>
      <c r="C51" s="249">
        <v>127230.66</v>
      </c>
      <c r="D51" s="259">
        <v>43677</v>
      </c>
      <c r="E51" s="249">
        <v>425878.52</v>
      </c>
      <c r="F51" s="79">
        <f t="shared" si="0"/>
        <v>0</v>
      </c>
    </row>
    <row r="52" spans="1:6" x14ac:dyDescent="0.25">
      <c r="A52" s="262">
        <v>43677</v>
      </c>
      <c r="B52" s="260" t="s">
        <v>518</v>
      </c>
      <c r="C52" s="249">
        <v>41924.519999999997</v>
      </c>
      <c r="D52" s="259"/>
      <c r="E52" s="249"/>
      <c r="F52" s="79">
        <f t="shared" si="0"/>
        <v>41924.519999999997</v>
      </c>
    </row>
    <row r="53" spans="1:6" x14ac:dyDescent="0.25">
      <c r="A53" s="262">
        <v>43678</v>
      </c>
      <c r="B53" s="260" t="s">
        <v>519</v>
      </c>
      <c r="C53" s="249">
        <v>110685.84</v>
      </c>
      <c r="D53" s="259"/>
      <c r="E53" s="249"/>
      <c r="F53" s="79">
        <f t="shared" si="0"/>
        <v>152610.35999999999</v>
      </c>
    </row>
    <row r="54" spans="1:6" x14ac:dyDescent="0.25">
      <c r="A54" s="262">
        <v>43678</v>
      </c>
      <c r="B54" s="260" t="s">
        <v>520</v>
      </c>
      <c r="C54" s="249">
        <v>1704.92</v>
      </c>
      <c r="D54" s="259"/>
      <c r="E54" s="249"/>
      <c r="F54" s="79">
        <f t="shared" si="0"/>
        <v>154315.28</v>
      </c>
    </row>
    <row r="55" spans="1:6" x14ac:dyDescent="0.25">
      <c r="A55" s="262">
        <v>43679</v>
      </c>
      <c r="B55" s="260" t="s">
        <v>521</v>
      </c>
      <c r="C55" s="249">
        <v>95569</v>
      </c>
      <c r="D55" s="259">
        <v>43683</v>
      </c>
      <c r="E55" s="249">
        <v>249884.28</v>
      </c>
      <c r="F55" s="79">
        <f t="shared" si="0"/>
        <v>0</v>
      </c>
    </row>
    <row r="56" spans="1:6" x14ac:dyDescent="0.25">
      <c r="A56" s="340"/>
      <c r="B56" s="341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2637417.1399999997</v>
      </c>
      <c r="D58" s="1"/>
      <c r="E58" s="5">
        <f>SUM(E3:E57)</f>
        <v>2637417.1399999997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0866141732283472" right="0.70866141732283472" top="0.35433070866141736" bottom="0.35433070866141736" header="0.31496062992125984" footer="0.31496062992125984"/>
  <pageSetup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DA-B6D5-42B0-AA46-A4AE70104CBA}">
  <sheetPr>
    <tabColor rgb="FFFFFF00"/>
  </sheetPr>
  <dimension ref="A1:AB83"/>
  <sheetViews>
    <sheetView topLeftCell="A31" workbookViewId="0">
      <selection activeCell="C48" sqref="C4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27.8554687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78" t="s">
        <v>526</v>
      </c>
      <c r="D1" s="378"/>
      <c r="E1" s="378"/>
      <c r="F1" s="378"/>
      <c r="G1" s="378"/>
      <c r="H1" s="378"/>
      <c r="I1" s="378"/>
      <c r="J1" s="378"/>
      <c r="K1" s="378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20.25" thickTop="1" thickBot="1" x14ac:dyDescent="0.35">
      <c r="B3" s="425" t="s">
        <v>3</v>
      </c>
      <c r="C3" s="426"/>
      <c r="D3" s="13"/>
      <c r="I3" s="14" t="s">
        <v>4</v>
      </c>
      <c r="J3" s="9"/>
      <c r="K3" s="15" t="s">
        <v>126</v>
      </c>
      <c r="L3" s="15"/>
      <c r="U3" s="388" t="s">
        <v>56</v>
      </c>
      <c r="V3" s="389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234674.18</v>
      </c>
      <c r="D4" s="213">
        <v>43679</v>
      </c>
      <c r="E4" s="422" t="s">
        <v>6</v>
      </c>
      <c r="F4" s="423"/>
      <c r="H4" s="382" t="s">
        <v>460</v>
      </c>
      <c r="I4" s="424"/>
      <c r="J4" s="338"/>
      <c r="K4" s="338"/>
      <c r="L4" s="338"/>
      <c r="M4" s="333" t="s">
        <v>8</v>
      </c>
      <c r="N4" s="334" t="s">
        <v>36</v>
      </c>
      <c r="O4" s="304"/>
      <c r="P4" s="304"/>
      <c r="Q4" s="348"/>
      <c r="T4" s="228">
        <v>43686</v>
      </c>
      <c r="U4" s="145" t="s">
        <v>47</v>
      </c>
      <c r="V4" s="353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43680</v>
      </c>
      <c r="C5" s="234">
        <v>10986.24</v>
      </c>
      <c r="D5" s="311" t="s">
        <v>343</v>
      </c>
      <c r="E5" s="312">
        <v>43680</v>
      </c>
      <c r="F5" s="233">
        <v>137046</v>
      </c>
      <c r="G5" s="244"/>
      <c r="H5" s="335">
        <v>43680</v>
      </c>
      <c r="I5" s="336">
        <v>0</v>
      </c>
      <c r="J5" s="106"/>
      <c r="L5" s="4"/>
      <c r="M5" s="237">
        <v>127613</v>
      </c>
      <c r="N5" s="238">
        <v>6707</v>
      </c>
      <c r="O5" s="277"/>
      <c r="P5" s="277">
        <f>C5+I5+M5+N5+L12</f>
        <v>165402.65</v>
      </c>
      <c r="Q5" s="100">
        <f>P5-F5</f>
        <v>28356.649999999994</v>
      </c>
      <c r="R5" s="5">
        <v>4300</v>
      </c>
      <c r="S5" s="212" t="s">
        <v>558</v>
      </c>
      <c r="T5" s="228">
        <v>43686</v>
      </c>
      <c r="U5" s="136" t="s">
        <v>41</v>
      </c>
      <c r="V5" s="353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43681</v>
      </c>
      <c r="C6" s="234">
        <v>1026</v>
      </c>
      <c r="D6" s="242" t="s">
        <v>49</v>
      </c>
      <c r="E6" s="312">
        <v>43681</v>
      </c>
      <c r="F6" s="233">
        <v>108542</v>
      </c>
      <c r="G6" s="244"/>
      <c r="H6" s="313">
        <v>43681</v>
      </c>
      <c r="I6" s="235">
        <v>0</v>
      </c>
      <c r="J6" s="106"/>
      <c r="K6" s="127"/>
      <c r="L6" s="208"/>
      <c r="M6" s="237">
        <v>101470</v>
      </c>
      <c r="N6" s="238">
        <v>6046</v>
      </c>
      <c r="O6" s="277"/>
      <c r="P6" s="277">
        <f>C6+I6+M6+N6</f>
        <v>108542</v>
      </c>
      <c r="Q6" s="257">
        <f t="shared" ref="Q6:Q30" si="0">P6-F6</f>
        <v>0</v>
      </c>
      <c r="S6" s="212"/>
      <c r="T6" s="229">
        <v>43693</v>
      </c>
      <c r="U6" s="134" t="s">
        <v>41</v>
      </c>
      <c r="V6" s="353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43682</v>
      </c>
      <c r="C7" s="234">
        <v>1006</v>
      </c>
      <c r="D7" s="314" t="s">
        <v>49</v>
      </c>
      <c r="E7" s="312">
        <v>43682</v>
      </c>
      <c r="F7" s="233">
        <v>117890</v>
      </c>
      <c r="G7" s="244"/>
      <c r="H7" s="313">
        <v>43682</v>
      </c>
      <c r="I7" s="235">
        <v>870</v>
      </c>
      <c r="J7" s="31">
        <v>43710</v>
      </c>
      <c r="K7" s="127" t="s">
        <v>9</v>
      </c>
      <c r="L7" s="248">
        <v>1300</v>
      </c>
      <c r="M7" s="237">
        <v>114940</v>
      </c>
      <c r="N7" s="238">
        <v>1074</v>
      </c>
      <c r="O7" s="277"/>
      <c r="P7" s="277">
        <f t="shared" ref="P7:P30" si="1">C7+I7+M7+N7</f>
        <v>117890</v>
      </c>
      <c r="Q7" s="4">
        <f t="shared" si="0"/>
        <v>0</v>
      </c>
      <c r="R7" s="4"/>
      <c r="S7" s="4"/>
      <c r="T7" s="230">
        <v>43693</v>
      </c>
      <c r="U7" s="136" t="s">
        <v>47</v>
      </c>
      <c r="V7" s="353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43683</v>
      </c>
      <c r="C8" s="234">
        <v>2465</v>
      </c>
      <c r="D8" s="315" t="s">
        <v>342</v>
      </c>
      <c r="E8" s="312">
        <v>43683</v>
      </c>
      <c r="F8" s="233">
        <v>77414</v>
      </c>
      <c r="G8" s="244"/>
      <c r="H8" s="313">
        <v>43683</v>
      </c>
      <c r="I8" s="235">
        <v>72</v>
      </c>
      <c r="J8" s="34">
        <v>43672</v>
      </c>
      <c r="K8" s="35" t="s">
        <v>10</v>
      </c>
      <c r="L8" s="250">
        <v>0</v>
      </c>
      <c r="M8" s="237">
        <v>74353</v>
      </c>
      <c r="N8" s="238">
        <v>524</v>
      </c>
      <c r="O8" s="277"/>
      <c r="P8" s="277">
        <f t="shared" si="1"/>
        <v>77414</v>
      </c>
      <c r="Q8" s="4">
        <f t="shared" si="0"/>
        <v>0</v>
      </c>
      <c r="R8" s="4"/>
      <c r="S8" s="4"/>
      <c r="T8" s="228">
        <v>43700</v>
      </c>
      <c r="U8" s="134" t="s">
        <v>41</v>
      </c>
      <c r="V8" s="353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43684</v>
      </c>
      <c r="C9" s="234">
        <v>3538</v>
      </c>
      <c r="D9" s="316" t="s">
        <v>534</v>
      </c>
      <c r="E9" s="312">
        <v>43684</v>
      </c>
      <c r="F9" s="233">
        <v>86644</v>
      </c>
      <c r="G9" s="244"/>
      <c r="H9" s="313">
        <v>43684</v>
      </c>
      <c r="I9" s="235">
        <v>0</v>
      </c>
      <c r="J9" s="96">
        <v>43708</v>
      </c>
      <c r="K9" s="102" t="s">
        <v>11</v>
      </c>
      <c r="L9" s="346">
        <v>20000</v>
      </c>
      <c r="M9" s="237">
        <v>79874</v>
      </c>
      <c r="N9" s="238">
        <v>3232</v>
      </c>
      <c r="O9" s="277"/>
      <c r="P9" s="277">
        <f t="shared" si="1"/>
        <v>86644</v>
      </c>
      <c r="Q9" s="4">
        <f t="shared" si="0"/>
        <v>0</v>
      </c>
      <c r="R9" s="4"/>
      <c r="S9" s="4"/>
      <c r="T9" s="230">
        <v>43700</v>
      </c>
      <c r="U9" s="136" t="s">
        <v>47</v>
      </c>
      <c r="V9" s="353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43685</v>
      </c>
      <c r="C10" s="234">
        <v>17424.5</v>
      </c>
      <c r="D10" s="242" t="s">
        <v>535</v>
      </c>
      <c r="E10" s="312">
        <v>43685</v>
      </c>
      <c r="F10" s="233">
        <v>115198</v>
      </c>
      <c r="G10" s="244"/>
      <c r="H10" s="313">
        <v>43685</v>
      </c>
      <c r="I10" s="235">
        <v>2567</v>
      </c>
      <c r="J10" s="106" t="s">
        <v>536</v>
      </c>
      <c r="K10" s="126"/>
      <c r="L10" s="236">
        <v>0</v>
      </c>
      <c r="M10" s="237">
        <v>89250</v>
      </c>
      <c r="N10" s="238">
        <v>5961</v>
      </c>
      <c r="O10" s="277"/>
      <c r="P10" s="277">
        <f t="shared" si="1"/>
        <v>115202.5</v>
      </c>
      <c r="Q10" s="4">
        <f t="shared" si="0"/>
        <v>4.5</v>
      </c>
      <c r="S10" s="212"/>
      <c r="T10" s="228">
        <v>43707</v>
      </c>
      <c r="U10" s="134" t="s">
        <v>41</v>
      </c>
      <c r="V10" s="353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43686</v>
      </c>
      <c r="C11" s="234">
        <v>0</v>
      </c>
      <c r="D11" s="242"/>
      <c r="E11" s="312">
        <v>43686</v>
      </c>
      <c r="F11" s="233">
        <v>139204</v>
      </c>
      <c r="G11" s="244"/>
      <c r="H11" s="313">
        <v>43686</v>
      </c>
      <c r="I11" s="235">
        <v>10221.5</v>
      </c>
      <c r="J11" s="106"/>
      <c r="K11" s="147"/>
      <c r="L11" s="236">
        <v>0</v>
      </c>
      <c r="M11" s="237">
        <f>114500+10587.5</f>
        <v>125087.5</v>
      </c>
      <c r="N11" s="238">
        <v>3895</v>
      </c>
      <c r="O11" s="277"/>
      <c r="P11" s="277">
        <f t="shared" si="1"/>
        <v>139204</v>
      </c>
      <c r="Q11" s="4">
        <f t="shared" si="0"/>
        <v>0</v>
      </c>
      <c r="R11" s="253"/>
      <c r="S11" s="212"/>
      <c r="T11" s="228">
        <v>43707</v>
      </c>
      <c r="U11" s="136" t="s">
        <v>47</v>
      </c>
      <c r="V11" s="353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43687</v>
      </c>
      <c r="C12" s="234">
        <v>13605</v>
      </c>
      <c r="D12" s="242" t="s">
        <v>537</v>
      </c>
      <c r="E12" s="312">
        <v>43687</v>
      </c>
      <c r="F12" s="233">
        <v>177352</v>
      </c>
      <c r="G12" s="244"/>
      <c r="H12" s="313">
        <v>43687</v>
      </c>
      <c r="I12" s="235">
        <v>750</v>
      </c>
      <c r="J12" s="106">
        <v>43680</v>
      </c>
      <c r="K12" s="102" t="s">
        <v>415</v>
      </c>
      <c r="L12" s="236">
        <f>15796.41+4300</f>
        <v>20096.41</v>
      </c>
      <c r="M12" s="237">
        <f>110000+49205</f>
        <v>159205</v>
      </c>
      <c r="N12" s="238">
        <v>3792</v>
      </c>
      <c r="O12" s="277"/>
      <c r="P12" s="277">
        <f>C12+I12+M12+N12</f>
        <v>177352</v>
      </c>
      <c r="Q12" s="257">
        <f>P12-F12</f>
        <v>0</v>
      </c>
      <c r="R12" s="354">
        <v>9918.64</v>
      </c>
      <c r="S12" s="33" t="s">
        <v>415</v>
      </c>
      <c r="T12" s="228">
        <v>43714</v>
      </c>
      <c r="U12" s="134" t="s">
        <v>41</v>
      </c>
      <c r="V12" s="353">
        <v>5010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43688</v>
      </c>
      <c r="C13" s="234">
        <v>712</v>
      </c>
      <c r="D13" s="315" t="s">
        <v>49</v>
      </c>
      <c r="E13" s="312">
        <v>43688</v>
      </c>
      <c r="F13" s="233">
        <v>105495</v>
      </c>
      <c r="G13" s="244"/>
      <c r="H13" s="313">
        <v>43688</v>
      </c>
      <c r="I13" s="235">
        <v>0</v>
      </c>
      <c r="J13" s="106">
        <v>43688</v>
      </c>
      <c r="K13" s="102" t="s">
        <v>522</v>
      </c>
      <c r="L13" s="236">
        <f>14267.89+4300</f>
        <v>18567.89</v>
      </c>
      <c r="M13" s="237">
        <v>95938</v>
      </c>
      <c r="N13" s="238">
        <v>0</v>
      </c>
      <c r="O13" s="277"/>
      <c r="P13" s="277">
        <f>C13+I13+M13+N13+L13</f>
        <v>115217.89</v>
      </c>
      <c r="Q13" s="347">
        <f>P13-F13</f>
        <v>9722.89</v>
      </c>
      <c r="R13" s="354">
        <v>9723.4500000000007</v>
      </c>
      <c r="S13" s="33" t="s">
        <v>522</v>
      </c>
      <c r="T13" s="228">
        <v>43714</v>
      </c>
      <c r="U13" s="136" t="s">
        <v>47</v>
      </c>
      <c r="V13" s="353">
        <v>5010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43689</v>
      </c>
      <c r="C14" s="234">
        <v>1133</v>
      </c>
      <c r="D14" s="314" t="s">
        <v>538</v>
      </c>
      <c r="E14" s="312">
        <v>43689</v>
      </c>
      <c r="F14" s="233">
        <v>147864</v>
      </c>
      <c r="G14" s="244"/>
      <c r="H14" s="313">
        <v>43689</v>
      </c>
      <c r="I14" s="235">
        <v>96</v>
      </c>
      <c r="J14" s="106">
        <v>43694</v>
      </c>
      <c r="K14" s="102" t="s">
        <v>523</v>
      </c>
      <c r="L14" s="236">
        <f>14877.7+4300</f>
        <v>19177.7</v>
      </c>
      <c r="M14" s="237">
        <f>100000+42052</f>
        <v>142052</v>
      </c>
      <c r="N14" s="238">
        <v>4583.16</v>
      </c>
      <c r="O14" s="277"/>
      <c r="P14" s="277">
        <f t="shared" si="1"/>
        <v>147864.16</v>
      </c>
      <c r="Q14" s="4">
        <f t="shared" si="0"/>
        <v>0.16000000000349246</v>
      </c>
      <c r="R14" s="354">
        <v>9766.59</v>
      </c>
      <c r="S14" s="33" t="s">
        <v>523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43690</v>
      </c>
      <c r="C15" s="234">
        <v>1814</v>
      </c>
      <c r="D15" s="242" t="s">
        <v>342</v>
      </c>
      <c r="E15" s="312">
        <v>43690</v>
      </c>
      <c r="F15" s="233">
        <v>65772</v>
      </c>
      <c r="G15" s="244"/>
      <c r="H15" s="313">
        <v>43690</v>
      </c>
      <c r="I15" s="235">
        <v>0</v>
      </c>
      <c r="J15" s="106">
        <v>43701</v>
      </c>
      <c r="K15" s="102" t="s">
        <v>524</v>
      </c>
      <c r="L15" s="236">
        <f>15796.41+4300</f>
        <v>20096.41</v>
      </c>
      <c r="M15" s="237">
        <f>61646+1279.5</f>
        <v>62925.5</v>
      </c>
      <c r="N15" s="238">
        <v>1032</v>
      </c>
      <c r="O15" s="277"/>
      <c r="P15" s="277">
        <f t="shared" si="1"/>
        <v>65771.5</v>
      </c>
      <c r="Q15" s="257">
        <f t="shared" si="0"/>
        <v>-0.5</v>
      </c>
      <c r="R15" s="354">
        <v>9918.64</v>
      </c>
      <c r="S15" s="33" t="s">
        <v>527</v>
      </c>
      <c r="T15" s="228"/>
      <c r="U15" s="133" t="s">
        <v>13</v>
      </c>
      <c r="V15" s="132">
        <f>SUM(V4:V14)</f>
        <v>50100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43691</v>
      </c>
      <c r="C16" s="234">
        <v>4924</v>
      </c>
      <c r="D16" s="242" t="s">
        <v>539</v>
      </c>
      <c r="E16" s="312">
        <v>43691</v>
      </c>
      <c r="F16" s="233">
        <v>72717</v>
      </c>
      <c r="G16" s="244"/>
      <c r="H16" s="313">
        <v>43691</v>
      </c>
      <c r="I16" s="235">
        <v>16</v>
      </c>
      <c r="J16" s="42">
        <v>43708</v>
      </c>
      <c r="K16" s="25" t="s">
        <v>525</v>
      </c>
      <c r="L16" s="257">
        <f>14496.41+4300</f>
        <v>18796.41</v>
      </c>
      <c r="M16" s="237">
        <v>56636</v>
      </c>
      <c r="N16" s="238">
        <v>11141</v>
      </c>
      <c r="O16" s="277"/>
      <c r="P16" s="277">
        <f t="shared" si="1"/>
        <v>72717</v>
      </c>
      <c r="Q16" s="4">
        <f t="shared" si="0"/>
        <v>0</v>
      </c>
      <c r="R16" s="354">
        <v>9918.64</v>
      </c>
      <c r="S16" s="33" t="s">
        <v>525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43692</v>
      </c>
      <c r="C17" s="234">
        <v>17532</v>
      </c>
      <c r="D17" s="315" t="s">
        <v>194</v>
      </c>
      <c r="E17" s="312">
        <v>43692</v>
      </c>
      <c r="F17" s="233">
        <v>97494</v>
      </c>
      <c r="G17" s="244"/>
      <c r="H17" s="313">
        <v>43692</v>
      </c>
      <c r="I17" s="240">
        <v>0</v>
      </c>
      <c r="J17" s="164">
        <v>43707</v>
      </c>
      <c r="K17" s="148" t="s">
        <v>547</v>
      </c>
      <c r="L17" s="361">
        <v>1937</v>
      </c>
      <c r="M17" s="237">
        <v>79527</v>
      </c>
      <c r="N17" s="238">
        <v>435</v>
      </c>
      <c r="O17" s="277"/>
      <c r="P17" s="277">
        <f t="shared" si="1"/>
        <v>97494</v>
      </c>
      <c r="Q17" s="4">
        <f t="shared" si="0"/>
        <v>0</v>
      </c>
      <c r="R17" s="358">
        <f>5618.64+4300</f>
        <v>9918.64</v>
      </c>
      <c r="S17" s="214" t="s">
        <v>556</v>
      </c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43693</v>
      </c>
      <c r="C18" s="234">
        <v>0</v>
      </c>
      <c r="D18" s="242"/>
      <c r="E18" s="312">
        <v>43693</v>
      </c>
      <c r="F18" s="233">
        <v>131143</v>
      </c>
      <c r="G18" s="244"/>
      <c r="H18" s="313">
        <v>43693</v>
      </c>
      <c r="I18" s="235">
        <v>14528</v>
      </c>
      <c r="J18" s="42"/>
      <c r="K18" s="317" t="s">
        <v>548</v>
      </c>
      <c r="L18" s="236">
        <v>0</v>
      </c>
      <c r="M18" s="237">
        <v>114818</v>
      </c>
      <c r="N18" s="238">
        <v>1797</v>
      </c>
      <c r="O18" s="277"/>
      <c r="P18" s="277">
        <f t="shared" si="1"/>
        <v>131143</v>
      </c>
      <c r="Q18" s="4">
        <f t="shared" si="0"/>
        <v>0</v>
      </c>
      <c r="R18" s="4">
        <f>SUM(R12:R17)</f>
        <v>59164.6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43694</v>
      </c>
      <c r="C19" s="234">
        <v>1966</v>
      </c>
      <c r="D19" s="316" t="s">
        <v>184</v>
      </c>
      <c r="E19" s="312">
        <v>43694</v>
      </c>
      <c r="F19" s="233">
        <v>120522</v>
      </c>
      <c r="G19" s="244"/>
      <c r="H19" s="313">
        <v>43694</v>
      </c>
      <c r="I19" s="235">
        <v>0</v>
      </c>
      <c r="J19" s="164">
        <v>43709</v>
      </c>
      <c r="K19" s="150" t="s">
        <v>551</v>
      </c>
      <c r="L19" s="236">
        <v>8357</v>
      </c>
      <c r="M19" s="237">
        <v>108200</v>
      </c>
      <c r="N19" s="238">
        <v>956</v>
      </c>
      <c r="O19" s="277"/>
      <c r="P19" s="277">
        <f>C19+I19+M19+N19+L14</f>
        <v>130299.7</v>
      </c>
      <c r="Q19" s="347">
        <f>P19-F19</f>
        <v>9777.6999999999971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43695</v>
      </c>
      <c r="C20" s="234">
        <v>0</v>
      </c>
      <c r="D20" s="242"/>
      <c r="E20" s="312">
        <v>43695</v>
      </c>
      <c r="F20" s="233">
        <v>113088</v>
      </c>
      <c r="G20" s="244"/>
      <c r="H20" s="313">
        <v>43695</v>
      </c>
      <c r="I20" s="235">
        <v>0</v>
      </c>
      <c r="J20" s="42"/>
      <c r="K20" s="356" t="s">
        <v>552</v>
      </c>
      <c r="L20" s="361">
        <v>0</v>
      </c>
      <c r="M20" s="237">
        <v>110632</v>
      </c>
      <c r="N20" s="238">
        <v>2455</v>
      </c>
      <c r="O20" s="277"/>
      <c r="P20" s="277">
        <f t="shared" si="1"/>
        <v>113087</v>
      </c>
      <c r="Q20" s="4">
        <f t="shared" si="0"/>
        <v>-1</v>
      </c>
      <c r="S20" s="5"/>
      <c r="U20" s="390" t="s">
        <v>56</v>
      </c>
      <c r="V20" s="391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43696</v>
      </c>
      <c r="C21" s="234">
        <v>14377</v>
      </c>
      <c r="D21" s="242" t="s">
        <v>148</v>
      </c>
      <c r="E21" s="312">
        <v>43696</v>
      </c>
      <c r="F21" s="233">
        <v>89789</v>
      </c>
      <c r="G21" s="244"/>
      <c r="H21" s="313">
        <v>43696</v>
      </c>
      <c r="I21" s="235">
        <v>0</v>
      </c>
      <c r="J21" s="44">
        <v>43715</v>
      </c>
      <c r="K21" s="195" t="s">
        <v>555</v>
      </c>
      <c r="L21" s="361">
        <f>14210.7+4300</f>
        <v>18510.7</v>
      </c>
      <c r="M21" s="237">
        <v>74786</v>
      </c>
      <c r="N21" s="238">
        <v>626</v>
      </c>
      <c r="O21" s="277"/>
      <c r="P21" s="277">
        <f t="shared" si="1"/>
        <v>89789</v>
      </c>
      <c r="Q21" s="4">
        <f t="shared" si="0"/>
        <v>0</v>
      </c>
      <c r="S21" s="5"/>
      <c r="T21" s="228">
        <v>43693</v>
      </c>
      <c r="U21" s="25" t="s">
        <v>39</v>
      </c>
      <c r="V21" s="355">
        <v>4000</v>
      </c>
      <c r="W21" t="s">
        <v>540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43697</v>
      </c>
      <c r="C22" s="234">
        <v>880</v>
      </c>
      <c r="D22" s="242" t="s">
        <v>49</v>
      </c>
      <c r="E22" s="312">
        <v>43697</v>
      </c>
      <c r="F22" s="233">
        <v>116997</v>
      </c>
      <c r="G22" s="244"/>
      <c r="H22" s="313">
        <v>43697</v>
      </c>
      <c r="I22" s="235">
        <v>0</v>
      </c>
      <c r="J22" s="34"/>
      <c r="K22" s="153"/>
      <c r="L22" s="361">
        <v>0</v>
      </c>
      <c r="M22" s="237">
        <f>114384+985</f>
        <v>115369</v>
      </c>
      <c r="N22" s="238">
        <v>748</v>
      </c>
      <c r="O22" s="277"/>
      <c r="P22" s="277">
        <f t="shared" si="1"/>
        <v>116997</v>
      </c>
      <c r="Q22" s="257">
        <f t="shared" si="0"/>
        <v>0</v>
      </c>
      <c r="S22" s="5"/>
      <c r="T22" s="228">
        <v>43700</v>
      </c>
      <c r="U22" s="102" t="s">
        <v>39</v>
      </c>
      <c r="V22" s="357">
        <v>2000</v>
      </c>
      <c r="W22" t="s">
        <v>541</v>
      </c>
    </row>
    <row r="23" spans="1:28" ht="15.75" thickBot="1" x14ac:dyDescent="0.3">
      <c r="A23" s="21"/>
      <c r="B23" s="241">
        <v>43698</v>
      </c>
      <c r="C23" s="234">
        <v>2199</v>
      </c>
      <c r="D23" s="242" t="s">
        <v>542</v>
      </c>
      <c r="E23" s="312">
        <v>43698</v>
      </c>
      <c r="F23" s="233">
        <v>68542</v>
      </c>
      <c r="G23" s="244"/>
      <c r="H23" s="313">
        <v>43698</v>
      </c>
      <c r="I23" s="235">
        <v>0</v>
      </c>
      <c r="J23" s="95"/>
      <c r="K23" s="154"/>
      <c r="L23" s="361">
        <v>0</v>
      </c>
      <c r="M23" s="237">
        <v>65653</v>
      </c>
      <c r="N23" s="238">
        <v>690</v>
      </c>
      <c r="O23" s="277"/>
      <c r="P23" s="277">
        <f t="shared" si="1"/>
        <v>68542</v>
      </c>
      <c r="Q23" s="4">
        <f t="shared" si="0"/>
        <v>0</v>
      </c>
      <c r="S23" s="5"/>
      <c r="T23" s="228">
        <v>43707</v>
      </c>
      <c r="U23" s="102" t="s">
        <v>39</v>
      </c>
      <c r="V23" s="357">
        <v>2000</v>
      </c>
      <c r="W23" t="s">
        <v>550</v>
      </c>
    </row>
    <row r="24" spans="1:28" ht="15.75" thickBot="1" x14ac:dyDescent="0.3">
      <c r="A24" s="21"/>
      <c r="B24" s="241">
        <v>43699</v>
      </c>
      <c r="C24" s="234">
        <v>18691.72</v>
      </c>
      <c r="D24" s="242" t="s">
        <v>543</v>
      </c>
      <c r="E24" s="312">
        <v>43699</v>
      </c>
      <c r="F24" s="233">
        <v>87235</v>
      </c>
      <c r="G24" s="244"/>
      <c r="H24" s="313">
        <v>43699</v>
      </c>
      <c r="I24" s="235">
        <v>1128.82</v>
      </c>
      <c r="J24" s="46"/>
      <c r="K24" s="155"/>
      <c r="L24" s="135">
        <v>0</v>
      </c>
      <c r="M24" s="237">
        <f>59706+11567</f>
        <v>71273</v>
      </c>
      <c r="N24" s="238">
        <v>813</v>
      </c>
      <c r="O24" s="277"/>
      <c r="P24" s="277">
        <f>C24+I24+M24+N24</f>
        <v>91906.540000000008</v>
      </c>
      <c r="Q24" s="100">
        <f>P24-F24</f>
        <v>4671.5400000000081</v>
      </c>
      <c r="S24" s="5"/>
      <c r="T24" s="228"/>
      <c r="U24" s="102" t="s">
        <v>39</v>
      </c>
      <c r="V24" s="104">
        <v>0</v>
      </c>
      <c r="X24" t="s">
        <v>7</v>
      </c>
    </row>
    <row r="25" spans="1:28" ht="15.75" thickBot="1" x14ac:dyDescent="0.3">
      <c r="A25" s="21"/>
      <c r="B25" s="241">
        <v>43700</v>
      </c>
      <c r="C25" s="234">
        <v>1255</v>
      </c>
      <c r="D25" s="242" t="s">
        <v>49</v>
      </c>
      <c r="E25" s="312">
        <v>43700</v>
      </c>
      <c r="F25" s="233">
        <v>115408</v>
      </c>
      <c r="G25" s="244"/>
      <c r="H25" s="313">
        <v>43700</v>
      </c>
      <c r="I25" s="235">
        <v>12320.33</v>
      </c>
      <c r="J25" s="109"/>
      <c r="K25" s="155"/>
      <c r="L25" s="135">
        <v>0</v>
      </c>
      <c r="M25" s="237">
        <v>99950</v>
      </c>
      <c r="N25" s="238">
        <v>1888</v>
      </c>
      <c r="O25" s="277"/>
      <c r="P25" s="277">
        <f t="shared" si="1"/>
        <v>115413.33</v>
      </c>
      <c r="Q25" s="257">
        <f t="shared" si="0"/>
        <v>5.3300000000017462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43701</v>
      </c>
      <c r="C26" s="234">
        <v>14840</v>
      </c>
      <c r="D26" s="242" t="s">
        <v>259</v>
      </c>
      <c r="E26" s="312">
        <v>43701</v>
      </c>
      <c r="F26" s="233">
        <v>103599</v>
      </c>
      <c r="G26" s="244"/>
      <c r="H26" s="313">
        <v>43701</v>
      </c>
      <c r="I26" s="235">
        <v>0</v>
      </c>
      <c r="J26" s="4"/>
      <c r="K26" s="148"/>
      <c r="L26" s="135">
        <v>0</v>
      </c>
      <c r="M26" s="237">
        <v>76770</v>
      </c>
      <c r="N26" s="238">
        <v>1811</v>
      </c>
      <c r="O26" s="277"/>
      <c r="P26" s="277">
        <f>C26+I26+M26+N26+L15</f>
        <v>113517.41</v>
      </c>
      <c r="Q26" s="347">
        <f t="shared" si="0"/>
        <v>9918.4100000000035</v>
      </c>
      <c r="T26" s="228"/>
      <c r="U26" s="127"/>
      <c r="V26" s="128">
        <v>0</v>
      </c>
    </row>
    <row r="27" spans="1:28" ht="15.75" thickBot="1" x14ac:dyDescent="0.3">
      <c r="A27" s="21"/>
      <c r="B27" s="241">
        <v>43702</v>
      </c>
      <c r="C27" s="234">
        <v>165</v>
      </c>
      <c r="D27" s="315" t="s">
        <v>544</v>
      </c>
      <c r="E27" s="312">
        <v>43702</v>
      </c>
      <c r="F27" s="233">
        <v>96809</v>
      </c>
      <c r="G27" s="244"/>
      <c r="H27" s="313">
        <v>43702</v>
      </c>
      <c r="I27" s="235">
        <v>0</v>
      </c>
      <c r="J27" s="4"/>
      <c r="K27" s="148"/>
      <c r="L27" s="135">
        <v>0</v>
      </c>
      <c r="M27" s="237">
        <v>92243</v>
      </c>
      <c r="N27" s="238">
        <v>4401</v>
      </c>
      <c r="O27" s="277"/>
      <c r="P27" s="277">
        <f t="shared" si="1"/>
        <v>96809</v>
      </c>
      <c r="Q27" s="257">
        <f t="shared" si="0"/>
        <v>0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43703</v>
      </c>
      <c r="C28" s="234">
        <v>1751</v>
      </c>
      <c r="D28" s="242" t="s">
        <v>49</v>
      </c>
      <c r="E28" s="312">
        <v>43703</v>
      </c>
      <c r="F28" s="233">
        <v>70813</v>
      </c>
      <c r="G28" s="244"/>
      <c r="H28" s="313">
        <v>43703</v>
      </c>
      <c r="I28" s="235">
        <v>0</v>
      </c>
      <c r="J28" s="4"/>
      <c r="K28" s="156"/>
      <c r="L28" s="135">
        <v>0</v>
      </c>
      <c r="M28" s="237">
        <v>68315</v>
      </c>
      <c r="N28" s="238">
        <v>747</v>
      </c>
      <c r="O28" s="277"/>
      <c r="P28" s="277">
        <f t="shared" si="1"/>
        <v>70813</v>
      </c>
      <c r="Q28" s="257">
        <f t="shared" si="0"/>
        <v>0</v>
      </c>
      <c r="T28" s="228"/>
      <c r="U28" s="127"/>
      <c r="V28" s="129">
        <v>0</v>
      </c>
    </row>
    <row r="29" spans="1:28" ht="19.5" thickBot="1" x14ac:dyDescent="0.35">
      <c r="A29" s="21"/>
      <c r="B29" s="241">
        <v>43704</v>
      </c>
      <c r="C29" s="247">
        <v>6801.28</v>
      </c>
      <c r="D29" s="315" t="s">
        <v>545</v>
      </c>
      <c r="E29" s="312">
        <v>43704</v>
      </c>
      <c r="F29" s="245">
        <v>66279</v>
      </c>
      <c r="G29" s="244"/>
      <c r="H29" s="313">
        <v>43704</v>
      </c>
      <c r="I29" s="246">
        <v>172.5</v>
      </c>
      <c r="J29" s="4"/>
      <c r="K29" s="157"/>
      <c r="L29" s="137">
        <v>0</v>
      </c>
      <c r="M29" s="237">
        <v>57369</v>
      </c>
      <c r="N29" s="238">
        <v>1936</v>
      </c>
      <c r="O29" s="277"/>
      <c r="P29" s="277">
        <f t="shared" si="1"/>
        <v>66278.78</v>
      </c>
      <c r="Q29" s="4">
        <f t="shared" si="0"/>
        <v>-0.22000000000116415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41">
        <v>43705</v>
      </c>
      <c r="C30" s="249">
        <v>270</v>
      </c>
      <c r="D30" s="315" t="s">
        <v>544</v>
      </c>
      <c r="E30" s="312">
        <v>43705</v>
      </c>
      <c r="F30" s="249">
        <v>70011</v>
      </c>
      <c r="G30" s="244"/>
      <c r="H30" s="313">
        <v>43705</v>
      </c>
      <c r="I30" s="249">
        <v>99</v>
      </c>
      <c r="J30" s="34"/>
      <c r="K30" s="157"/>
      <c r="L30" s="137">
        <v>0</v>
      </c>
      <c r="M30" s="237">
        <v>68910</v>
      </c>
      <c r="N30" s="238">
        <v>732</v>
      </c>
      <c r="O30" s="277"/>
      <c r="P30" s="277">
        <f t="shared" si="1"/>
        <v>70011</v>
      </c>
      <c r="Q30" s="4">
        <f t="shared" si="0"/>
        <v>0</v>
      </c>
      <c r="R30" s="251"/>
      <c r="S30" s="4"/>
      <c r="T30" s="25"/>
    </row>
    <row r="31" spans="1:28" ht="15.75" thickBot="1" x14ac:dyDescent="0.3">
      <c r="A31" s="21"/>
      <c r="B31" s="241">
        <v>43706</v>
      </c>
      <c r="C31" s="249">
        <v>0</v>
      </c>
      <c r="D31" s="315"/>
      <c r="E31" s="312">
        <v>43706</v>
      </c>
      <c r="F31" s="249">
        <v>64977</v>
      </c>
      <c r="G31" s="244"/>
      <c r="H31" s="313">
        <v>43706</v>
      </c>
      <c r="I31" s="249">
        <v>1957</v>
      </c>
      <c r="J31" s="34" t="s">
        <v>546</v>
      </c>
      <c r="K31" s="215"/>
      <c r="L31" s="158"/>
      <c r="M31" s="237">
        <v>62558.5</v>
      </c>
      <c r="N31" s="365">
        <v>461.5</v>
      </c>
      <c r="O31" s="309" t="s">
        <v>549</v>
      </c>
      <c r="P31" s="277">
        <f>C31+I31+M31+N31</f>
        <v>64977</v>
      </c>
      <c r="Q31" s="344">
        <v>0</v>
      </c>
      <c r="S31" s="167"/>
      <c r="T31" s="25"/>
    </row>
    <row r="32" spans="1:28" ht="15.75" thickBot="1" x14ac:dyDescent="0.3">
      <c r="A32" s="21"/>
      <c r="B32" s="241">
        <v>43707</v>
      </c>
      <c r="C32" s="249">
        <v>19013</v>
      </c>
      <c r="D32" s="315" t="s">
        <v>274</v>
      </c>
      <c r="E32" s="312">
        <v>43707</v>
      </c>
      <c r="F32" s="249">
        <v>85328</v>
      </c>
      <c r="G32" s="244"/>
      <c r="H32" s="313">
        <v>43707</v>
      </c>
      <c r="I32" s="249">
        <v>12092</v>
      </c>
      <c r="J32" s="4"/>
      <c r="K32" s="215"/>
      <c r="L32" s="209"/>
      <c r="M32" s="237">
        <v>53127</v>
      </c>
      <c r="N32" s="238">
        <v>1100</v>
      </c>
      <c r="O32" s="277" t="s">
        <v>7</v>
      </c>
      <c r="P32" s="277">
        <f>I32+M32+N32+C32+L17</f>
        <v>87269</v>
      </c>
      <c r="Q32" s="100">
        <f>P32-F32</f>
        <v>1941</v>
      </c>
      <c r="R32" s="4"/>
      <c r="S32" s="167"/>
      <c r="T32" s="25"/>
    </row>
    <row r="33" spans="1:20" ht="15.75" thickBot="1" x14ac:dyDescent="0.3">
      <c r="A33" s="21"/>
      <c r="B33" s="241">
        <v>43708</v>
      </c>
      <c r="C33" s="249">
        <v>560</v>
      </c>
      <c r="D33" s="315" t="s">
        <v>51</v>
      </c>
      <c r="E33" s="345">
        <v>43708</v>
      </c>
      <c r="F33" s="249">
        <v>123207</v>
      </c>
      <c r="G33" s="244"/>
      <c r="H33" s="313">
        <v>43708</v>
      </c>
      <c r="I33" s="249">
        <v>1500</v>
      </c>
      <c r="J33" s="4"/>
      <c r="K33" s="215"/>
      <c r="L33" s="105"/>
      <c r="M33" s="249">
        <f>78084+12289</f>
        <v>90373</v>
      </c>
      <c r="N33" s="249">
        <v>1896</v>
      </c>
      <c r="O33" s="277"/>
      <c r="P33" s="277">
        <f>I33+M33+N33+C33+L9+L16</f>
        <v>133125.41</v>
      </c>
      <c r="Q33" s="347">
        <f>P33-F33</f>
        <v>9918.4100000000035</v>
      </c>
      <c r="R33" s="4"/>
      <c r="S33" s="167"/>
      <c r="T33" s="25"/>
    </row>
    <row r="34" spans="1:20" ht="15.75" thickBot="1" x14ac:dyDescent="0.3">
      <c r="A34" s="21"/>
      <c r="B34" s="241">
        <v>43709</v>
      </c>
      <c r="C34" s="249">
        <v>2035</v>
      </c>
      <c r="D34" s="315" t="s">
        <v>197</v>
      </c>
      <c r="E34" s="345">
        <v>43709</v>
      </c>
      <c r="F34" s="249">
        <v>126931</v>
      </c>
      <c r="G34" s="244"/>
      <c r="H34" s="313">
        <v>43709</v>
      </c>
      <c r="I34" s="249">
        <v>0</v>
      </c>
      <c r="J34" s="4"/>
      <c r="K34" s="215"/>
      <c r="L34" s="105"/>
      <c r="M34" s="249">
        <v>113600</v>
      </c>
      <c r="N34" s="249">
        <v>2944</v>
      </c>
      <c r="O34" s="277"/>
      <c r="P34" s="277">
        <f>I34+M34+N34+C34+L19</f>
        <v>126936</v>
      </c>
      <c r="Q34" s="4">
        <f t="shared" ref="Q34:Q43" si="2">P34-F34</f>
        <v>5</v>
      </c>
      <c r="R34" s="4"/>
      <c r="S34" s="167"/>
      <c r="T34" s="25"/>
    </row>
    <row r="35" spans="1:20" ht="15.75" thickBot="1" x14ac:dyDescent="0.3">
      <c r="A35" s="21"/>
      <c r="B35" s="241">
        <v>43710</v>
      </c>
      <c r="C35" s="249">
        <v>1626</v>
      </c>
      <c r="D35" s="315" t="s">
        <v>538</v>
      </c>
      <c r="E35" s="345">
        <v>43710</v>
      </c>
      <c r="F35" s="249">
        <v>98012</v>
      </c>
      <c r="G35" s="244"/>
      <c r="H35" s="313">
        <v>43710</v>
      </c>
      <c r="I35" s="249">
        <v>61.53</v>
      </c>
      <c r="J35" s="4"/>
      <c r="K35" s="215"/>
      <c r="L35" s="105"/>
      <c r="M35" s="249">
        <v>94116</v>
      </c>
      <c r="N35" s="249">
        <v>908</v>
      </c>
      <c r="O35" s="277"/>
      <c r="P35" s="277">
        <f>I35+M35+N35+C35+L7</f>
        <v>98011.53</v>
      </c>
      <c r="Q35" s="4">
        <f t="shared" si="2"/>
        <v>-0.47000000000116415</v>
      </c>
      <c r="R35" s="4"/>
      <c r="S35" s="167"/>
      <c r="T35" s="25"/>
    </row>
    <row r="36" spans="1:20" ht="15.75" thickBot="1" x14ac:dyDescent="0.3">
      <c r="A36" s="21"/>
      <c r="B36" s="241">
        <v>43711</v>
      </c>
      <c r="C36" s="249">
        <v>1202</v>
      </c>
      <c r="D36" s="315" t="s">
        <v>49</v>
      </c>
      <c r="E36" s="345">
        <v>43711</v>
      </c>
      <c r="F36" s="249">
        <v>89854</v>
      </c>
      <c r="G36" s="244"/>
      <c r="H36" s="313">
        <v>43711</v>
      </c>
      <c r="I36" s="249">
        <v>0</v>
      </c>
      <c r="J36" s="34">
        <v>43711</v>
      </c>
      <c r="K36" s="215" t="s">
        <v>553</v>
      </c>
      <c r="L36" s="362">
        <v>1000</v>
      </c>
      <c r="M36" s="249">
        <v>87145</v>
      </c>
      <c r="N36" s="249">
        <v>506</v>
      </c>
      <c r="O36" s="277"/>
      <c r="P36" s="277">
        <f>I36+M36+N36+C36+L36</f>
        <v>89853</v>
      </c>
      <c r="Q36" s="4">
        <f t="shared" si="2"/>
        <v>-1</v>
      </c>
      <c r="R36" s="4"/>
      <c r="S36" s="167"/>
      <c r="T36" s="25"/>
    </row>
    <row r="37" spans="1:20" ht="15.75" thickBot="1" x14ac:dyDescent="0.3">
      <c r="A37" s="21"/>
      <c r="B37" s="241">
        <v>43712</v>
      </c>
      <c r="C37" s="249">
        <v>15229.59</v>
      </c>
      <c r="D37" s="315" t="s">
        <v>259</v>
      </c>
      <c r="E37" s="345">
        <v>43712</v>
      </c>
      <c r="F37" s="249">
        <v>129083</v>
      </c>
      <c r="G37" s="244"/>
      <c r="H37" s="313">
        <v>43712</v>
      </c>
      <c r="I37" s="249">
        <v>4324.8</v>
      </c>
      <c r="J37" s="4" t="s">
        <v>621</v>
      </c>
      <c r="K37" s="215"/>
      <c r="L37" s="105"/>
      <c r="M37" s="249">
        <v>108590</v>
      </c>
      <c r="N37" s="249">
        <v>939</v>
      </c>
      <c r="O37" s="277"/>
      <c r="P37" s="277">
        <f t="shared" ref="P37:P43" si="3">I37+M37+N37+C37</f>
        <v>129083.39</v>
      </c>
      <c r="Q37" s="4">
        <f t="shared" si="2"/>
        <v>0.38999999999941792</v>
      </c>
      <c r="R37" s="4"/>
      <c r="S37" s="167"/>
      <c r="T37" s="25"/>
    </row>
    <row r="38" spans="1:20" ht="15.75" thickBot="1" x14ac:dyDescent="0.3">
      <c r="A38" s="21"/>
      <c r="B38" s="241">
        <v>43713</v>
      </c>
      <c r="C38" s="249">
        <v>1420</v>
      </c>
      <c r="D38" s="315" t="s">
        <v>104</v>
      </c>
      <c r="E38" s="345">
        <v>43713</v>
      </c>
      <c r="F38" s="249">
        <v>160138</v>
      </c>
      <c r="G38" s="244"/>
      <c r="H38" s="313">
        <v>43713</v>
      </c>
      <c r="I38" s="249">
        <v>966</v>
      </c>
      <c r="J38" s="4"/>
      <c r="K38" s="215"/>
      <c r="L38" s="105"/>
      <c r="M38" s="249">
        <f>99400+55690</f>
        <v>155090</v>
      </c>
      <c r="N38" s="249">
        <v>2661</v>
      </c>
      <c r="O38" s="277"/>
      <c r="P38" s="277">
        <f t="shared" si="3"/>
        <v>160137</v>
      </c>
      <c r="Q38" s="4">
        <f t="shared" si="2"/>
        <v>-1</v>
      </c>
      <c r="R38" s="4"/>
      <c r="S38" s="167"/>
      <c r="T38" s="25"/>
    </row>
    <row r="39" spans="1:20" ht="15.75" thickBot="1" x14ac:dyDescent="0.3">
      <c r="A39" s="21"/>
      <c r="B39" s="241">
        <v>43714</v>
      </c>
      <c r="C39" s="249">
        <v>1359</v>
      </c>
      <c r="D39" s="315" t="s">
        <v>461</v>
      </c>
      <c r="E39" s="345">
        <v>43714</v>
      </c>
      <c r="F39" s="249">
        <v>122457</v>
      </c>
      <c r="G39" s="244"/>
      <c r="H39" s="313">
        <v>43714</v>
      </c>
      <c r="I39" s="249">
        <v>10246</v>
      </c>
      <c r="J39" s="4"/>
      <c r="K39" s="215"/>
      <c r="L39" s="105"/>
      <c r="M39" s="249">
        <v>108801</v>
      </c>
      <c r="N39" s="249">
        <v>2051</v>
      </c>
      <c r="O39" s="277"/>
      <c r="P39" s="277">
        <f t="shared" si="3"/>
        <v>122457</v>
      </c>
      <c r="Q39" s="4">
        <f t="shared" si="2"/>
        <v>0</v>
      </c>
      <c r="R39" s="4"/>
      <c r="S39" s="167"/>
      <c r="T39" s="25"/>
    </row>
    <row r="40" spans="1:20" ht="15.75" thickBot="1" x14ac:dyDescent="0.3">
      <c r="A40" s="21"/>
      <c r="B40" s="241">
        <v>43715</v>
      </c>
      <c r="C40" s="249">
        <v>13162</v>
      </c>
      <c r="D40" s="315" t="s">
        <v>554</v>
      </c>
      <c r="E40" s="345">
        <v>43715</v>
      </c>
      <c r="F40" s="249">
        <v>159057</v>
      </c>
      <c r="G40" s="244"/>
      <c r="H40" s="313">
        <v>43715</v>
      </c>
      <c r="I40" s="249">
        <v>0</v>
      </c>
      <c r="J40" s="4"/>
      <c r="K40" s="215"/>
      <c r="L40" s="105"/>
      <c r="M40" s="249">
        <f>100000+33992</f>
        <v>133992</v>
      </c>
      <c r="N40" s="249">
        <v>3311</v>
      </c>
      <c r="O40" s="277"/>
      <c r="P40" s="277">
        <f>I40+M40+N40+C40+L21</f>
        <v>168975.7</v>
      </c>
      <c r="Q40" s="347">
        <f>P40-F40</f>
        <v>9918.7000000000116</v>
      </c>
      <c r="R40" s="4"/>
      <c r="S40" s="167"/>
      <c r="T40" s="25"/>
    </row>
    <row r="41" spans="1:20" ht="15.75" thickBot="1" x14ac:dyDescent="0.3">
      <c r="A41" s="21"/>
      <c r="B41" s="241">
        <v>43716</v>
      </c>
      <c r="C41" s="249">
        <v>8247</v>
      </c>
      <c r="D41" s="315" t="s">
        <v>557</v>
      </c>
      <c r="E41" s="345">
        <v>43716</v>
      </c>
      <c r="F41" s="249">
        <v>97922</v>
      </c>
      <c r="G41" s="244"/>
      <c r="H41" s="313">
        <v>43716</v>
      </c>
      <c r="I41" s="249">
        <v>0</v>
      </c>
      <c r="J41" s="4"/>
      <c r="K41" s="215"/>
      <c r="L41" s="105"/>
      <c r="M41" s="249">
        <v>84779</v>
      </c>
      <c r="N41" s="249">
        <v>4896</v>
      </c>
      <c r="O41" s="277"/>
      <c r="P41" s="277">
        <f t="shared" si="3"/>
        <v>97922</v>
      </c>
      <c r="Q41" s="4">
        <f t="shared" si="2"/>
        <v>0</v>
      </c>
      <c r="R41" s="4"/>
      <c r="S41" s="167"/>
      <c r="T41" s="25"/>
    </row>
    <row r="42" spans="1:20" ht="15.75" thickBot="1" x14ac:dyDescent="0.3">
      <c r="A42" s="21"/>
      <c r="B42" s="241">
        <v>43717</v>
      </c>
      <c r="C42" s="249">
        <v>347</v>
      </c>
      <c r="D42" s="315" t="s">
        <v>461</v>
      </c>
      <c r="E42" s="345">
        <v>43717</v>
      </c>
      <c r="F42" s="249">
        <v>71439</v>
      </c>
      <c r="G42" s="244"/>
      <c r="H42" s="313">
        <v>43717</v>
      </c>
      <c r="I42" s="249">
        <v>0</v>
      </c>
      <c r="J42" s="4"/>
      <c r="K42" s="215"/>
      <c r="L42" s="105"/>
      <c r="M42" s="249">
        <f>71014+1770</f>
        <v>72784</v>
      </c>
      <c r="N42" s="249">
        <v>78</v>
      </c>
      <c r="O42" s="277"/>
      <c r="P42" s="277">
        <f t="shared" si="3"/>
        <v>73209</v>
      </c>
      <c r="Q42" s="100">
        <f t="shared" si="2"/>
        <v>1770</v>
      </c>
      <c r="R42" s="4"/>
      <c r="S42" s="167"/>
      <c r="T42" s="25"/>
    </row>
    <row r="43" spans="1:20" ht="15.75" thickBot="1" x14ac:dyDescent="0.3">
      <c r="A43" s="21"/>
      <c r="B43" s="241">
        <v>43718</v>
      </c>
      <c r="C43" s="249">
        <v>2587</v>
      </c>
      <c r="D43" s="315" t="s">
        <v>342</v>
      </c>
      <c r="E43" s="345">
        <v>43718</v>
      </c>
      <c r="F43" s="249">
        <v>88613</v>
      </c>
      <c r="G43" s="244"/>
      <c r="H43" s="313">
        <v>43718</v>
      </c>
      <c r="I43" s="249">
        <v>0</v>
      </c>
      <c r="J43" s="4"/>
      <c r="K43" s="215"/>
      <c r="L43" s="105"/>
      <c r="M43" s="249">
        <v>80611</v>
      </c>
      <c r="N43" s="249">
        <v>5415</v>
      </c>
      <c r="O43" s="277"/>
      <c r="P43" s="277">
        <f t="shared" si="3"/>
        <v>88613</v>
      </c>
      <c r="Q43" s="257">
        <f t="shared" si="2"/>
        <v>0</v>
      </c>
      <c r="R43" s="4"/>
      <c r="S43" s="167"/>
      <c r="T43" s="25"/>
    </row>
    <row r="44" spans="1:20" ht="16.5" thickBot="1" x14ac:dyDescent="0.3">
      <c r="A44" s="49"/>
      <c r="B44" s="241"/>
      <c r="C44" s="51">
        <v>0</v>
      </c>
      <c r="D44" s="19"/>
      <c r="E44" s="29"/>
      <c r="F44" s="53">
        <v>0</v>
      </c>
      <c r="H44" s="359"/>
      <c r="I44" s="360">
        <v>0</v>
      </c>
      <c r="K44" s="54"/>
      <c r="L44" s="55"/>
      <c r="M44" s="211">
        <f>SUM(M5:M43)</f>
        <v>3678725.5</v>
      </c>
      <c r="N44" s="211">
        <f>SUM(N5:N43)</f>
        <v>95188.66</v>
      </c>
      <c r="O44" s="302"/>
      <c r="P44" s="211">
        <f>SUM(P5:P43)</f>
        <v>4201891.49</v>
      </c>
      <c r="Q44" s="118">
        <f>SUM(Q5:Q43)</f>
        <v>86006.49000000002</v>
      </c>
      <c r="R44" s="5">
        <f>SUM(R28:R32)</f>
        <v>0</v>
      </c>
    </row>
    <row r="45" spans="1:20" ht="15.75" thickBot="1" x14ac:dyDescent="0.3">
      <c r="B45" s="56" t="s">
        <v>13</v>
      </c>
      <c r="C45" s="57">
        <f>SUM(C5:C44)</f>
        <v>206149.33</v>
      </c>
      <c r="E45" s="58" t="s">
        <v>13</v>
      </c>
      <c r="F45" s="59">
        <f>SUM(F5:F44)</f>
        <v>4115885</v>
      </c>
      <c r="H45" s="6" t="s">
        <v>13</v>
      </c>
      <c r="I45" s="4">
        <f>SUM(I5:I44)</f>
        <v>73988.48000000001</v>
      </c>
      <c r="J45" s="4"/>
      <c r="K45" s="60" t="s">
        <v>13</v>
      </c>
      <c r="L45" s="40">
        <f>SUM(L5:L44)</f>
        <v>147839.52000000002</v>
      </c>
      <c r="O45" s="257"/>
      <c r="T45" s="5"/>
    </row>
    <row r="46" spans="1:20" ht="19.5" thickBot="1" x14ac:dyDescent="0.3">
      <c r="C46" s="5" t="s">
        <v>7</v>
      </c>
      <c r="M46" s="412">
        <f>N44+M44</f>
        <v>3773914.16</v>
      </c>
      <c r="N46" s="413"/>
      <c r="O46" s="303"/>
      <c r="P46" s="303"/>
      <c r="T46" s="5"/>
    </row>
    <row r="47" spans="1:20" ht="15.75" x14ac:dyDescent="0.25">
      <c r="A47" s="25"/>
      <c r="B47" s="61"/>
      <c r="C47" s="4"/>
      <c r="H47" s="384" t="s">
        <v>14</v>
      </c>
      <c r="I47" s="385"/>
      <c r="J47" s="343">
        <v>-7</v>
      </c>
      <c r="K47" s="386">
        <f>I45+L45</f>
        <v>221828.00000000003</v>
      </c>
      <c r="L47" s="387"/>
      <c r="R47" s="4"/>
      <c r="S47" s="41"/>
      <c r="T47" s="5"/>
    </row>
    <row r="48" spans="1:20" ht="15.75" x14ac:dyDescent="0.25">
      <c r="D48" s="393" t="s">
        <v>15</v>
      </c>
      <c r="E48" s="393"/>
      <c r="F48" s="205">
        <f>F45-K47-C45</f>
        <v>3687907.67</v>
      </c>
      <c r="I48" s="63"/>
      <c r="J48" s="63"/>
      <c r="T48" s="5"/>
    </row>
    <row r="49" spans="2:20" ht="18.75" x14ac:dyDescent="0.3">
      <c r="D49" s="394" t="s">
        <v>16</v>
      </c>
      <c r="E49" s="394"/>
      <c r="F49" s="110">
        <v>-3416349</v>
      </c>
      <c r="I49" s="395" t="s">
        <v>17</v>
      </c>
      <c r="J49" s="396"/>
      <c r="K49" s="397">
        <f>F54</f>
        <v>449246.81999999995</v>
      </c>
      <c r="L49" s="398"/>
      <c r="T49" s="5"/>
    </row>
    <row r="50" spans="2:20" ht="4.5" customHeight="1" thickBot="1" x14ac:dyDescent="0.35">
      <c r="D50" s="64"/>
      <c r="E50" s="65"/>
      <c r="F50" s="66" t="s">
        <v>7</v>
      </c>
      <c r="I50" s="67"/>
      <c r="J50" s="67"/>
      <c r="K50" s="68"/>
      <c r="L50" s="68"/>
      <c r="T50" s="5"/>
    </row>
    <row r="51" spans="2:20" ht="19.5" thickTop="1" x14ac:dyDescent="0.3">
      <c r="C51" s="3" t="s">
        <v>7</v>
      </c>
      <c r="E51" s="25" t="s">
        <v>19</v>
      </c>
      <c r="F51" s="4">
        <f>SUM(F48:F50)</f>
        <v>271558.66999999993</v>
      </c>
      <c r="I51" s="69" t="s">
        <v>20</v>
      </c>
      <c r="J51" s="70"/>
      <c r="K51" s="418">
        <f>-C4</f>
        <v>-234674.18</v>
      </c>
      <c r="L51" s="419"/>
      <c r="M51" s="5" t="s">
        <v>21</v>
      </c>
      <c r="T51" s="5"/>
    </row>
    <row r="52" spans="2:20" ht="15.75" thickBot="1" x14ac:dyDescent="0.3">
      <c r="D52" s="71" t="s">
        <v>22</v>
      </c>
      <c r="E52" s="25" t="s">
        <v>23</v>
      </c>
      <c r="F52" s="249">
        <v>12981.34</v>
      </c>
      <c r="T52" s="5"/>
    </row>
    <row r="53" spans="2:20" ht="20.25" thickTop="1" thickBot="1" x14ac:dyDescent="0.35">
      <c r="C53" s="321">
        <v>43718</v>
      </c>
      <c r="D53" s="420" t="s">
        <v>24</v>
      </c>
      <c r="E53" s="421"/>
      <c r="F53" s="72">
        <v>164706.81</v>
      </c>
      <c r="I53" s="414" t="s">
        <v>95</v>
      </c>
      <c r="J53" s="415"/>
      <c r="K53" s="416">
        <f>K49+K51</f>
        <v>214572.63999999996</v>
      </c>
      <c r="L53" s="417"/>
    </row>
    <row r="54" spans="2:20" ht="18.75" x14ac:dyDescent="0.3">
      <c r="C54" s="59"/>
      <c r="D54" s="58"/>
      <c r="E54" s="33" t="s">
        <v>25</v>
      </c>
      <c r="F54" s="73">
        <f>F51+F52+F53</f>
        <v>449246.81999999995</v>
      </c>
      <c r="J54" s="6"/>
      <c r="M54" s="74"/>
    </row>
    <row r="56" spans="2:20" x14ac:dyDescent="0.25">
      <c r="B56"/>
      <c r="C56"/>
      <c r="D56" s="392"/>
      <c r="E56" s="392"/>
      <c r="M56" s="75"/>
      <c r="N56" s="25"/>
      <c r="O56" s="25"/>
      <c r="P56" s="25"/>
      <c r="Q56" s="25"/>
    </row>
    <row r="57" spans="2:20" x14ac:dyDescent="0.25">
      <c r="B57"/>
      <c r="C57"/>
      <c r="M57" s="75"/>
      <c r="N57" s="25"/>
      <c r="O57" s="25"/>
      <c r="P57" s="25"/>
      <c r="Q57" s="25"/>
    </row>
    <row r="58" spans="2:20" x14ac:dyDescent="0.25">
      <c r="B58"/>
      <c r="C58"/>
      <c r="N58" s="25"/>
      <c r="O58" s="25"/>
      <c r="P58" s="25"/>
      <c r="Q58" s="25"/>
    </row>
    <row r="59" spans="2:20" x14ac:dyDescent="0.25">
      <c r="B59"/>
      <c r="C59"/>
      <c r="F59"/>
      <c r="I59"/>
      <c r="J59"/>
      <c r="M59"/>
      <c r="N59" s="25"/>
      <c r="O59" s="25"/>
      <c r="P59" s="25"/>
      <c r="Q59" s="25"/>
    </row>
    <row r="60" spans="2:20" x14ac:dyDescent="0.25">
      <c r="B60"/>
      <c r="C60"/>
      <c r="N60" s="25"/>
      <c r="O60" s="25"/>
      <c r="P60" s="25"/>
      <c r="Q60" s="25"/>
    </row>
    <row r="61" spans="2:20" x14ac:dyDescent="0.25">
      <c r="M61" s="4"/>
      <c r="N61" s="25"/>
      <c r="O61" s="25"/>
      <c r="P61" s="25"/>
      <c r="Q61" s="25"/>
    </row>
    <row r="62" spans="2:20" x14ac:dyDescent="0.25">
      <c r="M62" s="4"/>
      <c r="N62" s="25"/>
      <c r="O62" s="25"/>
      <c r="P62" s="25"/>
      <c r="Q62" s="25"/>
    </row>
    <row r="63" spans="2:20" x14ac:dyDescent="0.25">
      <c r="M63" s="4"/>
      <c r="N63" s="25"/>
      <c r="O63" s="25"/>
      <c r="P63" s="25"/>
      <c r="Q63" s="25"/>
    </row>
    <row r="64" spans="2:20" x14ac:dyDescent="0.25">
      <c r="M64" s="4"/>
      <c r="N64" s="25"/>
      <c r="O64" s="25"/>
      <c r="P64" s="25"/>
      <c r="Q64" s="25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  <row r="80" spans="13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8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D49:E49"/>
    <mergeCell ref="I49:J49"/>
    <mergeCell ref="K49:L49"/>
    <mergeCell ref="U20:V20"/>
    <mergeCell ref="C1:K1"/>
    <mergeCell ref="B3:C3"/>
    <mergeCell ref="U3:V3"/>
    <mergeCell ref="E4:F4"/>
    <mergeCell ref="H4:I4"/>
  </mergeCells>
  <pageMargins left="0.59055118110236227" right="0.15748031496062992" top="0" bottom="0" header="0.31496062992125984" footer="0.19685039370078741"/>
  <pageSetup scale="68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E424-3770-42EF-BA6A-D28858D79A5B}">
  <sheetPr>
    <tabColor rgb="FFFFFF00"/>
  </sheetPr>
  <dimension ref="A1:F109"/>
  <sheetViews>
    <sheetView topLeftCell="A55" workbookViewId="0">
      <selection activeCell="A73" sqref="A73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43680</v>
      </c>
      <c r="B3" s="256" t="s">
        <v>528</v>
      </c>
      <c r="C3" s="257">
        <v>85676.53</v>
      </c>
      <c r="D3" s="258"/>
      <c r="E3" s="257"/>
      <c r="F3" s="79">
        <f>C3-E3</f>
        <v>85676.53</v>
      </c>
    </row>
    <row r="4" spans="1:6" x14ac:dyDescent="0.25">
      <c r="A4" s="262">
        <v>43680</v>
      </c>
      <c r="B4" s="260" t="s">
        <v>529</v>
      </c>
      <c r="C4" s="249">
        <v>150068.13</v>
      </c>
      <c r="D4" s="259"/>
      <c r="E4" s="249"/>
      <c r="F4" s="79">
        <f>F3+C4-E4</f>
        <v>235744.66</v>
      </c>
    </row>
    <row r="5" spans="1:6" x14ac:dyDescent="0.25">
      <c r="A5" s="259">
        <v>43681</v>
      </c>
      <c r="B5" s="260" t="s">
        <v>530</v>
      </c>
      <c r="C5" s="249">
        <v>1206</v>
      </c>
      <c r="D5" s="259"/>
      <c r="E5" s="249"/>
      <c r="F5" s="79">
        <f t="shared" ref="F5:F72" si="0">F4+C5-E5</f>
        <v>236950.66</v>
      </c>
    </row>
    <row r="6" spans="1:6" x14ac:dyDescent="0.25">
      <c r="A6" s="259">
        <v>43681</v>
      </c>
      <c r="B6" s="260" t="s">
        <v>531</v>
      </c>
      <c r="C6" s="249">
        <v>5321.5</v>
      </c>
      <c r="D6" s="259"/>
      <c r="E6" s="249"/>
      <c r="F6" s="79">
        <f t="shared" si="0"/>
        <v>242272.16</v>
      </c>
    </row>
    <row r="7" spans="1:6" x14ac:dyDescent="0.25">
      <c r="A7" s="259">
        <v>43682</v>
      </c>
      <c r="B7" s="260" t="s">
        <v>532</v>
      </c>
      <c r="C7" s="249">
        <v>99307.8</v>
      </c>
      <c r="D7" s="259"/>
      <c r="E7" s="249"/>
      <c r="F7" s="79">
        <f t="shared" si="0"/>
        <v>341579.96</v>
      </c>
    </row>
    <row r="8" spans="1:6" x14ac:dyDescent="0.25">
      <c r="A8" s="259">
        <v>43682</v>
      </c>
      <c r="B8" s="260" t="s">
        <v>533</v>
      </c>
      <c r="C8" s="249">
        <v>18464.8</v>
      </c>
      <c r="D8" s="259">
        <v>43683</v>
      </c>
      <c r="E8" s="249">
        <v>360044.76</v>
      </c>
      <c r="F8" s="79">
        <f t="shared" si="0"/>
        <v>0</v>
      </c>
    </row>
    <row r="9" spans="1:6" x14ac:dyDescent="0.25">
      <c r="A9" s="259">
        <v>43683</v>
      </c>
      <c r="B9" s="260" t="s">
        <v>559</v>
      </c>
      <c r="C9" s="249">
        <v>95252.66</v>
      </c>
      <c r="D9" s="259"/>
      <c r="E9" s="249"/>
      <c r="F9" s="79">
        <f t="shared" si="0"/>
        <v>95252.66</v>
      </c>
    </row>
    <row r="10" spans="1:6" x14ac:dyDescent="0.25">
      <c r="A10" s="259">
        <v>43684</v>
      </c>
      <c r="B10" s="260" t="s">
        <v>560</v>
      </c>
      <c r="C10" s="249">
        <v>69394.399999999994</v>
      </c>
      <c r="D10" s="349">
        <v>43684</v>
      </c>
      <c r="E10" s="249">
        <v>1039.5</v>
      </c>
      <c r="F10" s="79">
        <f t="shared" si="0"/>
        <v>163607.56</v>
      </c>
    </row>
    <row r="11" spans="1:6" x14ac:dyDescent="0.25">
      <c r="A11" s="262">
        <v>43684</v>
      </c>
      <c r="B11" s="260" t="s">
        <v>561</v>
      </c>
      <c r="C11" s="249">
        <v>3045</v>
      </c>
      <c r="D11" s="349" t="s">
        <v>564</v>
      </c>
      <c r="E11" s="249"/>
      <c r="F11" s="79">
        <f t="shared" si="0"/>
        <v>166652.56</v>
      </c>
    </row>
    <row r="12" spans="1:6" x14ac:dyDescent="0.25">
      <c r="A12" s="259">
        <v>43685</v>
      </c>
      <c r="B12" s="260" t="s">
        <v>562</v>
      </c>
      <c r="C12" s="249">
        <v>3188.94</v>
      </c>
      <c r="D12" s="259"/>
      <c r="E12" s="249"/>
      <c r="F12" s="79">
        <f t="shared" si="0"/>
        <v>169841.5</v>
      </c>
    </row>
    <row r="13" spans="1:6" x14ac:dyDescent="0.25">
      <c r="A13" s="259">
        <v>43685</v>
      </c>
      <c r="B13" s="260" t="s">
        <v>563</v>
      </c>
      <c r="C13" s="249">
        <v>81859.05</v>
      </c>
      <c r="D13" s="259">
        <v>43686</v>
      </c>
      <c r="E13" s="249">
        <v>251700.55</v>
      </c>
      <c r="F13" s="79">
        <f t="shared" si="0"/>
        <v>0</v>
      </c>
    </row>
    <row r="14" spans="1:6" x14ac:dyDescent="0.25">
      <c r="A14" s="259">
        <v>43686</v>
      </c>
      <c r="B14" s="260" t="s">
        <v>565</v>
      </c>
      <c r="C14" s="249">
        <v>142114.4</v>
      </c>
      <c r="D14" s="259"/>
      <c r="E14" s="249"/>
      <c r="F14" s="79">
        <f t="shared" si="0"/>
        <v>142114.4</v>
      </c>
    </row>
    <row r="15" spans="1:6" x14ac:dyDescent="0.25">
      <c r="A15" s="259">
        <v>43687</v>
      </c>
      <c r="B15" s="260" t="s">
        <v>566</v>
      </c>
      <c r="C15" s="249">
        <v>2388</v>
      </c>
      <c r="D15" s="259"/>
      <c r="E15" s="249"/>
      <c r="F15" s="79">
        <f t="shared" si="0"/>
        <v>144502.39999999999</v>
      </c>
    </row>
    <row r="16" spans="1:6" x14ac:dyDescent="0.25">
      <c r="A16" s="259">
        <v>43687</v>
      </c>
      <c r="B16" s="260" t="s">
        <v>567</v>
      </c>
      <c r="C16" s="249">
        <v>2627.1</v>
      </c>
      <c r="D16" s="259"/>
      <c r="E16" s="249"/>
      <c r="F16" s="79">
        <f t="shared" si="0"/>
        <v>147129.5</v>
      </c>
    </row>
    <row r="17" spans="1:6" x14ac:dyDescent="0.25">
      <c r="A17" s="259">
        <v>43687</v>
      </c>
      <c r="B17" s="260" t="s">
        <v>568</v>
      </c>
      <c r="C17" s="249">
        <v>164222.57999999999</v>
      </c>
      <c r="D17" s="259"/>
      <c r="E17" s="249"/>
      <c r="F17" s="79">
        <f t="shared" si="0"/>
        <v>311352.07999999996</v>
      </c>
    </row>
    <row r="18" spans="1:6" x14ac:dyDescent="0.25">
      <c r="A18" s="259">
        <v>43688</v>
      </c>
      <c r="B18" s="260" t="s">
        <v>569</v>
      </c>
      <c r="C18" s="249">
        <v>41823</v>
      </c>
      <c r="D18" s="259"/>
      <c r="E18" s="249"/>
      <c r="F18" s="79">
        <f t="shared" si="0"/>
        <v>353175.07999999996</v>
      </c>
    </row>
    <row r="19" spans="1:6" x14ac:dyDescent="0.25">
      <c r="A19" s="259">
        <v>43689</v>
      </c>
      <c r="B19" s="260" t="s">
        <v>570</v>
      </c>
      <c r="C19" s="249">
        <v>104470.35</v>
      </c>
      <c r="D19" s="342"/>
      <c r="E19" s="249"/>
      <c r="F19" s="79">
        <f t="shared" si="0"/>
        <v>457645.42999999993</v>
      </c>
    </row>
    <row r="20" spans="1:6" x14ac:dyDescent="0.25">
      <c r="A20" s="259">
        <v>43690</v>
      </c>
      <c r="B20" s="260" t="s">
        <v>571</v>
      </c>
      <c r="C20" s="249">
        <v>124661.14</v>
      </c>
      <c r="D20" s="259">
        <v>43691</v>
      </c>
      <c r="E20" s="249">
        <v>582306.56999999995</v>
      </c>
      <c r="F20" s="79">
        <f t="shared" si="0"/>
        <v>0</v>
      </c>
    </row>
    <row r="21" spans="1:6" x14ac:dyDescent="0.25">
      <c r="A21" s="259">
        <v>43692</v>
      </c>
      <c r="B21" s="260" t="s">
        <v>572</v>
      </c>
      <c r="C21" s="249">
        <v>4254</v>
      </c>
      <c r="D21" s="259"/>
      <c r="E21" s="249"/>
      <c r="F21" s="79">
        <f t="shared" si="0"/>
        <v>4254</v>
      </c>
    </row>
    <row r="22" spans="1:6" x14ac:dyDescent="0.25">
      <c r="A22" s="259">
        <v>43692</v>
      </c>
      <c r="B22" s="260" t="s">
        <v>573</v>
      </c>
      <c r="C22" s="249">
        <v>120431</v>
      </c>
      <c r="D22" s="259"/>
      <c r="E22" s="249"/>
      <c r="F22" s="79">
        <f t="shared" si="0"/>
        <v>124685</v>
      </c>
    </row>
    <row r="23" spans="1:6" x14ac:dyDescent="0.25">
      <c r="A23" s="259">
        <v>43692</v>
      </c>
      <c r="B23" s="260" t="s">
        <v>574</v>
      </c>
      <c r="C23" s="249">
        <v>992.8</v>
      </c>
      <c r="D23" s="259"/>
      <c r="E23" s="249"/>
      <c r="F23" s="79">
        <f t="shared" si="0"/>
        <v>125677.8</v>
      </c>
    </row>
    <row r="24" spans="1:6" x14ac:dyDescent="0.25">
      <c r="A24" s="259">
        <v>43693</v>
      </c>
      <c r="B24" s="260" t="s">
        <v>575</v>
      </c>
      <c r="C24" s="249">
        <v>98548.63</v>
      </c>
      <c r="D24" s="259"/>
      <c r="E24" s="249"/>
      <c r="F24" s="79">
        <f t="shared" si="0"/>
        <v>224226.43</v>
      </c>
    </row>
    <row r="25" spans="1:6" x14ac:dyDescent="0.25">
      <c r="A25" s="259">
        <v>43693</v>
      </c>
      <c r="B25" s="260" t="s">
        <v>576</v>
      </c>
      <c r="C25" s="249">
        <v>742</v>
      </c>
      <c r="D25" s="259">
        <v>43690</v>
      </c>
      <c r="E25" s="249">
        <v>224968.43</v>
      </c>
      <c r="F25" s="79">
        <f t="shared" si="0"/>
        <v>0</v>
      </c>
    </row>
    <row r="26" spans="1:6" x14ac:dyDescent="0.25">
      <c r="A26" s="262"/>
      <c r="B26" s="260"/>
      <c r="C26" s="249"/>
      <c r="D26" s="259">
        <v>43690</v>
      </c>
      <c r="E26" s="249">
        <v>400000</v>
      </c>
      <c r="F26" s="79">
        <f t="shared" si="0"/>
        <v>-400000</v>
      </c>
    </row>
    <row r="27" spans="1:6" x14ac:dyDescent="0.25">
      <c r="A27" s="262">
        <v>43694</v>
      </c>
      <c r="B27" s="260" t="s">
        <v>577</v>
      </c>
      <c r="C27" s="249">
        <v>4163.1000000000004</v>
      </c>
      <c r="D27" s="259"/>
      <c r="E27" s="249"/>
      <c r="F27" s="79">
        <f t="shared" si="0"/>
        <v>-395836.9</v>
      </c>
    </row>
    <row r="28" spans="1:6" x14ac:dyDescent="0.25">
      <c r="A28" s="262">
        <v>43694</v>
      </c>
      <c r="B28" s="260" t="s">
        <v>578</v>
      </c>
      <c r="C28" s="249">
        <v>144212.23000000001</v>
      </c>
      <c r="D28" s="259"/>
      <c r="E28" s="249"/>
      <c r="F28" s="79">
        <f t="shared" si="0"/>
        <v>-251624.67</v>
      </c>
    </row>
    <row r="29" spans="1:6" x14ac:dyDescent="0.25">
      <c r="A29" s="262">
        <v>43694</v>
      </c>
      <c r="B29" s="260" t="s">
        <v>579</v>
      </c>
      <c r="C29" s="249">
        <v>39277.040000000001</v>
      </c>
      <c r="D29" s="259"/>
      <c r="E29" s="249"/>
      <c r="F29" s="79">
        <f t="shared" si="0"/>
        <v>-212347.63</v>
      </c>
    </row>
    <row r="30" spans="1:6" x14ac:dyDescent="0.25">
      <c r="A30" s="262">
        <v>43695</v>
      </c>
      <c r="B30" s="260" t="s">
        <v>580</v>
      </c>
      <c r="C30" s="249">
        <v>4259.05</v>
      </c>
      <c r="D30" s="259"/>
      <c r="E30" s="249"/>
      <c r="F30" s="79">
        <f t="shared" si="0"/>
        <v>-208088.58000000002</v>
      </c>
    </row>
    <row r="31" spans="1:6" x14ac:dyDescent="0.25">
      <c r="A31" s="262">
        <v>43696</v>
      </c>
      <c r="B31" s="260" t="s">
        <v>581</v>
      </c>
      <c r="C31" s="249">
        <v>17065</v>
      </c>
      <c r="D31" s="259"/>
      <c r="E31" s="249"/>
      <c r="F31" s="79">
        <f t="shared" si="0"/>
        <v>-191023.58000000002</v>
      </c>
    </row>
    <row r="32" spans="1:6" x14ac:dyDescent="0.25">
      <c r="A32" s="262">
        <v>43698</v>
      </c>
      <c r="B32" s="260" t="s">
        <v>582</v>
      </c>
      <c r="C32" s="249">
        <v>189357.76</v>
      </c>
      <c r="D32" s="259"/>
      <c r="E32" s="249"/>
      <c r="F32" s="79">
        <f t="shared" si="0"/>
        <v>-1665.820000000007</v>
      </c>
    </row>
    <row r="33" spans="1:6" x14ac:dyDescent="0.25">
      <c r="A33" s="262"/>
      <c r="B33" s="260"/>
      <c r="C33" s="249"/>
      <c r="D33" s="259"/>
      <c r="E33" s="249"/>
      <c r="F33" s="79">
        <f t="shared" si="0"/>
        <v>-1665.820000000007</v>
      </c>
    </row>
    <row r="34" spans="1:6" x14ac:dyDescent="0.25">
      <c r="A34" s="262">
        <v>43696</v>
      </c>
      <c r="B34" s="260" t="s">
        <v>584</v>
      </c>
      <c r="C34" s="249">
        <v>3262.98</v>
      </c>
      <c r="D34" s="259"/>
      <c r="E34" s="249"/>
      <c r="F34" s="79">
        <f t="shared" si="0"/>
        <v>1597.159999999993</v>
      </c>
    </row>
    <row r="35" spans="1:6" x14ac:dyDescent="0.25">
      <c r="A35" s="262">
        <v>43697</v>
      </c>
      <c r="B35" s="260" t="s">
        <v>583</v>
      </c>
      <c r="C35" s="249">
        <v>18800</v>
      </c>
      <c r="D35" s="259"/>
      <c r="E35" s="249"/>
      <c r="F35" s="79">
        <f t="shared" si="0"/>
        <v>20397.159999999993</v>
      </c>
    </row>
    <row r="36" spans="1:6" x14ac:dyDescent="0.25">
      <c r="A36" s="262">
        <v>43697</v>
      </c>
      <c r="B36" s="260" t="s">
        <v>585</v>
      </c>
      <c r="C36" s="249">
        <v>35587.279999999999</v>
      </c>
      <c r="D36" s="259"/>
      <c r="E36" s="249"/>
      <c r="F36" s="79">
        <f t="shared" si="0"/>
        <v>55984.439999999988</v>
      </c>
    </row>
    <row r="37" spans="1:6" x14ac:dyDescent="0.25">
      <c r="A37" s="262">
        <v>43699</v>
      </c>
      <c r="B37" s="260" t="s">
        <v>586</v>
      </c>
      <c r="C37" s="249">
        <v>3100.8</v>
      </c>
      <c r="D37" s="259"/>
      <c r="E37" s="249"/>
      <c r="F37" s="79">
        <f t="shared" si="0"/>
        <v>59085.239999999991</v>
      </c>
    </row>
    <row r="38" spans="1:6" x14ac:dyDescent="0.25">
      <c r="A38" s="262">
        <v>43699</v>
      </c>
      <c r="B38" s="260" t="s">
        <v>587</v>
      </c>
      <c r="C38" s="249">
        <v>90272.1</v>
      </c>
      <c r="D38" s="259"/>
      <c r="E38" s="249"/>
      <c r="F38" s="79">
        <f t="shared" si="0"/>
        <v>149357.34</v>
      </c>
    </row>
    <row r="39" spans="1:6" x14ac:dyDescent="0.25">
      <c r="A39" s="262">
        <v>43700</v>
      </c>
      <c r="B39" s="260" t="s">
        <v>588</v>
      </c>
      <c r="C39" s="249">
        <v>1027.4000000000001</v>
      </c>
      <c r="D39" s="259"/>
      <c r="E39" s="249"/>
      <c r="F39" s="79">
        <f t="shared" si="0"/>
        <v>150384.74</v>
      </c>
    </row>
    <row r="40" spans="1:6" x14ac:dyDescent="0.25">
      <c r="A40" s="262">
        <v>43700</v>
      </c>
      <c r="B40" s="260" t="s">
        <v>589</v>
      </c>
      <c r="C40" s="249">
        <v>4716.28</v>
      </c>
      <c r="D40" s="259"/>
      <c r="E40" s="249"/>
      <c r="F40" s="79">
        <f t="shared" si="0"/>
        <v>155101.01999999999</v>
      </c>
    </row>
    <row r="41" spans="1:6" x14ac:dyDescent="0.25">
      <c r="A41" s="262">
        <v>43700</v>
      </c>
      <c r="B41" s="260" t="s">
        <v>590</v>
      </c>
      <c r="C41" s="249">
        <v>83860.679999999993</v>
      </c>
      <c r="D41" s="259"/>
      <c r="E41" s="249"/>
      <c r="F41" s="79">
        <f t="shared" si="0"/>
        <v>238961.69999999998</v>
      </c>
    </row>
    <row r="42" spans="1:6" x14ac:dyDescent="0.25">
      <c r="A42" s="262">
        <v>43701</v>
      </c>
      <c r="B42" s="260" t="s">
        <v>591</v>
      </c>
      <c r="C42" s="249">
        <v>70098.3</v>
      </c>
      <c r="D42" s="259">
        <v>43704</v>
      </c>
      <c r="E42" s="249">
        <v>309060</v>
      </c>
      <c r="F42" s="79">
        <f t="shared" si="0"/>
        <v>0</v>
      </c>
    </row>
    <row r="43" spans="1:6" x14ac:dyDescent="0.25">
      <c r="A43" s="262">
        <v>43703</v>
      </c>
      <c r="B43" s="260" t="s">
        <v>592</v>
      </c>
      <c r="C43" s="249">
        <v>63508.79</v>
      </c>
      <c r="D43" s="259"/>
      <c r="E43" s="249"/>
      <c r="F43" s="79">
        <f t="shared" si="0"/>
        <v>63508.79</v>
      </c>
    </row>
    <row r="44" spans="1:6" x14ac:dyDescent="0.25">
      <c r="A44" s="262">
        <v>43704</v>
      </c>
      <c r="B44" s="260" t="s">
        <v>593</v>
      </c>
      <c r="C44" s="249">
        <v>63318.1</v>
      </c>
      <c r="D44" s="259"/>
      <c r="E44" s="249"/>
      <c r="F44" s="79">
        <f t="shared" si="0"/>
        <v>126826.89</v>
      </c>
    </row>
    <row r="45" spans="1:6" x14ac:dyDescent="0.25">
      <c r="A45" s="262">
        <v>43704</v>
      </c>
      <c r="B45" s="260" t="s">
        <v>594</v>
      </c>
      <c r="C45" s="249">
        <v>1302</v>
      </c>
      <c r="D45" s="259"/>
      <c r="E45" s="249"/>
      <c r="F45" s="79">
        <f t="shared" si="0"/>
        <v>128128.89</v>
      </c>
    </row>
    <row r="46" spans="1:6" x14ac:dyDescent="0.25">
      <c r="A46" s="262">
        <v>43705</v>
      </c>
      <c r="B46" s="260" t="s">
        <v>595</v>
      </c>
      <c r="C46" s="249">
        <v>64478.7</v>
      </c>
      <c r="D46" s="259"/>
      <c r="E46" s="249"/>
      <c r="F46" s="79">
        <f t="shared" si="0"/>
        <v>192607.59</v>
      </c>
    </row>
    <row r="47" spans="1:6" x14ac:dyDescent="0.25">
      <c r="A47" s="262">
        <v>43705</v>
      </c>
      <c r="B47" s="260" t="s">
        <v>596</v>
      </c>
      <c r="C47" s="249">
        <v>14002.7</v>
      </c>
      <c r="D47" s="259"/>
      <c r="E47" s="249"/>
      <c r="F47" s="79">
        <f t="shared" si="0"/>
        <v>206610.29</v>
      </c>
    </row>
    <row r="48" spans="1:6" x14ac:dyDescent="0.25">
      <c r="A48" s="262">
        <v>43706</v>
      </c>
      <c r="B48" s="260" t="s">
        <v>597</v>
      </c>
      <c r="C48" s="249">
        <v>61086.36</v>
      </c>
      <c r="D48" s="259"/>
      <c r="E48" s="249"/>
      <c r="F48" s="79">
        <f t="shared" si="0"/>
        <v>267696.65000000002</v>
      </c>
    </row>
    <row r="49" spans="1:6" x14ac:dyDescent="0.25">
      <c r="A49" s="262">
        <v>43707</v>
      </c>
      <c r="B49" s="260" t="s">
        <v>598</v>
      </c>
      <c r="C49" s="249">
        <v>23871.200000000001</v>
      </c>
      <c r="D49" s="259"/>
      <c r="E49" s="249"/>
      <c r="F49" s="79">
        <f t="shared" si="0"/>
        <v>291567.85000000003</v>
      </c>
    </row>
    <row r="50" spans="1:6" x14ac:dyDescent="0.25">
      <c r="A50" s="262">
        <v>43707</v>
      </c>
      <c r="B50" s="260" t="s">
        <v>599</v>
      </c>
      <c r="C50" s="249">
        <v>709.5</v>
      </c>
      <c r="D50" s="259">
        <v>43707</v>
      </c>
      <c r="E50" s="249">
        <v>292277.34999999998</v>
      </c>
      <c r="F50" s="79">
        <f t="shared" si="0"/>
        <v>0</v>
      </c>
    </row>
    <row r="51" spans="1:6" x14ac:dyDescent="0.25">
      <c r="A51" s="262">
        <v>43708</v>
      </c>
      <c r="B51" s="260" t="s">
        <v>600</v>
      </c>
      <c r="C51" s="249">
        <v>1650.4</v>
      </c>
      <c r="D51" s="259"/>
      <c r="E51" s="249"/>
      <c r="F51" s="79">
        <f t="shared" si="0"/>
        <v>1650.4</v>
      </c>
    </row>
    <row r="52" spans="1:6" x14ac:dyDescent="0.25">
      <c r="A52" s="262">
        <v>43708</v>
      </c>
      <c r="B52" s="260" t="s">
        <v>601</v>
      </c>
      <c r="C52" s="249">
        <v>98655.57</v>
      </c>
      <c r="D52" s="259"/>
      <c r="E52" s="249"/>
      <c r="F52" s="79">
        <f t="shared" si="0"/>
        <v>100305.97</v>
      </c>
    </row>
    <row r="53" spans="1:6" x14ac:dyDescent="0.25">
      <c r="A53" s="262">
        <v>43710</v>
      </c>
      <c r="B53" s="260" t="s">
        <v>602</v>
      </c>
      <c r="C53" s="249">
        <v>37002.33</v>
      </c>
      <c r="D53" s="259"/>
      <c r="E53" s="249"/>
      <c r="F53" s="79">
        <f t="shared" si="0"/>
        <v>137308.29999999999</v>
      </c>
    </row>
    <row r="54" spans="1:6" x14ac:dyDescent="0.25">
      <c r="A54" s="262">
        <v>43710</v>
      </c>
      <c r="B54" s="260" t="s">
        <v>603</v>
      </c>
      <c r="C54" s="249">
        <v>134292.85999999999</v>
      </c>
      <c r="D54" s="259"/>
      <c r="E54" s="249"/>
      <c r="F54" s="79">
        <f t="shared" si="0"/>
        <v>271601.15999999997</v>
      </c>
    </row>
    <row r="55" spans="1:6" x14ac:dyDescent="0.25">
      <c r="A55" s="262">
        <v>43710</v>
      </c>
      <c r="B55" s="260" t="s">
        <v>604</v>
      </c>
      <c r="C55" s="249">
        <v>19775</v>
      </c>
      <c r="D55" s="259"/>
      <c r="E55" s="249"/>
      <c r="F55" s="79">
        <f t="shared" si="0"/>
        <v>291376.15999999997</v>
      </c>
    </row>
    <row r="56" spans="1:6" x14ac:dyDescent="0.25">
      <c r="A56" s="262">
        <v>43711</v>
      </c>
      <c r="B56" s="260" t="s">
        <v>605</v>
      </c>
      <c r="C56" s="249">
        <v>5800</v>
      </c>
      <c r="D56" s="259"/>
      <c r="E56" s="249"/>
      <c r="F56" s="79">
        <f t="shared" si="0"/>
        <v>297176.15999999997</v>
      </c>
    </row>
    <row r="57" spans="1:6" x14ac:dyDescent="0.25">
      <c r="A57" s="262">
        <v>43711</v>
      </c>
      <c r="B57" s="260" t="s">
        <v>606</v>
      </c>
      <c r="C57" s="249">
        <v>32542.67</v>
      </c>
      <c r="D57" s="259">
        <v>43712</v>
      </c>
      <c r="E57" s="249">
        <v>329718.83</v>
      </c>
      <c r="F57" s="79">
        <f t="shared" si="0"/>
        <v>0</v>
      </c>
    </row>
    <row r="58" spans="1:6" x14ac:dyDescent="0.25">
      <c r="A58" s="262">
        <v>43712</v>
      </c>
      <c r="B58" s="260" t="s">
        <v>607</v>
      </c>
      <c r="C58" s="249">
        <v>37850.699999999997</v>
      </c>
      <c r="D58" s="259"/>
      <c r="E58" s="249"/>
      <c r="F58" s="79">
        <f t="shared" si="0"/>
        <v>37850.699999999997</v>
      </c>
    </row>
    <row r="59" spans="1:6" x14ac:dyDescent="0.25">
      <c r="A59" s="262">
        <v>43712</v>
      </c>
      <c r="B59" s="260" t="s">
        <v>608</v>
      </c>
      <c r="C59" s="249">
        <v>30954</v>
      </c>
      <c r="D59" s="259"/>
      <c r="E59" s="249"/>
      <c r="F59" s="79">
        <f t="shared" si="0"/>
        <v>68804.7</v>
      </c>
    </row>
    <row r="60" spans="1:6" x14ac:dyDescent="0.25">
      <c r="A60" s="262">
        <v>43712</v>
      </c>
      <c r="B60" s="260" t="s">
        <v>609</v>
      </c>
      <c r="C60" s="249">
        <v>3934</v>
      </c>
      <c r="D60" s="259"/>
      <c r="E60" s="249"/>
      <c r="F60" s="79">
        <f t="shared" si="0"/>
        <v>72738.7</v>
      </c>
    </row>
    <row r="61" spans="1:6" x14ac:dyDescent="0.25">
      <c r="A61" s="262">
        <v>43713</v>
      </c>
      <c r="B61" s="260" t="s">
        <v>610</v>
      </c>
      <c r="C61" s="249">
        <v>44791.26</v>
      </c>
      <c r="D61" s="259"/>
      <c r="E61" s="249"/>
      <c r="F61" s="79">
        <f t="shared" si="0"/>
        <v>117529.95999999999</v>
      </c>
    </row>
    <row r="62" spans="1:6" x14ac:dyDescent="0.25">
      <c r="A62" s="262">
        <v>43713</v>
      </c>
      <c r="B62" s="260" t="s">
        <v>611</v>
      </c>
      <c r="C62" s="249">
        <v>100707.56</v>
      </c>
      <c r="D62" s="259"/>
      <c r="E62" s="249"/>
      <c r="F62" s="79">
        <f t="shared" si="0"/>
        <v>218237.52</v>
      </c>
    </row>
    <row r="63" spans="1:6" x14ac:dyDescent="0.25">
      <c r="A63" s="262">
        <v>43714</v>
      </c>
      <c r="B63" s="260" t="s">
        <v>612</v>
      </c>
      <c r="C63" s="249">
        <v>54313.98</v>
      </c>
      <c r="D63" s="259"/>
      <c r="E63" s="249"/>
      <c r="F63" s="79">
        <f t="shared" si="0"/>
        <v>272551.5</v>
      </c>
    </row>
    <row r="64" spans="1:6" x14ac:dyDescent="0.25">
      <c r="A64" s="262">
        <v>43714</v>
      </c>
      <c r="B64" s="260" t="s">
        <v>613</v>
      </c>
      <c r="C64" s="249">
        <v>515.20000000000005</v>
      </c>
      <c r="D64" s="259"/>
      <c r="E64" s="249"/>
      <c r="F64" s="79">
        <f t="shared" si="0"/>
        <v>273066.7</v>
      </c>
    </row>
    <row r="65" spans="1:6" x14ac:dyDescent="0.25">
      <c r="A65" s="262">
        <v>43714</v>
      </c>
      <c r="B65" s="260" t="s">
        <v>614</v>
      </c>
      <c r="C65" s="249">
        <v>63645.78</v>
      </c>
      <c r="D65" s="259">
        <v>43714</v>
      </c>
      <c r="E65" s="249">
        <v>336712.48</v>
      </c>
      <c r="F65" s="79">
        <f t="shared" si="0"/>
        <v>0</v>
      </c>
    </row>
    <row r="66" spans="1:6" x14ac:dyDescent="0.25">
      <c r="A66" s="262">
        <v>43714</v>
      </c>
      <c r="B66" s="260" t="s">
        <v>616</v>
      </c>
      <c r="C66" s="249">
        <v>44179.48</v>
      </c>
      <c r="D66" s="259"/>
      <c r="E66" s="249"/>
      <c r="F66" s="79">
        <f t="shared" si="0"/>
        <v>44179.48</v>
      </c>
    </row>
    <row r="67" spans="1:6" x14ac:dyDescent="0.25">
      <c r="A67" s="262">
        <v>43715</v>
      </c>
      <c r="B67" s="260" t="s">
        <v>615</v>
      </c>
      <c r="C67" s="249">
        <v>87592.19</v>
      </c>
      <c r="D67" s="259"/>
      <c r="E67" s="249"/>
      <c r="F67" s="79">
        <f t="shared" si="0"/>
        <v>131771.67000000001</v>
      </c>
    </row>
    <row r="68" spans="1:6" x14ac:dyDescent="0.25">
      <c r="A68" s="262">
        <v>43715</v>
      </c>
      <c r="B68" s="260" t="s">
        <v>617</v>
      </c>
      <c r="C68" s="249">
        <v>45434.54</v>
      </c>
      <c r="D68" s="259"/>
      <c r="E68" s="249"/>
      <c r="F68" s="79">
        <f t="shared" si="0"/>
        <v>177206.21000000002</v>
      </c>
    </row>
    <row r="69" spans="1:6" x14ac:dyDescent="0.25">
      <c r="A69" s="262">
        <v>43716</v>
      </c>
      <c r="B69" s="260" t="s">
        <v>619</v>
      </c>
      <c r="C69" s="249">
        <v>59977.5</v>
      </c>
      <c r="D69" s="259"/>
      <c r="E69" s="249"/>
      <c r="F69" s="79">
        <f t="shared" si="0"/>
        <v>237183.71000000002</v>
      </c>
    </row>
    <row r="70" spans="1:6" x14ac:dyDescent="0.25">
      <c r="A70" s="262">
        <v>43717</v>
      </c>
      <c r="B70" s="260" t="s">
        <v>618</v>
      </c>
      <c r="C70" s="249">
        <v>31151.42</v>
      </c>
      <c r="D70" s="259"/>
      <c r="E70" s="249"/>
      <c r="F70" s="79">
        <f t="shared" si="0"/>
        <v>268335.13</v>
      </c>
    </row>
    <row r="71" spans="1:6" x14ac:dyDescent="0.25">
      <c r="A71" s="262">
        <v>43717</v>
      </c>
      <c r="B71" s="260" t="s">
        <v>620</v>
      </c>
      <c r="C71" s="249">
        <v>60185.4</v>
      </c>
      <c r="D71" s="259">
        <v>43718</v>
      </c>
      <c r="E71" s="249">
        <v>328520.53000000003</v>
      </c>
      <c r="F71" s="79">
        <f t="shared" si="0"/>
        <v>0</v>
      </c>
    </row>
    <row r="72" spans="1:6" ht="15.75" thickBot="1" x14ac:dyDescent="0.3">
      <c r="A72" s="350"/>
      <c r="B72" s="351"/>
      <c r="C72" s="265"/>
      <c r="D72" s="266"/>
      <c r="E72" s="265"/>
      <c r="F72" s="79">
        <f t="shared" si="0"/>
        <v>0</v>
      </c>
    </row>
    <row r="73" spans="1:6" ht="19.5" thickTop="1" x14ac:dyDescent="0.3">
      <c r="B73" s="25"/>
      <c r="C73" s="4">
        <f>SUM(C3:C72)</f>
        <v>3416349</v>
      </c>
      <c r="D73" s="1"/>
      <c r="E73" s="5">
        <f>SUM(E3:E72)</f>
        <v>3416349</v>
      </c>
      <c r="F73" s="186">
        <f>F72</f>
        <v>0</v>
      </c>
    </row>
    <row r="74" spans="1:6" x14ac:dyDescent="0.25">
      <c r="B74" s="25"/>
      <c r="C74" s="4"/>
      <c r="D74" s="1"/>
      <c r="E74" s="5"/>
      <c r="F74" s="4"/>
    </row>
    <row r="75" spans="1:6" x14ac:dyDescent="0.25">
      <c r="B75" s="25"/>
      <c r="C75" s="4"/>
      <c r="D75" s="1"/>
      <c r="E75" s="5"/>
      <c r="F75" s="4"/>
    </row>
    <row r="76" spans="1:6" x14ac:dyDescent="0.25">
      <c r="A76"/>
      <c r="B76" s="21"/>
      <c r="D76" s="21"/>
    </row>
    <row r="77" spans="1:6" x14ac:dyDescent="0.25">
      <c r="A77"/>
      <c r="B77" s="21"/>
      <c r="D77" s="21"/>
    </row>
    <row r="78" spans="1:6" x14ac:dyDescent="0.25">
      <c r="A78"/>
      <c r="B78" s="21"/>
      <c r="D78" s="21"/>
    </row>
    <row r="79" spans="1:6" x14ac:dyDescent="0.25">
      <c r="A79"/>
      <c r="B79" s="21"/>
      <c r="D79" s="21"/>
      <c r="F79"/>
    </row>
    <row r="80" spans="1:6" x14ac:dyDescent="0.25">
      <c r="A80"/>
      <c r="B80" s="21"/>
      <c r="D80" s="21"/>
      <c r="F80"/>
    </row>
    <row r="81" spans="1:6" x14ac:dyDescent="0.25">
      <c r="A81"/>
      <c r="B81" s="21"/>
      <c r="D81" s="21"/>
      <c r="F81"/>
    </row>
    <row r="82" spans="1:6" x14ac:dyDescent="0.25">
      <c r="A82"/>
      <c r="B82" s="21"/>
      <c r="D82" s="21"/>
      <c r="F82"/>
    </row>
    <row r="83" spans="1:6" x14ac:dyDescent="0.25">
      <c r="A83"/>
      <c r="B83" s="21"/>
      <c r="D83" s="21"/>
      <c r="F83"/>
    </row>
    <row r="84" spans="1:6" x14ac:dyDescent="0.25">
      <c r="A84"/>
      <c r="B84" s="21"/>
      <c r="D84" s="21"/>
      <c r="F84"/>
    </row>
    <row r="85" spans="1:6" x14ac:dyDescent="0.25">
      <c r="A85"/>
      <c r="B85" s="21"/>
      <c r="D85" s="21"/>
      <c r="F85"/>
    </row>
    <row r="86" spans="1:6" x14ac:dyDescent="0.25">
      <c r="A86"/>
      <c r="B86" s="21"/>
      <c r="D86" s="21"/>
      <c r="F86"/>
    </row>
    <row r="87" spans="1:6" x14ac:dyDescent="0.25">
      <c r="A87"/>
      <c r="B87" s="21"/>
      <c r="D87" s="21"/>
      <c r="F87"/>
    </row>
    <row r="88" spans="1:6" x14ac:dyDescent="0.25">
      <c r="A88"/>
      <c r="B88" s="21"/>
      <c r="D88" s="21"/>
      <c r="E88"/>
      <c r="F88"/>
    </row>
    <row r="89" spans="1:6" x14ac:dyDescent="0.25">
      <c r="A89"/>
      <c r="B89" s="21"/>
      <c r="D89" s="21"/>
      <c r="E89"/>
      <c r="F89"/>
    </row>
    <row r="90" spans="1:6" x14ac:dyDescent="0.25">
      <c r="A90"/>
      <c r="B90" s="21"/>
      <c r="D90" s="21"/>
      <c r="E90"/>
      <c r="F90"/>
    </row>
    <row r="91" spans="1:6" x14ac:dyDescent="0.25">
      <c r="A91"/>
      <c r="B91" s="21"/>
      <c r="D91" s="21"/>
      <c r="E91"/>
      <c r="F91"/>
    </row>
    <row r="92" spans="1:6" x14ac:dyDescent="0.25">
      <c r="A92"/>
      <c r="B92" s="21"/>
      <c r="D92" s="21"/>
      <c r="E92"/>
      <c r="F92"/>
    </row>
    <row r="93" spans="1:6" x14ac:dyDescent="0.25">
      <c r="A93"/>
      <c r="B93" s="21"/>
      <c r="D93" s="21"/>
      <c r="E93"/>
      <c r="F93"/>
    </row>
    <row r="94" spans="1:6" x14ac:dyDescent="0.25">
      <c r="B94" s="21"/>
      <c r="D94" s="21"/>
      <c r="E94"/>
    </row>
    <row r="95" spans="1:6" x14ac:dyDescent="0.25">
      <c r="B95" s="21"/>
      <c r="D95" s="21"/>
      <c r="E95"/>
    </row>
    <row r="96" spans="1:6" x14ac:dyDescent="0.25">
      <c r="B96" s="21"/>
      <c r="D96" s="21"/>
      <c r="E96"/>
    </row>
    <row r="97" spans="2:5" x14ac:dyDescent="0.25">
      <c r="B97" s="21"/>
      <c r="D97" s="21"/>
      <c r="E97"/>
    </row>
    <row r="98" spans="2:5" x14ac:dyDescent="0.25">
      <c r="B98" s="21"/>
      <c r="D98" s="21"/>
      <c r="E98"/>
    </row>
    <row r="99" spans="2:5" x14ac:dyDescent="0.25">
      <c r="B99" s="21"/>
      <c r="D99" s="21"/>
      <c r="E99"/>
    </row>
    <row r="100" spans="2:5" x14ac:dyDescent="0.25">
      <c r="B100" s="21"/>
      <c r="D100" s="21"/>
      <c r="E100"/>
    </row>
    <row r="101" spans="2:5" x14ac:dyDescent="0.25">
      <c r="B101" s="21"/>
      <c r="D101" s="21"/>
      <c r="E101"/>
    </row>
    <row r="102" spans="2:5" x14ac:dyDescent="0.25">
      <c r="B102" s="21"/>
      <c r="D102" s="21"/>
      <c r="E102"/>
    </row>
    <row r="103" spans="2:5" x14ac:dyDescent="0.25">
      <c r="B103" s="21"/>
    </row>
    <row r="104" spans="2:5" x14ac:dyDescent="0.25">
      <c r="B104" s="21"/>
    </row>
    <row r="105" spans="2:5" x14ac:dyDescent="0.25">
      <c r="B105" s="21"/>
      <c r="D105" s="21"/>
    </row>
    <row r="106" spans="2:5" x14ac:dyDescent="0.25">
      <c r="B106" s="21"/>
    </row>
    <row r="107" spans="2:5" x14ac:dyDescent="0.25">
      <c r="B107" s="21"/>
    </row>
    <row r="108" spans="2:5" x14ac:dyDescent="0.25">
      <c r="B108" s="21"/>
    </row>
    <row r="109" spans="2:5" ht="18.75" x14ac:dyDescent="0.3">
      <c r="C109" s="74"/>
    </row>
  </sheetData>
  <sortState ref="A66:C72">
    <sortCondition ref="B66:B7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5ABF-EE6A-4F70-8C7E-450EF57409E1}">
  <sheetPr>
    <tabColor rgb="FF0070C0"/>
  </sheetPr>
  <dimension ref="A1:AB66"/>
  <sheetViews>
    <sheetView tabSelected="1" topLeftCell="A18" workbookViewId="0">
      <selection activeCell="O37" sqref="O3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8.28515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  <col min="25" max="25" width="11.42578125" style="367"/>
  </cols>
  <sheetData>
    <row r="1" spans="1:28" ht="24" thickBot="1" x14ac:dyDescent="0.4">
      <c r="C1" s="378" t="s">
        <v>623</v>
      </c>
      <c r="D1" s="378"/>
      <c r="E1" s="378"/>
      <c r="F1" s="378"/>
      <c r="G1" s="378"/>
      <c r="H1" s="378"/>
      <c r="I1" s="378"/>
      <c r="J1" s="378"/>
      <c r="K1" s="378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Q2" s="257"/>
      <c r="Y2" s="368"/>
      <c r="Z2" s="217"/>
      <c r="AA2" s="218"/>
    </row>
    <row r="3" spans="1:28" ht="20.25" thickTop="1" thickBot="1" x14ac:dyDescent="0.35">
      <c r="B3" s="425" t="s">
        <v>3</v>
      </c>
      <c r="C3" s="426"/>
      <c r="D3" s="13"/>
      <c r="I3" s="14" t="s">
        <v>4</v>
      </c>
      <c r="J3" s="9"/>
      <c r="K3" s="15" t="s">
        <v>126</v>
      </c>
      <c r="L3" s="15"/>
      <c r="Q3" s="257"/>
      <c r="U3" s="388" t="s">
        <v>56</v>
      </c>
      <c r="V3" s="389"/>
      <c r="Y3" s="27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164706.81</v>
      </c>
      <c r="D4" s="213">
        <v>43718</v>
      </c>
      <c r="E4" s="422" t="s">
        <v>6</v>
      </c>
      <c r="F4" s="423"/>
      <c r="H4" s="382" t="s">
        <v>460</v>
      </c>
      <c r="I4" s="424"/>
      <c r="J4" s="338"/>
      <c r="K4" s="338"/>
      <c r="L4" s="338"/>
      <c r="M4" s="333" t="s">
        <v>8</v>
      </c>
      <c r="N4" s="334" t="s">
        <v>36</v>
      </c>
      <c r="O4" s="304"/>
      <c r="P4" s="304"/>
      <c r="Q4" s="366"/>
      <c r="T4" s="228">
        <v>43722</v>
      </c>
      <c r="U4" s="145" t="s">
        <v>47</v>
      </c>
      <c r="V4" s="353">
        <v>5010</v>
      </c>
      <c r="Y4" s="369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43719</v>
      </c>
      <c r="C5" s="234">
        <v>7982</v>
      </c>
      <c r="D5" s="311" t="s">
        <v>342</v>
      </c>
      <c r="E5" s="312">
        <v>43719</v>
      </c>
      <c r="F5" s="233">
        <v>111625</v>
      </c>
      <c r="G5" s="244"/>
      <c r="H5" s="335">
        <v>43719</v>
      </c>
      <c r="I5" s="336">
        <v>50</v>
      </c>
      <c r="J5" s="106"/>
      <c r="L5" s="4"/>
      <c r="M5" s="237">
        <v>107303</v>
      </c>
      <c r="N5" s="238">
        <v>2727</v>
      </c>
      <c r="O5" s="277"/>
      <c r="P5" s="277">
        <f>C5+I5+M5+N5</f>
        <v>118062</v>
      </c>
      <c r="Q5" s="374">
        <f>P5-F5</f>
        <v>6437</v>
      </c>
      <c r="S5" s="212"/>
      <c r="T5" s="228">
        <v>43722</v>
      </c>
      <c r="U5" s="136" t="s">
        <v>41</v>
      </c>
      <c r="V5" s="353">
        <v>5010</v>
      </c>
      <c r="Y5" s="370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43720</v>
      </c>
      <c r="C6" s="234">
        <v>32220</v>
      </c>
      <c r="D6" s="242" t="s">
        <v>633</v>
      </c>
      <c r="E6" s="312">
        <v>43720</v>
      </c>
      <c r="F6" s="233">
        <v>172277</v>
      </c>
      <c r="G6" s="244"/>
      <c r="H6" s="313">
        <v>43720</v>
      </c>
      <c r="I6" s="235">
        <v>16</v>
      </c>
      <c r="J6" s="106"/>
      <c r="K6" s="127"/>
      <c r="L6" s="208"/>
      <c r="M6" s="237">
        <f>70270+33198+31569</f>
        <v>135037</v>
      </c>
      <c r="N6" s="238">
        <v>5008</v>
      </c>
      <c r="O6" s="277"/>
      <c r="P6" s="277">
        <f>C6+I6+M6+N6</f>
        <v>172281</v>
      </c>
      <c r="Q6" s="257">
        <f t="shared" ref="Q6:Q25" si="0">P6-F6</f>
        <v>4</v>
      </c>
      <c r="S6" s="212"/>
      <c r="T6" s="229">
        <v>43728</v>
      </c>
      <c r="U6" s="134" t="s">
        <v>41</v>
      </c>
      <c r="V6" s="353">
        <v>5010</v>
      </c>
      <c r="Y6" s="371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43721</v>
      </c>
      <c r="C7" s="234">
        <v>3265</v>
      </c>
      <c r="D7" s="314" t="s">
        <v>49</v>
      </c>
      <c r="E7" s="312">
        <v>43721</v>
      </c>
      <c r="F7" s="233">
        <v>207456</v>
      </c>
      <c r="G7" s="244"/>
      <c r="H7" s="313">
        <v>43721</v>
      </c>
      <c r="I7" s="235">
        <v>4072</v>
      </c>
      <c r="J7" s="31"/>
      <c r="K7" s="127" t="s">
        <v>9</v>
      </c>
      <c r="L7" s="248">
        <v>0</v>
      </c>
      <c r="M7" s="237">
        <f>100000+98432</f>
        <v>198432</v>
      </c>
      <c r="N7" s="238">
        <v>1687</v>
      </c>
      <c r="O7" s="277"/>
      <c r="P7" s="277">
        <f t="shared" ref="P7:P25" si="1">C7+I7+M7+N7</f>
        <v>207456</v>
      </c>
      <c r="Q7" s="257">
        <f t="shared" si="0"/>
        <v>0</v>
      </c>
      <c r="R7" s="4"/>
      <c r="S7" s="4"/>
      <c r="T7" s="230">
        <v>43728</v>
      </c>
      <c r="U7" s="136" t="s">
        <v>47</v>
      </c>
      <c r="V7" s="353">
        <v>5010</v>
      </c>
      <c r="Y7" s="27">
        <v>43439</v>
      </c>
      <c r="Z7" s="102" t="s">
        <v>39</v>
      </c>
      <c r="AA7" s="219">
        <v>2000</v>
      </c>
      <c r="AB7" t="s">
        <v>204</v>
      </c>
    </row>
    <row r="8" spans="1:28" ht="16.5" thickBot="1" x14ac:dyDescent="0.3">
      <c r="A8" s="21"/>
      <c r="B8" s="241">
        <v>43722</v>
      </c>
      <c r="C8" s="234">
        <v>16554</v>
      </c>
      <c r="D8" s="315" t="s">
        <v>635</v>
      </c>
      <c r="E8" s="312">
        <v>43722</v>
      </c>
      <c r="F8" s="233">
        <v>270455</v>
      </c>
      <c r="G8" s="244"/>
      <c r="H8" s="313">
        <v>43722</v>
      </c>
      <c r="I8" s="235">
        <v>10040</v>
      </c>
      <c r="J8" s="377">
        <v>43739</v>
      </c>
      <c r="K8" s="35" t="s">
        <v>10</v>
      </c>
      <c r="L8" s="250">
        <v>25995</v>
      </c>
      <c r="M8" s="237">
        <f>30000+100000+100051</f>
        <v>230051</v>
      </c>
      <c r="N8" s="238">
        <v>4927</v>
      </c>
      <c r="O8" s="277"/>
      <c r="P8" s="277">
        <f>C8+I8+M8+N8+L12</f>
        <v>276068.40999999997</v>
      </c>
      <c r="Q8" s="257">
        <f t="shared" si="0"/>
        <v>5613.4099999999744</v>
      </c>
      <c r="R8" s="4"/>
      <c r="S8" s="4"/>
      <c r="T8" s="228">
        <v>43735</v>
      </c>
      <c r="U8" s="134" t="s">
        <v>41</v>
      </c>
      <c r="V8" s="353">
        <v>5010</v>
      </c>
      <c r="Y8" s="370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43723</v>
      </c>
      <c r="C9" s="234">
        <v>0</v>
      </c>
      <c r="D9" s="316"/>
      <c r="E9" s="312">
        <v>43723</v>
      </c>
      <c r="F9" s="233">
        <v>195966</v>
      </c>
      <c r="G9" s="244"/>
      <c r="H9" s="313">
        <v>43723</v>
      </c>
      <c r="I9" s="235">
        <v>3400</v>
      </c>
      <c r="J9" s="96"/>
      <c r="K9" s="102" t="s">
        <v>11</v>
      </c>
      <c r="L9" s="346">
        <v>0</v>
      </c>
      <c r="M9" s="237">
        <f>86000+100000</f>
        <v>186000</v>
      </c>
      <c r="N9" s="238">
        <v>6569</v>
      </c>
      <c r="O9" s="277"/>
      <c r="P9" s="277">
        <f t="shared" si="1"/>
        <v>195969</v>
      </c>
      <c r="Q9" s="257">
        <f t="shared" si="0"/>
        <v>3</v>
      </c>
      <c r="R9" s="4"/>
      <c r="S9" s="4"/>
      <c r="T9" s="230">
        <v>43735</v>
      </c>
      <c r="U9" s="136" t="s">
        <v>47</v>
      </c>
      <c r="V9" s="353">
        <v>5010</v>
      </c>
      <c r="Y9" s="370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43724</v>
      </c>
      <c r="C10" s="234">
        <v>1032</v>
      </c>
      <c r="D10" s="242" t="s">
        <v>49</v>
      </c>
      <c r="E10" s="312">
        <v>43724</v>
      </c>
      <c r="F10" s="233">
        <v>39678</v>
      </c>
      <c r="G10" s="244"/>
      <c r="H10" s="313">
        <v>43724</v>
      </c>
      <c r="I10" s="235">
        <v>0</v>
      </c>
      <c r="J10" s="106"/>
      <c r="K10" s="126"/>
      <c r="L10" s="236">
        <v>0</v>
      </c>
      <c r="M10" s="237">
        <v>36700</v>
      </c>
      <c r="N10" s="238">
        <v>1949</v>
      </c>
      <c r="O10" s="277"/>
      <c r="P10" s="277">
        <f t="shared" si="1"/>
        <v>39681</v>
      </c>
      <c r="Q10" s="257">
        <f t="shared" si="0"/>
        <v>3</v>
      </c>
      <c r="S10" s="212"/>
      <c r="T10" s="228"/>
      <c r="U10" s="134" t="s">
        <v>41</v>
      </c>
      <c r="V10" s="353">
        <v>0</v>
      </c>
      <c r="Y10" s="371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43725</v>
      </c>
      <c r="C11" s="234">
        <v>13695</v>
      </c>
      <c r="D11" s="242" t="s">
        <v>636</v>
      </c>
      <c r="E11" s="312">
        <v>43725</v>
      </c>
      <c r="F11" s="233">
        <v>93684</v>
      </c>
      <c r="G11" s="244"/>
      <c r="H11" s="313">
        <v>43725</v>
      </c>
      <c r="I11" s="235">
        <v>0</v>
      </c>
      <c r="J11" s="106"/>
      <c r="K11" s="147"/>
      <c r="L11" s="236">
        <v>0</v>
      </c>
      <c r="M11" s="237">
        <v>78353</v>
      </c>
      <c r="N11" s="238">
        <v>1636</v>
      </c>
      <c r="O11" s="277"/>
      <c r="P11" s="277">
        <f t="shared" si="1"/>
        <v>93684</v>
      </c>
      <c r="Q11" s="257">
        <f t="shared" si="0"/>
        <v>0</v>
      </c>
      <c r="R11" s="253"/>
      <c r="S11" s="212"/>
      <c r="T11" s="228"/>
      <c r="U11" s="136" t="s">
        <v>47</v>
      </c>
      <c r="V11" s="353">
        <v>0</v>
      </c>
      <c r="Y11" s="372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43726</v>
      </c>
      <c r="C12" s="234">
        <v>0</v>
      </c>
      <c r="D12" s="242"/>
      <c r="E12" s="312">
        <v>43726</v>
      </c>
      <c r="F12" s="233">
        <v>79299</v>
      </c>
      <c r="G12" s="244"/>
      <c r="H12" s="313">
        <v>43726</v>
      </c>
      <c r="I12" s="235">
        <v>840</v>
      </c>
      <c r="J12" s="106">
        <v>43722</v>
      </c>
      <c r="K12" s="102" t="s">
        <v>624</v>
      </c>
      <c r="L12" s="236">
        <v>14496.41</v>
      </c>
      <c r="M12" s="237">
        <v>78185</v>
      </c>
      <c r="N12" s="238">
        <v>274</v>
      </c>
      <c r="O12" s="277"/>
      <c r="P12" s="277">
        <f>C12+I12+M12+N12</f>
        <v>79299</v>
      </c>
      <c r="Q12" s="257">
        <f>P12-F12</f>
        <v>0</v>
      </c>
      <c r="R12" s="354">
        <v>5618.64</v>
      </c>
      <c r="S12" s="33" t="s">
        <v>624</v>
      </c>
      <c r="T12" s="228"/>
      <c r="U12" s="134" t="s">
        <v>41</v>
      </c>
      <c r="V12" s="353">
        <v>0</v>
      </c>
      <c r="Y12" s="373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43727</v>
      </c>
      <c r="C13" s="234">
        <v>11097.52</v>
      </c>
      <c r="D13" s="315" t="s">
        <v>146</v>
      </c>
      <c r="E13" s="312">
        <v>43727</v>
      </c>
      <c r="F13" s="233">
        <v>67257</v>
      </c>
      <c r="G13" s="244"/>
      <c r="H13" s="313">
        <v>43727</v>
      </c>
      <c r="I13" s="235">
        <v>192.76</v>
      </c>
      <c r="J13" s="106">
        <v>43729</v>
      </c>
      <c r="K13" s="102" t="s">
        <v>625</v>
      </c>
      <c r="L13" s="236">
        <v>17303.560000000001</v>
      </c>
      <c r="M13" s="237">
        <v>55834</v>
      </c>
      <c r="N13" s="238">
        <v>133</v>
      </c>
      <c r="O13" s="277"/>
      <c r="P13" s="277">
        <f>C13+I13+M13+N13</f>
        <v>67257.279999999999</v>
      </c>
      <c r="Q13" s="257">
        <f>P13-F13</f>
        <v>0.27999999999883585</v>
      </c>
      <c r="R13" s="354">
        <v>5618.64</v>
      </c>
      <c r="S13" s="33" t="s">
        <v>625</v>
      </c>
      <c r="T13" s="228"/>
      <c r="U13" s="136" t="s">
        <v>47</v>
      </c>
      <c r="V13" s="353">
        <v>0</v>
      </c>
      <c r="Y13" s="373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43728</v>
      </c>
      <c r="C14" s="234">
        <v>1071</v>
      </c>
      <c r="D14" s="314" t="s">
        <v>49</v>
      </c>
      <c r="E14" s="312">
        <v>43728</v>
      </c>
      <c r="F14" s="233">
        <v>202593</v>
      </c>
      <c r="G14" s="244"/>
      <c r="H14" s="313">
        <v>43728</v>
      </c>
      <c r="I14" s="235">
        <v>12020</v>
      </c>
      <c r="J14" s="106">
        <v>43736</v>
      </c>
      <c r="K14" s="102" t="s">
        <v>626</v>
      </c>
      <c r="L14" s="236">
        <v>13267.84</v>
      </c>
      <c r="M14" s="237">
        <f>100000+87119</f>
        <v>187119</v>
      </c>
      <c r="N14" s="238">
        <v>2383</v>
      </c>
      <c r="O14" s="277"/>
      <c r="P14" s="277">
        <f t="shared" si="1"/>
        <v>202593</v>
      </c>
      <c r="Q14" s="257">
        <f t="shared" si="0"/>
        <v>0</v>
      </c>
      <c r="R14" s="354">
        <v>5618.64</v>
      </c>
      <c r="S14" s="33" t="s">
        <v>626</v>
      </c>
      <c r="T14" s="228"/>
      <c r="U14" s="141"/>
      <c r="V14" s="142">
        <v>0</v>
      </c>
      <c r="Y14" s="78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43729</v>
      </c>
      <c r="C15" s="234">
        <v>14105.99</v>
      </c>
      <c r="D15" s="242" t="s">
        <v>638</v>
      </c>
      <c r="E15" s="312">
        <v>43729</v>
      </c>
      <c r="F15" s="233">
        <v>140355</v>
      </c>
      <c r="G15" s="244"/>
      <c r="H15" s="313">
        <v>43729</v>
      </c>
      <c r="I15" s="235">
        <v>72</v>
      </c>
      <c r="J15" s="106"/>
      <c r="K15" s="102"/>
      <c r="L15" s="236"/>
      <c r="M15" s="237">
        <f>30846+81765</f>
        <v>112611</v>
      </c>
      <c r="N15" s="238">
        <v>1882</v>
      </c>
      <c r="O15" s="277"/>
      <c r="P15" s="277">
        <f>C15+I15+M15+N15+L13</f>
        <v>145974.55000000002</v>
      </c>
      <c r="Q15" s="257">
        <f t="shared" si="0"/>
        <v>5619.5500000000175</v>
      </c>
      <c r="R15" s="354">
        <v>0</v>
      </c>
      <c r="S15" s="33" t="s">
        <v>627</v>
      </c>
      <c r="T15" s="228"/>
      <c r="U15" s="133" t="s">
        <v>13</v>
      </c>
      <c r="V15" s="132">
        <f>SUM(V4:V14)</f>
        <v>30060</v>
      </c>
      <c r="Y15" s="78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43730</v>
      </c>
      <c r="C16" s="234">
        <v>2032</v>
      </c>
      <c r="D16" s="242" t="s">
        <v>49</v>
      </c>
      <c r="E16" s="312">
        <v>43730</v>
      </c>
      <c r="F16" s="233">
        <v>89803</v>
      </c>
      <c r="G16" s="244"/>
      <c r="H16" s="313">
        <v>43730</v>
      </c>
      <c r="I16" s="235">
        <v>0</v>
      </c>
      <c r="J16" s="42"/>
      <c r="K16" s="25"/>
      <c r="L16" s="257"/>
      <c r="M16" s="237">
        <v>84842</v>
      </c>
      <c r="N16" s="238">
        <v>2929</v>
      </c>
      <c r="O16" s="277"/>
      <c r="P16" s="277">
        <f t="shared" si="1"/>
        <v>89803</v>
      </c>
      <c r="Q16" s="257">
        <f t="shared" si="0"/>
        <v>0</v>
      </c>
      <c r="R16" s="354">
        <v>0</v>
      </c>
      <c r="S16" s="33" t="s">
        <v>628</v>
      </c>
      <c r="U16" s="25"/>
      <c r="V16" s="26"/>
      <c r="Y16" s="78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43731</v>
      </c>
      <c r="C17" s="234">
        <v>1139</v>
      </c>
      <c r="D17" s="315" t="s">
        <v>49</v>
      </c>
      <c r="E17" s="312">
        <v>43731</v>
      </c>
      <c r="F17" s="233">
        <v>123238</v>
      </c>
      <c r="G17" s="244"/>
      <c r="H17" s="313">
        <v>43731</v>
      </c>
      <c r="I17" s="240">
        <v>275</v>
      </c>
      <c r="J17" s="164"/>
      <c r="K17" s="25"/>
      <c r="L17" s="361"/>
      <c r="M17" s="237">
        <v>119902</v>
      </c>
      <c r="N17" s="238">
        <v>1922</v>
      </c>
      <c r="O17" s="277"/>
      <c r="P17" s="277">
        <f t="shared" si="1"/>
        <v>123238</v>
      </c>
      <c r="Q17" s="257">
        <f t="shared" si="0"/>
        <v>0</v>
      </c>
      <c r="R17" s="358">
        <v>0</v>
      </c>
      <c r="S17" s="33" t="s">
        <v>629</v>
      </c>
      <c r="T17" s="101"/>
      <c r="U17" s="25"/>
      <c r="V17" s="26"/>
      <c r="Y17" s="78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43732</v>
      </c>
      <c r="C18" s="234">
        <v>969</v>
      </c>
      <c r="D18" s="242" t="s">
        <v>49</v>
      </c>
      <c r="E18" s="312">
        <v>43732</v>
      </c>
      <c r="F18" s="233">
        <v>91463</v>
      </c>
      <c r="G18" s="244"/>
      <c r="H18" s="313">
        <v>43732</v>
      </c>
      <c r="I18" s="235">
        <v>0</v>
      </c>
      <c r="J18" s="42"/>
      <c r="K18" s="317"/>
      <c r="L18" s="236"/>
      <c r="M18" s="237">
        <f>57120+31658</f>
        <v>88778</v>
      </c>
      <c r="N18" s="238">
        <v>1719</v>
      </c>
      <c r="O18" s="277"/>
      <c r="P18" s="277">
        <f t="shared" si="1"/>
        <v>91466</v>
      </c>
      <c r="Q18" s="257">
        <f t="shared" si="0"/>
        <v>3</v>
      </c>
      <c r="R18" s="4">
        <f>SUM(R12:R17)</f>
        <v>16855.920000000002</v>
      </c>
      <c r="S18" s="212"/>
      <c r="U18" s="25"/>
      <c r="V18" s="4"/>
      <c r="Y18" s="78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43733</v>
      </c>
      <c r="C19" s="234">
        <v>1276</v>
      </c>
      <c r="D19" s="316" t="s">
        <v>49</v>
      </c>
      <c r="E19" s="312">
        <v>43733</v>
      </c>
      <c r="F19" s="233">
        <v>71821</v>
      </c>
      <c r="G19" s="244"/>
      <c r="H19" s="313">
        <v>43733</v>
      </c>
      <c r="I19" s="235">
        <v>30</v>
      </c>
      <c r="J19" s="164"/>
      <c r="K19" s="150"/>
      <c r="L19" s="236"/>
      <c r="M19" s="237">
        <f>61221+6062</f>
        <v>67283</v>
      </c>
      <c r="N19" s="238">
        <v>3232</v>
      </c>
      <c r="O19" s="277"/>
      <c r="P19" s="277">
        <f>C19+I19+M19+N19</f>
        <v>71821</v>
      </c>
      <c r="Q19" s="257">
        <f>P19-F19</f>
        <v>0</v>
      </c>
      <c r="S19" s="5"/>
      <c r="U19" s="121"/>
      <c r="V19" s="124"/>
      <c r="Y19" s="78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43734</v>
      </c>
      <c r="C20" s="234">
        <v>347</v>
      </c>
      <c r="D20" s="242" t="s">
        <v>639</v>
      </c>
      <c r="E20" s="312">
        <v>43734</v>
      </c>
      <c r="F20" s="233">
        <v>72953</v>
      </c>
      <c r="G20" s="244"/>
      <c r="H20" s="313">
        <v>43734</v>
      </c>
      <c r="I20" s="235">
        <v>180</v>
      </c>
      <c r="J20" s="42"/>
      <c r="K20" s="356"/>
      <c r="L20" s="361"/>
      <c r="M20" s="237">
        <f>1340+4604+68414+1905</f>
        <v>76263</v>
      </c>
      <c r="N20" s="238">
        <v>767</v>
      </c>
      <c r="O20" s="277"/>
      <c r="P20" s="277">
        <f t="shared" si="1"/>
        <v>77557</v>
      </c>
      <c r="Q20" s="374">
        <f t="shared" si="0"/>
        <v>4604</v>
      </c>
      <c r="S20" s="5"/>
      <c r="U20" s="390" t="s">
        <v>56</v>
      </c>
      <c r="V20" s="391"/>
      <c r="Y20" s="78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43735</v>
      </c>
      <c r="C21" s="234">
        <v>11651.64</v>
      </c>
      <c r="D21" s="242" t="s">
        <v>640</v>
      </c>
      <c r="E21" s="312">
        <v>43735</v>
      </c>
      <c r="F21" s="233">
        <v>131826</v>
      </c>
      <c r="G21" s="244"/>
      <c r="H21" s="313">
        <v>43735</v>
      </c>
      <c r="I21" s="235">
        <v>10092</v>
      </c>
      <c r="J21" s="44"/>
      <c r="K21" s="195"/>
      <c r="L21" s="361"/>
      <c r="M21" s="237">
        <v>109320</v>
      </c>
      <c r="N21" s="238">
        <v>2702</v>
      </c>
      <c r="O21" s="277"/>
      <c r="P21" s="277">
        <f t="shared" si="1"/>
        <v>133765.64000000001</v>
      </c>
      <c r="Q21" s="374">
        <f t="shared" si="0"/>
        <v>1939.640000000014</v>
      </c>
      <c r="S21" s="5"/>
      <c r="T21" s="228">
        <v>43721</v>
      </c>
      <c r="U21" s="25" t="s">
        <v>39</v>
      </c>
      <c r="V21" s="355">
        <v>4000</v>
      </c>
      <c r="W21" t="s">
        <v>634</v>
      </c>
      <c r="Y21" s="1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43736</v>
      </c>
      <c r="C22" s="234">
        <v>1619</v>
      </c>
      <c r="D22" s="242" t="s">
        <v>184</v>
      </c>
      <c r="E22" s="312">
        <v>43736</v>
      </c>
      <c r="F22" s="233">
        <v>122134</v>
      </c>
      <c r="G22" s="244"/>
      <c r="H22" s="313">
        <v>43736</v>
      </c>
      <c r="I22" s="235">
        <v>398</v>
      </c>
      <c r="J22" s="34"/>
      <c r="K22" s="153"/>
      <c r="L22" s="361"/>
      <c r="M22" s="237">
        <v>101250</v>
      </c>
      <c r="N22" s="238">
        <v>11220</v>
      </c>
      <c r="O22" s="277"/>
      <c r="P22" s="277">
        <f>C22+I22+M22+N22+L14</f>
        <v>127754.84</v>
      </c>
      <c r="Q22" s="257">
        <f t="shared" si="0"/>
        <v>5620.8399999999965</v>
      </c>
      <c r="S22" s="5"/>
      <c r="T22" s="228">
        <v>43728</v>
      </c>
      <c r="U22" s="102" t="s">
        <v>39</v>
      </c>
      <c r="V22" s="357">
        <v>2000</v>
      </c>
      <c r="W22" t="s">
        <v>637</v>
      </c>
    </row>
    <row r="23" spans="1:28" ht="15.75" thickBot="1" x14ac:dyDescent="0.3">
      <c r="A23" s="21"/>
      <c r="B23" s="241">
        <v>43737</v>
      </c>
      <c r="C23" s="234">
        <v>8369.7999999999993</v>
      </c>
      <c r="D23" s="242" t="s">
        <v>653</v>
      </c>
      <c r="E23" s="312">
        <v>43737</v>
      </c>
      <c r="F23" s="233">
        <v>116371</v>
      </c>
      <c r="G23" s="244"/>
      <c r="H23" s="313">
        <v>43737</v>
      </c>
      <c r="I23" s="235">
        <v>2395</v>
      </c>
      <c r="J23" s="95" t="s">
        <v>689</v>
      </c>
      <c r="K23" s="154"/>
      <c r="L23" s="361"/>
      <c r="M23" s="237">
        <v>101170</v>
      </c>
      <c r="N23" s="238">
        <v>4457</v>
      </c>
      <c r="O23" s="277"/>
      <c r="P23" s="277">
        <f t="shared" si="1"/>
        <v>116391.8</v>
      </c>
      <c r="Q23" s="257">
        <f t="shared" si="0"/>
        <v>20.80000000000291</v>
      </c>
      <c r="S23" s="5"/>
      <c r="T23" s="228"/>
      <c r="U23" s="102" t="s">
        <v>39</v>
      </c>
      <c r="V23" s="357">
        <v>0</v>
      </c>
      <c r="W23" t="s">
        <v>630</v>
      </c>
    </row>
    <row r="24" spans="1:28" ht="15.75" thickBot="1" x14ac:dyDescent="0.3">
      <c r="A24" s="21"/>
      <c r="B24" s="241">
        <v>43738</v>
      </c>
      <c r="C24" s="234">
        <v>1259</v>
      </c>
      <c r="D24" s="242" t="s">
        <v>49</v>
      </c>
      <c r="E24" s="312">
        <v>43738</v>
      </c>
      <c r="F24" s="233">
        <v>69512</v>
      </c>
      <c r="G24" s="244"/>
      <c r="H24" s="313">
        <v>43738</v>
      </c>
      <c r="I24" s="235">
        <v>0</v>
      </c>
      <c r="J24" s="46"/>
      <c r="K24" s="155"/>
      <c r="L24" s="135"/>
      <c r="M24" s="237">
        <v>66517</v>
      </c>
      <c r="N24" s="238">
        <v>1715</v>
      </c>
      <c r="O24" s="277"/>
      <c r="P24" s="277">
        <f>C24+I24+M24+N24</f>
        <v>69491</v>
      </c>
      <c r="Q24" s="257">
        <f>P24-F24</f>
        <v>-21</v>
      </c>
      <c r="S24" s="5"/>
      <c r="T24" s="228"/>
      <c r="U24" s="102" t="s">
        <v>39</v>
      </c>
      <c r="V24" s="104">
        <v>0</v>
      </c>
      <c r="W24" t="s">
        <v>631</v>
      </c>
      <c r="X24" t="s">
        <v>7</v>
      </c>
    </row>
    <row r="25" spans="1:28" ht="15.75" thickBot="1" x14ac:dyDescent="0.3">
      <c r="A25" s="21"/>
      <c r="B25" s="241">
        <v>43739</v>
      </c>
      <c r="C25" s="234">
        <v>13486</v>
      </c>
      <c r="D25" s="242"/>
      <c r="E25" s="312">
        <v>43739</v>
      </c>
      <c r="F25" s="233">
        <v>92966</v>
      </c>
      <c r="G25" s="244"/>
      <c r="H25" s="313">
        <v>43739</v>
      </c>
      <c r="I25" s="235">
        <v>130</v>
      </c>
      <c r="J25" s="109"/>
      <c r="K25" s="155"/>
      <c r="L25" s="135"/>
      <c r="M25" s="237">
        <v>79029</v>
      </c>
      <c r="N25" s="238">
        <v>321</v>
      </c>
      <c r="O25" s="277"/>
      <c r="P25" s="277">
        <f t="shared" si="1"/>
        <v>92966</v>
      </c>
      <c r="Q25" s="257">
        <f t="shared" si="0"/>
        <v>0</v>
      </c>
      <c r="T25" s="228"/>
      <c r="U25" s="102" t="s">
        <v>39</v>
      </c>
      <c r="V25" s="104">
        <v>0</v>
      </c>
      <c r="W25" t="s">
        <v>632</v>
      </c>
    </row>
    <row r="26" spans="1:28" ht="15.75" thickBot="1" x14ac:dyDescent="0.3">
      <c r="A26" s="21"/>
      <c r="B26" s="241"/>
      <c r="C26" s="249"/>
      <c r="D26" s="315"/>
      <c r="E26" s="345"/>
      <c r="F26" s="249"/>
      <c r="G26" s="244"/>
      <c r="H26" s="313"/>
      <c r="I26" s="249"/>
      <c r="J26" s="4"/>
      <c r="K26" s="215"/>
      <c r="L26" s="105"/>
      <c r="M26" s="237">
        <v>0</v>
      </c>
      <c r="N26" s="238">
        <v>0</v>
      </c>
      <c r="O26" s="277"/>
      <c r="P26" s="277">
        <f t="shared" ref="P26" si="2">I26+M26+N26+C26</f>
        <v>0</v>
      </c>
      <c r="Q26" s="257">
        <f t="shared" ref="Q26" si="3">P26-F26</f>
        <v>0</v>
      </c>
      <c r="R26" s="4"/>
      <c r="S26" s="167"/>
      <c r="T26" s="25"/>
    </row>
    <row r="27" spans="1:28" ht="16.5" thickBot="1" x14ac:dyDescent="0.3">
      <c r="A27" s="49"/>
      <c r="B27" s="241"/>
      <c r="C27" s="51">
        <v>0</v>
      </c>
      <c r="D27" s="19"/>
      <c r="E27" s="29"/>
      <c r="F27" s="53">
        <v>0</v>
      </c>
      <c r="H27" s="359"/>
      <c r="I27" s="360">
        <v>0</v>
      </c>
      <c r="K27" s="54"/>
      <c r="L27" s="55"/>
      <c r="M27" s="211">
        <f>SUM(M5:M26)</f>
        <v>2299979</v>
      </c>
      <c r="N27" s="211">
        <f>SUM(N5:N26)</f>
        <v>60159</v>
      </c>
      <c r="O27" s="302"/>
      <c r="P27" s="211">
        <f>SUM(P5:P26)</f>
        <v>2592579.5199999996</v>
      </c>
      <c r="Q27" s="118">
        <f>SUM(Q5:Q26)</f>
        <v>29847.520000000004</v>
      </c>
    </row>
    <row r="28" spans="1:28" ht="15.75" thickBot="1" x14ac:dyDescent="0.3">
      <c r="B28" s="56" t="s">
        <v>13</v>
      </c>
      <c r="C28" s="57">
        <f>SUM(C5:C27)</f>
        <v>143170.95000000001</v>
      </c>
      <c r="E28" s="58" t="s">
        <v>13</v>
      </c>
      <c r="F28" s="59">
        <f>SUM(F5:F27)</f>
        <v>2562732</v>
      </c>
      <c r="H28" s="6" t="s">
        <v>13</v>
      </c>
      <c r="I28" s="4">
        <f>SUM(I5:I27)</f>
        <v>44202.759999999995</v>
      </c>
      <c r="J28" s="4"/>
      <c r="K28" s="60" t="s">
        <v>13</v>
      </c>
      <c r="L28" s="40">
        <f>SUM(L5:L27)</f>
        <v>71062.81</v>
      </c>
      <c r="O28" s="257"/>
      <c r="T28" s="5"/>
    </row>
    <row r="29" spans="1:28" ht="19.5" thickBot="1" x14ac:dyDescent="0.3">
      <c r="C29" s="5" t="s">
        <v>7</v>
      </c>
      <c r="M29" s="412">
        <f>N27+M27</f>
        <v>2360138</v>
      </c>
      <c r="N29" s="413"/>
      <c r="O29" s="303"/>
      <c r="P29" s="303"/>
      <c r="T29" s="5"/>
    </row>
    <row r="30" spans="1:28" ht="15.75" x14ac:dyDescent="0.25">
      <c r="A30" s="25"/>
      <c r="B30" s="61"/>
      <c r="C30" s="4"/>
      <c r="H30" s="384" t="s">
        <v>14</v>
      </c>
      <c r="I30" s="385"/>
      <c r="J30" s="352">
        <v>-7</v>
      </c>
      <c r="K30" s="386">
        <f>I28+L28</f>
        <v>115265.56999999999</v>
      </c>
      <c r="L30" s="387"/>
      <c r="R30" s="4"/>
      <c r="S30" s="41"/>
      <c r="T30" s="5"/>
    </row>
    <row r="31" spans="1:28" ht="15.75" x14ac:dyDescent="0.25">
      <c r="D31" s="393" t="s">
        <v>15</v>
      </c>
      <c r="E31" s="393"/>
      <c r="F31" s="205">
        <f>F28-K30-C28</f>
        <v>2304295.48</v>
      </c>
      <c r="I31" s="63"/>
      <c r="J31" s="63"/>
      <c r="T31" s="5"/>
    </row>
    <row r="32" spans="1:28" ht="18.75" x14ac:dyDescent="0.3">
      <c r="D32" s="394" t="s">
        <v>16</v>
      </c>
      <c r="E32" s="394"/>
      <c r="F32" s="110">
        <v>-2240711.4</v>
      </c>
      <c r="I32" s="395" t="s">
        <v>17</v>
      </c>
      <c r="J32" s="396"/>
      <c r="K32" s="397">
        <f>F37</f>
        <v>397538.56000000006</v>
      </c>
      <c r="L32" s="398"/>
      <c r="T32" s="5"/>
    </row>
    <row r="33" spans="2:20" ht="4.5" customHeight="1" thickBot="1" x14ac:dyDescent="0.35">
      <c r="D33" s="64"/>
      <c r="E33" s="65"/>
      <c r="F33" s="66" t="s">
        <v>7</v>
      </c>
      <c r="I33" s="67"/>
      <c r="J33" s="67"/>
      <c r="K33" s="68"/>
      <c r="L33" s="68"/>
      <c r="T33" s="5"/>
    </row>
    <row r="34" spans="2:20" ht="19.5" thickTop="1" x14ac:dyDescent="0.3">
      <c r="C34" s="3" t="s">
        <v>7</v>
      </c>
      <c r="E34" s="25" t="s">
        <v>19</v>
      </c>
      <c r="F34" s="4">
        <f>SUM(F31:F33)</f>
        <v>63584.080000000075</v>
      </c>
      <c r="I34" s="69" t="s">
        <v>20</v>
      </c>
      <c r="J34" s="70"/>
      <c r="K34" s="418">
        <f>-C4</f>
        <v>-164706.81</v>
      </c>
      <c r="L34" s="419"/>
      <c r="M34" s="5" t="s">
        <v>21</v>
      </c>
      <c r="T34" s="5"/>
    </row>
    <row r="35" spans="2:20" ht="15.75" thickBot="1" x14ac:dyDescent="0.3">
      <c r="D35" s="71" t="s">
        <v>22</v>
      </c>
      <c r="E35" s="25" t="s">
        <v>23</v>
      </c>
      <c r="F35" s="249">
        <v>18840.400000000001</v>
      </c>
      <c r="T35" s="5"/>
    </row>
    <row r="36" spans="2:20" ht="20.25" thickTop="1" thickBot="1" x14ac:dyDescent="0.35">
      <c r="C36" s="321">
        <v>43739</v>
      </c>
      <c r="D36" s="420" t="s">
        <v>24</v>
      </c>
      <c r="E36" s="421"/>
      <c r="F36" s="72">
        <v>315114.08</v>
      </c>
      <c r="I36" s="433" t="s">
        <v>95</v>
      </c>
      <c r="J36" s="434"/>
      <c r="K36" s="435">
        <f>K32+K34</f>
        <v>232831.75000000006</v>
      </c>
      <c r="L36" s="436"/>
    </row>
    <row r="37" spans="2:20" ht="18.75" x14ac:dyDescent="0.3">
      <c r="C37" s="59"/>
      <c r="D37" s="58"/>
      <c r="E37" s="33" t="s">
        <v>25</v>
      </c>
      <c r="F37" s="73">
        <f>F34+F35+F36</f>
        <v>397538.56000000006</v>
      </c>
      <c r="J37" s="6"/>
      <c r="M37" s="74"/>
    </row>
    <row r="39" spans="2:20" x14ac:dyDescent="0.25">
      <c r="B39"/>
      <c r="C39"/>
      <c r="D39" s="392"/>
      <c r="E39" s="392"/>
      <c r="M39" s="75"/>
      <c r="N39" s="25"/>
      <c r="O39" s="25"/>
      <c r="P39" s="25"/>
      <c r="Q39" s="25"/>
    </row>
    <row r="40" spans="2:20" x14ac:dyDescent="0.25">
      <c r="B40"/>
      <c r="C40"/>
      <c r="M40" s="75"/>
      <c r="N40" s="25"/>
      <c r="O40" s="25"/>
      <c r="P40" s="25"/>
      <c r="Q40" s="25"/>
    </row>
    <row r="41" spans="2:20" x14ac:dyDescent="0.25">
      <c r="B41"/>
      <c r="C41"/>
      <c r="N41" s="25"/>
      <c r="O41" s="25"/>
      <c r="P41" s="25"/>
      <c r="Q41" s="25"/>
    </row>
    <row r="42" spans="2:20" x14ac:dyDescent="0.25">
      <c r="B42"/>
      <c r="C42"/>
      <c r="D42" s="375"/>
      <c r="E42" s="375"/>
      <c r="F42" s="375"/>
      <c r="I42"/>
      <c r="J42"/>
      <c r="M42"/>
      <c r="N42" s="25"/>
      <c r="O42" s="25"/>
      <c r="P42" s="25"/>
      <c r="Q42" s="25"/>
    </row>
    <row r="43" spans="2:20" x14ac:dyDescent="0.25">
      <c r="B43"/>
      <c r="C43"/>
      <c r="D43" s="375"/>
      <c r="E43" s="375"/>
      <c r="F43" s="376"/>
      <c r="N43" s="25"/>
      <c r="O43" s="25"/>
      <c r="P43" s="25"/>
      <c r="Q43" s="25"/>
    </row>
    <row r="44" spans="2:20" x14ac:dyDescent="0.25">
      <c r="D44" s="375"/>
      <c r="E44" s="375"/>
      <c r="F44" s="277"/>
      <c r="M44" s="4"/>
      <c r="N44" s="25"/>
      <c r="O44" s="25"/>
      <c r="P44" s="25"/>
      <c r="Q44" s="25"/>
    </row>
    <row r="45" spans="2:20" x14ac:dyDescent="0.25">
      <c r="D45" s="375"/>
      <c r="E45" s="375"/>
      <c r="F45" s="277"/>
      <c r="M45" s="4"/>
      <c r="N45" s="25"/>
      <c r="O45" s="25"/>
      <c r="P45" s="25"/>
      <c r="Q45" s="25"/>
    </row>
    <row r="46" spans="2:20" x14ac:dyDescent="0.25">
      <c r="D46" s="375"/>
      <c r="E46" s="375"/>
      <c r="F46" s="277"/>
      <c r="M46" s="4"/>
      <c r="N46" s="25"/>
      <c r="O46" s="25"/>
      <c r="P46" s="25"/>
      <c r="Q46" s="25"/>
    </row>
    <row r="47" spans="2:20" x14ac:dyDescent="0.25">
      <c r="D47" s="375"/>
      <c r="E47" s="375"/>
      <c r="F47" s="277"/>
      <c r="M47" s="4"/>
      <c r="N47" s="25"/>
      <c r="O47" s="25"/>
      <c r="P47" s="25"/>
      <c r="Q47" s="25"/>
    </row>
    <row r="48" spans="2:20" x14ac:dyDescent="0.25">
      <c r="D48" s="375"/>
      <c r="E48" s="375"/>
      <c r="F48" s="277"/>
      <c r="M48" s="4"/>
    </row>
    <row r="49" spans="4:13" x14ac:dyDescent="0.25">
      <c r="D49" s="375"/>
      <c r="E49" s="375"/>
      <c r="F49" s="277"/>
      <c r="M49" s="4"/>
    </row>
    <row r="50" spans="4:13" x14ac:dyDescent="0.25">
      <c r="D50" s="375"/>
      <c r="E50" s="375"/>
      <c r="F50" s="277"/>
      <c r="M50" s="4"/>
    </row>
    <row r="51" spans="4:13" x14ac:dyDescent="0.25">
      <c r="D51" s="375"/>
      <c r="E51" s="375"/>
      <c r="F51" s="277"/>
      <c r="M51" s="4"/>
    </row>
    <row r="52" spans="4:13" x14ac:dyDescent="0.25">
      <c r="D52" s="375"/>
      <c r="E52" s="375"/>
      <c r="F52" s="277"/>
      <c r="M52" s="4"/>
    </row>
    <row r="53" spans="4:13" x14ac:dyDescent="0.25">
      <c r="D53" s="375"/>
      <c r="E53" s="375"/>
      <c r="F53" s="376"/>
      <c r="M53" s="4"/>
    </row>
    <row r="54" spans="4:13" x14ac:dyDescent="0.25">
      <c r="M54" s="4"/>
    </row>
    <row r="55" spans="4:13" x14ac:dyDescent="0.25">
      <c r="M55" s="4"/>
    </row>
    <row r="56" spans="4:13" x14ac:dyDescent="0.25">
      <c r="M56" s="4"/>
    </row>
    <row r="57" spans="4:13" x14ac:dyDescent="0.25">
      <c r="M57" s="4"/>
    </row>
    <row r="58" spans="4:13" x14ac:dyDescent="0.25">
      <c r="M58" s="4"/>
    </row>
    <row r="59" spans="4:13" x14ac:dyDescent="0.25">
      <c r="M59" s="4"/>
    </row>
    <row r="60" spans="4:13" x14ac:dyDescent="0.25">
      <c r="M60" s="4"/>
    </row>
    <row r="61" spans="4:13" x14ac:dyDescent="0.25">
      <c r="M61" s="4"/>
    </row>
    <row r="62" spans="4:13" x14ac:dyDescent="0.25">
      <c r="M62" s="4"/>
    </row>
    <row r="63" spans="4:13" x14ac:dyDescent="0.25">
      <c r="M63" s="4"/>
    </row>
    <row r="64" spans="4:13" x14ac:dyDescent="0.25">
      <c r="M64" s="4"/>
    </row>
    <row r="65" spans="13:13" x14ac:dyDescent="0.25">
      <c r="M65" s="4"/>
    </row>
    <row r="66" spans="13:13" x14ac:dyDescent="0.25">
      <c r="M66" s="4"/>
    </row>
  </sheetData>
  <mergeCells count="18">
    <mergeCell ref="U20:V20"/>
    <mergeCell ref="C1:K1"/>
    <mergeCell ref="B3:C3"/>
    <mergeCell ref="U3:V3"/>
    <mergeCell ref="E4:F4"/>
    <mergeCell ref="H4:I4"/>
    <mergeCell ref="M29:N29"/>
    <mergeCell ref="H30:I30"/>
    <mergeCell ref="K30:L30"/>
    <mergeCell ref="D31:E31"/>
    <mergeCell ref="D32:E32"/>
    <mergeCell ref="I32:J32"/>
    <mergeCell ref="K32:L32"/>
    <mergeCell ref="K34:L34"/>
    <mergeCell ref="D36:E36"/>
    <mergeCell ref="I36:J36"/>
    <mergeCell ref="K36:L36"/>
    <mergeCell ref="D39:E39"/>
  </mergeCells>
  <phoneticPr fontId="35" type="noConversion"/>
  <pageMargins left="0.15748031496062992" right="0.15748031496062992" top="0.31496062992125984" bottom="0.35433070866141736" header="0.31496062992125984" footer="0.31496062992125984"/>
  <pageSetup scale="80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E769-8473-466C-907F-6E2CCEF79BA3}">
  <sheetPr>
    <tabColor rgb="FF0070C0"/>
  </sheetPr>
  <dimension ref="A1:F76"/>
  <sheetViews>
    <sheetView topLeftCell="A26" workbookViewId="0">
      <selection activeCell="B50" sqref="B50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43719</v>
      </c>
      <c r="B3" s="256" t="s">
        <v>655</v>
      </c>
      <c r="C3" s="257">
        <v>84109.53</v>
      </c>
      <c r="D3" s="258"/>
      <c r="E3" s="257"/>
      <c r="F3" s="79">
        <f>C3-E3</f>
        <v>84109.53</v>
      </c>
    </row>
    <row r="4" spans="1:6" x14ac:dyDescent="0.25">
      <c r="A4" s="262">
        <v>43719</v>
      </c>
      <c r="B4" s="260" t="s">
        <v>656</v>
      </c>
      <c r="C4" s="249">
        <v>168313.68</v>
      </c>
      <c r="D4" s="259"/>
      <c r="E4" s="249"/>
      <c r="F4" s="79">
        <f>F3+C4-E4</f>
        <v>252423.21</v>
      </c>
    </row>
    <row r="5" spans="1:6" x14ac:dyDescent="0.25">
      <c r="A5" s="259">
        <v>43720</v>
      </c>
      <c r="B5" s="260" t="s">
        <v>657</v>
      </c>
      <c r="C5" s="249">
        <v>109476.99</v>
      </c>
      <c r="D5" s="259">
        <v>43720</v>
      </c>
      <c r="E5" s="249">
        <v>361900.2</v>
      </c>
      <c r="F5" s="79">
        <f t="shared" ref="F5:F38" si="0">F4+C5-E5</f>
        <v>0</v>
      </c>
    </row>
    <row r="6" spans="1:6" x14ac:dyDescent="0.25">
      <c r="A6" s="259">
        <v>43720</v>
      </c>
      <c r="B6" s="260" t="s">
        <v>658</v>
      </c>
      <c r="C6" s="249">
        <v>3236.33</v>
      </c>
      <c r="D6" s="259"/>
      <c r="E6" s="249"/>
      <c r="F6" s="79">
        <f t="shared" si="0"/>
        <v>3236.33</v>
      </c>
    </row>
    <row r="7" spans="1:6" x14ac:dyDescent="0.25">
      <c r="A7" s="259">
        <v>43720</v>
      </c>
      <c r="B7" s="260" t="s">
        <v>659</v>
      </c>
      <c r="C7" s="249">
        <v>119161.02</v>
      </c>
      <c r="D7" s="259"/>
      <c r="E7" s="249"/>
      <c r="F7" s="79">
        <f t="shared" si="0"/>
        <v>122397.35</v>
      </c>
    </row>
    <row r="8" spans="1:6" x14ac:dyDescent="0.25">
      <c r="A8" s="259">
        <v>43720</v>
      </c>
      <c r="B8" s="260" t="s">
        <v>660</v>
      </c>
      <c r="C8" s="249">
        <v>72880.600000000006</v>
      </c>
      <c r="D8" s="259"/>
      <c r="E8" s="249"/>
      <c r="F8" s="79">
        <f t="shared" si="0"/>
        <v>195277.95</v>
      </c>
    </row>
    <row r="9" spans="1:6" x14ac:dyDescent="0.25">
      <c r="A9" s="259">
        <v>43721</v>
      </c>
      <c r="B9" s="260" t="s">
        <v>661</v>
      </c>
      <c r="C9" s="249">
        <v>65614.13</v>
      </c>
      <c r="D9" s="259"/>
      <c r="E9" s="249"/>
      <c r="F9" s="79">
        <f t="shared" si="0"/>
        <v>260892.08000000002</v>
      </c>
    </row>
    <row r="10" spans="1:6" x14ac:dyDescent="0.25">
      <c r="A10" s="259">
        <v>43721</v>
      </c>
      <c r="B10" s="260" t="s">
        <v>662</v>
      </c>
      <c r="C10" s="249">
        <v>123469.5</v>
      </c>
      <c r="D10" s="259"/>
      <c r="E10" s="249"/>
      <c r="F10" s="79">
        <f t="shared" si="0"/>
        <v>384361.58</v>
      </c>
    </row>
    <row r="11" spans="1:6" x14ac:dyDescent="0.25">
      <c r="A11" s="262">
        <v>43721</v>
      </c>
      <c r="B11" s="260" t="s">
        <v>663</v>
      </c>
      <c r="C11" s="249">
        <v>2648.8</v>
      </c>
      <c r="D11" s="259"/>
      <c r="E11" s="249"/>
      <c r="F11" s="79">
        <f t="shared" si="0"/>
        <v>387010.38</v>
      </c>
    </row>
    <row r="12" spans="1:6" x14ac:dyDescent="0.25">
      <c r="A12" s="259">
        <v>43722</v>
      </c>
      <c r="B12" s="260" t="s">
        <v>664</v>
      </c>
      <c r="C12" s="249">
        <v>30864.9</v>
      </c>
      <c r="D12" s="259"/>
      <c r="E12" s="249"/>
      <c r="F12" s="79">
        <f t="shared" si="0"/>
        <v>417875.28</v>
      </c>
    </row>
    <row r="13" spans="1:6" x14ac:dyDescent="0.25">
      <c r="A13" s="259">
        <v>43722</v>
      </c>
      <c r="B13" s="260" t="s">
        <v>665</v>
      </c>
      <c r="C13" s="249">
        <v>30736</v>
      </c>
      <c r="D13" s="259"/>
      <c r="E13" s="249"/>
      <c r="F13" s="79">
        <f t="shared" si="0"/>
        <v>448611.28</v>
      </c>
    </row>
    <row r="14" spans="1:6" x14ac:dyDescent="0.25">
      <c r="A14" s="259">
        <v>43722</v>
      </c>
      <c r="B14" s="260" t="s">
        <v>666</v>
      </c>
      <c r="C14" s="249">
        <v>124233.9</v>
      </c>
      <c r="D14" s="259">
        <v>43725</v>
      </c>
      <c r="E14" s="249">
        <v>572845.18000000005</v>
      </c>
      <c r="F14" s="79">
        <f t="shared" si="0"/>
        <v>0</v>
      </c>
    </row>
    <row r="15" spans="1:6" x14ac:dyDescent="0.25">
      <c r="A15" s="259">
        <v>43725</v>
      </c>
      <c r="B15" s="260" t="s">
        <v>667</v>
      </c>
      <c r="C15" s="249">
        <v>31720.799999999999</v>
      </c>
      <c r="D15" s="259"/>
      <c r="E15" s="249"/>
      <c r="F15" s="79">
        <f t="shared" si="0"/>
        <v>31720.799999999999</v>
      </c>
    </row>
    <row r="16" spans="1:6" x14ac:dyDescent="0.25">
      <c r="A16" s="259">
        <v>43726</v>
      </c>
      <c r="B16" s="260" t="s">
        <v>668</v>
      </c>
      <c r="C16" s="249">
        <v>44310.1</v>
      </c>
      <c r="D16" s="259"/>
      <c r="E16" s="249"/>
      <c r="F16" s="79">
        <f t="shared" si="0"/>
        <v>76030.899999999994</v>
      </c>
    </row>
    <row r="17" spans="1:6" x14ac:dyDescent="0.25">
      <c r="A17" s="259">
        <v>43726</v>
      </c>
      <c r="B17" s="260" t="s">
        <v>669</v>
      </c>
      <c r="C17" s="249">
        <v>30056</v>
      </c>
      <c r="D17" s="259"/>
      <c r="E17" s="249"/>
      <c r="F17" s="79">
        <f t="shared" si="0"/>
        <v>106086.9</v>
      </c>
    </row>
    <row r="18" spans="1:6" x14ac:dyDescent="0.25">
      <c r="A18" s="259">
        <v>43727</v>
      </c>
      <c r="B18" s="260" t="s">
        <v>670</v>
      </c>
      <c r="C18" s="249">
        <v>33727</v>
      </c>
      <c r="D18" s="259"/>
      <c r="E18" s="249"/>
      <c r="F18" s="79">
        <f t="shared" si="0"/>
        <v>139813.9</v>
      </c>
    </row>
    <row r="19" spans="1:6" x14ac:dyDescent="0.25">
      <c r="A19" s="259">
        <v>43727</v>
      </c>
      <c r="B19" s="260" t="s">
        <v>671</v>
      </c>
      <c r="C19" s="249">
        <v>32733.5</v>
      </c>
      <c r="D19" s="259">
        <v>43728</v>
      </c>
      <c r="E19" s="249">
        <v>172547.4</v>
      </c>
      <c r="F19" s="79">
        <f t="shared" si="0"/>
        <v>0</v>
      </c>
    </row>
    <row r="20" spans="1:6" x14ac:dyDescent="0.25">
      <c r="A20" s="259">
        <v>43727</v>
      </c>
      <c r="B20" s="260" t="s">
        <v>672</v>
      </c>
      <c r="C20" s="249">
        <v>102511.9</v>
      </c>
      <c r="D20" s="259"/>
      <c r="E20" s="249"/>
      <c r="F20" s="79">
        <f t="shared" si="0"/>
        <v>102511.9</v>
      </c>
    </row>
    <row r="21" spans="1:6" x14ac:dyDescent="0.25">
      <c r="A21" s="259">
        <v>43728</v>
      </c>
      <c r="B21" s="260" t="s">
        <v>673</v>
      </c>
      <c r="C21" s="249">
        <v>182169.3</v>
      </c>
      <c r="D21" s="259"/>
      <c r="E21" s="249"/>
      <c r="F21" s="79">
        <f t="shared" si="0"/>
        <v>284681.19999999995</v>
      </c>
    </row>
    <row r="22" spans="1:6" x14ac:dyDescent="0.25">
      <c r="A22" s="259">
        <v>43729</v>
      </c>
      <c r="B22" s="260" t="s">
        <v>674</v>
      </c>
      <c r="C22" s="249">
        <v>1508.28</v>
      </c>
      <c r="D22" s="259"/>
      <c r="E22" s="249"/>
      <c r="F22" s="79">
        <f t="shared" si="0"/>
        <v>286189.48</v>
      </c>
    </row>
    <row r="23" spans="1:6" x14ac:dyDescent="0.25">
      <c r="A23" s="259">
        <v>43729</v>
      </c>
      <c r="B23" s="260" t="s">
        <v>675</v>
      </c>
      <c r="C23" s="249">
        <v>80391.199999999997</v>
      </c>
      <c r="D23" s="259"/>
      <c r="E23" s="249"/>
      <c r="F23" s="79">
        <f t="shared" si="0"/>
        <v>366580.68</v>
      </c>
    </row>
    <row r="24" spans="1:6" x14ac:dyDescent="0.25">
      <c r="A24" s="259">
        <v>43729</v>
      </c>
      <c r="B24" s="260" t="s">
        <v>676</v>
      </c>
      <c r="C24" s="249">
        <v>960</v>
      </c>
      <c r="D24" s="259"/>
      <c r="E24" s="249"/>
      <c r="F24" s="79">
        <f t="shared" si="0"/>
        <v>367540.68</v>
      </c>
    </row>
    <row r="25" spans="1:6" x14ac:dyDescent="0.25">
      <c r="A25" s="259">
        <v>43730</v>
      </c>
      <c r="B25" s="260" t="s">
        <v>677</v>
      </c>
      <c r="C25" s="249">
        <v>132371.26</v>
      </c>
      <c r="D25" s="259"/>
      <c r="E25" s="249"/>
      <c r="F25" s="79">
        <f t="shared" si="0"/>
        <v>499911.94</v>
      </c>
    </row>
    <row r="26" spans="1:6" x14ac:dyDescent="0.25">
      <c r="A26" s="262">
        <v>43730</v>
      </c>
      <c r="B26" s="260" t="s">
        <v>678</v>
      </c>
      <c r="C26" s="249">
        <v>50071.85</v>
      </c>
      <c r="D26" s="259">
        <v>43731</v>
      </c>
      <c r="E26" s="249">
        <v>549983.79</v>
      </c>
      <c r="F26" s="79">
        <f t="shared" si="0"/>
        <v>0</v>
      </c>
    </row>
    <row r="27" spans="1:6" x14ac:dyDescent="0.25">
      <c r="A27" s="262">
        <v>43732</v>
      </c>
      <c r="B27" s="260" t="s">
        <v>679</v>
      </c>
      <c r="C27" s="249">
        <v>23886.400000000001</v>
      </c>
      <c r="D27" s="259"/>
      <c r="E27" s="249"/>
      <c r="F27" s="79">
        <f t="shared" si="0"/>
        <v>23886.400000000001</v>
      </c>
    </row>
    <row r="28" spans="1:6" x14ac:dyDescent="0.25">
      <c r="A28" s="262">
        <v>43733</v>
      </c>
      <c r="B28" s="260" t="s">
        <v>680</v>
      </c>
      <c r="C28" s="249">
        <v>118085.33</v>
      </c>
      <c r="D28" s="259"/>
      <c r="E28" s="249"/>
      <c r="F28" s="79">
        <f t="shared" si="0"/>
        <v>141971.73000000001</v>
      </c>
    </row>
    <row r="29" spans="1:6" x14ac:dyDescent="0.25">
      <c r="A29" s="262">
        <v>43735</v>
      </c>
      <c r="B29" s="260" t="s">
        <v>681</v>
      </c>
      <c r="C29" s="249">
        <v>75673.8</v>
      </c>
      <c r="D29" s="259"/>
      <c r="E29" s="249"/>
      <c r="F29" s="79">
        <f t="shared" si="0"/>
        <v>217645.53000000003</v>
      </c>
    </row>
    <row r="30" spans="1:6" x14ac:dyDescent="0.25">
      <c r="A30" s="262">
        <v>43735</v>
      </c>
      <c r="B30" s="260" t="s">
        <v>682</v>
      </c>
      <c r="C30" s="249">
        <v>20183</v>
      </c>
      <c r="D30" s="259">
        <v>43736</v>
      </c>
      <c r="E30" s="249">
        <v>237828.53</v>
      </c>
      <c r="F30" s="79">
        <f t="shared" si="0"/>
        <v>0</v>
      </c>
    </row>
    <row r="31" spans="1:6" x14ac:dyDescent="0.25">
      <c r="A31" s="262">
        <v>43736</v>
      </c>
      <c r="B31" s="260" t="s">
        <v>683</v>
      </c>
      <c r="C31" s="249">
        <v>80073.02</v>
      </c>
      <c r="D31" s="259"/>
      <c r="E31" s="249"/>
      <c r="F31" s="79">
        <f t="shared" si="0"/>
        <v>80073.02</v>
      </c>
    </row>
    <row r="32" spans="1:6" x14ac:dyDescent="0.25">
      <c r="A32" s="262">
        <v>43736</v>
      </c>
      <c r="B32" s="260" t="s">
        <v>684</v>
      </c>
      <c r="C32" s="249">
        <v>20396.7</v>
      </c>
      <c r="D32" s="259"/>
      <c r="E32" s="249"/>
      <c r="F32" s="79">
        <f t="shared" si="0"/>
        <v>100469.72</v>
      </c>
    </row>
    <row r="33" spans="1:6" x14ac:dyDescent="0.25">
      <c r="A33" s="262">
        <v>43737</v>
      </c>
      <c r="B33" s="260" t="s">
        <v>685</v>
      </c>
      <c r="C33" s="249">
        <v>3569.88</v>
      </c>
      <c r="D33" s="259"/>
      <c r="E33" s="249"/>
      <c r="F33" s="79">
        <f t="shared" si="0"/>
        <v>104039.6</v>
      </c>
    </row>
    <row r="34" spans="1:6" x14ac:dyDescent="0.25">
      <c r="A34" s="262">
        <v>43738</v>
      </c>
      <c r="B34" s="260" t="s">
        <v>686</v>
      </c>
      <c r="C34" s="249">
        <v>143481.1</v>
      </c>
      <c r="D34" s="259"/>
      <c r="E34" s="249"/>
      <c r="F34" s="79">
        <f t="shared" si="0"/>
        <v>247520.7</v>
      </c>
    </row>
    <row r="35" spans="1:6" x14ac:dyDescent="0.25">
      <c r="A35" s="262">
        <v>43738</v>
      </c>
      <c r="B35" s="260" t="s">
        <v>687</v>
      </c>
      <c r="C35" s="249">
        <v>31649</v>
      </c>
      <c r="D35" s="259">
        <v>43738</v>
      </c>
      <c r="E35" s="249">
        <v>279169.7</v>
      </c>
      <c r="F35" s="79">
        <f t="shared" si="0"/>
        <v>0</v>
      </c>
    </row>
    <row r="36" spans="1:6" x14ac:dyDescent="0.25">
      <c r="A36" s="262">
        <v>43739</v>
      </c>
      <c r="B36" s="260" t="s">
        <v>688</v>
      </c>
      <c r="C36" s="249">
        <v>66436.600000000006</v>
      </c>
      <c r="D36" s="259">
        <v>43743</v>
      </c>
      <c r="E36" s="249">
        <v>66436.600000000006</v>
      </c>
      <c r="F36" s="79">
        <f t="shared" si="0"/>
        <v>0</v>
      </c>
    </row>
    <row r="37" spans="1:6" x14ac:dyDescent="0.25">
      <c r="A37" s="262"/>
      <c r="B37" s="260"/>
      <c r="C37" s="249"/>
      <c r="D37" s="259"/>
      <c r="E37" s="249"/>
      <c r="F37" s="79">
        <f t="shared" si="0"/>
        <v>0</v>
      </c>
    </row>
    <row r="38" spans="1:6" x14ac:dyDescent="0.25">
      <c r="A38" s="262"/>
      <c r="B38" s="260"/>
      <c r="C38" s="249"/>
      <c r="D38" s="259"/>
      <c r="E38" s="249"/>
      <c r="F38" s="79">
        <f t="shared" si="0"/>
        <v>0</v>
      </c>
    </row>
    <row r="39" spans="1:6" ht="15.75" thickBot="1" x14ac:dyDescent="0.3">
      <c r="A39" s="350"/>
      <c r="B39" s="351"/>
      <c r="C39" s="265"/>
      <c r="D39" s="266"/>
      <c r="E39" s="265"/>
      <c r="F39" s="79">
        <f t="shared" ref="F39" si="1">F38+C39-E39</f>
        <v>0</v>
      </c>
    </row>
    <row r="40" spans="1:6" ht="19.5" thickTop="1" x14ac:dyDescent="0.3">
      <c r="B40" s="25"/>
      <c r="C40" s="4">
        <f>SUM(C3:C39)</f>
        <v>2240711.4000000004</v>
      </c>
      <c r="D40" s="1"/>
      <c r="E40" s="4">
        <f>SUM(E3:E39)</f>
        <v>2240711.4000000004</v>
      </c>
      <c r="F40" s="186">
        <f>F39</f>
        <v>0</v>
      </c>
    </row>
    <row r="41" spans="1:6" x14ac:dyDescent="0.25">
      <c r="B41" s="25"/>
      <c r="C41" s="4"/>
      <c r="D41" s="1"/>
      <c r="E41" s="5"/>
      <c r="F41" s="4"/>
    </row>
    <row r="42" spans="1:6" x14ac:dyDescent="0.25">
      <c r="B42" s="25"/>
      <c r="C42" s="4"/>
      <c r="D42" s="1"/>
      <c r="E42" s="5"/>
      <c r="F42" s="4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</row>
    <row r="71" spans="2:5" x14ac:dyDescent="0.25">
      <c r="B71" s="21"/>
    </row>
    <row r="72" spans="2:5" x14ac:dyDescent="0.25">
      <c r="B72" s="21"/>
      <c r="D72" s="21"/>
    </row>
    <row r="73" spans="2:5" x14ac:dyDescent="0.25">
      <c r="B73" s="21"/>
    </row>
    <row r="74" spans="2:5" x14ac:dyDescent="0.25">
      <c r="B74" s="21"/>
    </row>
    <row r="75" spans="2:5" x14ac:dyDescent="0.25">
      <c r="B75" s="21"/>
    </row>
    <row r="76" spans="2:5" ht="18.75" x14ac:dyDescent="0.3">
      <c r="C76" s="7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334D-81B9-4C40-83D8-79E777457BA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98"/>
  <sheetViews>
    <sheetView workbookViewId="0">
      <selection activeCell="B66" sqref="B6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76">
        <v>43472</v>
      </c>
      <c r="B3" s="77" t="s">
        <v>61</v>
      </c>
      <c r="C3" s="4">
        <v>74880.070000000007</v>
      </c>
      <c r="D3" s="78">
        <v>43474</v>
      </c>
      <c r="E3" s="4">
        <v>41450</v>
      </c>
      <c r="F3" s="79">
        <f>C3-E3</f>
        <v>33430.070000000007</v>
      </c>
      <c r="H3" s="185"/>
    </row>
    <row r="4" spans="1:8" ht="18.75" x14ac:dyDescent="0.3">
      <c r="A4" s="80">
        <v>43473</v>
      </c>
      <c r="B4" s="81" t="s">
        <v>62</v>
      </c>
      <c r="C4" s="4">
        <v>76181.88</v>
      </c>
      <c r="D4" s="78"/>
      <c r="E4" s="4"/>
      <c r="F4" s="79">
        <f>F3+C4-E4</f>
        <v>109611.95000000001</v>
      </c>
      <c r="H4" s="185"/>
    </row>
    <row r="5" spans="1:8" ht="18.75" x14ac:dyDescent="0.3">
      <c r="A5" s="80">
        <v>43474</v>
      </c>
      <c r="B5" s="81" t="s">
        <v>63</v>
      </c>
      <c r="C5" s="4">
        <v>87736</v>
      </c>
      <c r="D5" s="78"/>
      <c r="E5" s="4"/>
      <c r="F5" s="79">
        <f t="shared" ref="F5:F61" si="0">F4+C5-E5</f>
        <v>197347.95</v>
      </c>
      <c r="H5" s="185"/>
    </row>
    <row r="6" spans="1:8" ht="18.75" x14ac:dyDescent="0.3">
      <c r="A6" s="80">
        <v>43474</v>
      </c>
      <c r="B6" s="81" t="s">
        <v>64</v>
      </c>
      <c r="C6" s="4">
        <v>8225</v>
      </c>
      <c r="D6" s="78"/>
      <c r="E6" s="4"/>
      <c r="F6" s="79">
        <f t="shared" si="0"/>
        <v>205572.95</v>
      </c>
      <c r="H6" s="185"/>
    </row>
    <row r="7" spans="1:8" x14ac:dyDescent="0.25">
      <c r="A7" s="80">
        <v>43475</v>
      </c>
      <c r="B7" s="81" t="s">
        <v>65</v>
      </c>
      <c r="C7" s="4">
        <v>4753.8</v>
      </c>
      <c r="D7" s="78"/>
      <c r="E7" s="4"/>
      <c r="F7" s="79">
        <f t="shared" si="0"/>
        <v>210326.75</v>
      </c>
    </row>
    <row r="8" spans="1:8" x14ac:dyDescent="0.25">
      <c r="A8" s="80">
        <v>43475</v>
      </c>
      <c r="B8" s="81" t="s">
        <v>66</v>
      </c>
      <c r="C8" s="4">
        <v>977.5</v>
      </c>
      <c r="D8" s="61"/>
      <c r="E8" s="4"/>
      <c r="F8" s="79">
        <f t="shared" si="0"/>
        <v>211304.25</v>
      </c>
    </row>
    <row r="9" spans="1:8" x14ac:dyDescent="0.25">
      <c r="A9" s="80">
        <v>43475</v>
      </c>
      <c r="B9" s="81" t="s">
        <v>67</v>
      </c>
      <c r="C9" s="4">
        <v>2211</v>
      </c>
      <c r="D9" s="78" t="s">
        <v>26</v>
      </c>
      <c r="E9" s="4"/>
      <c r="F9" s="79">
        <f t="shared" si="0"/>
        <v>213515.25</v>
      </c>
    </row>
    <row r="10" spans="1:8" x14ac:dyDescent="0.25">
      <c r="A10" s="80">
        <v>43476</v>
      </c>
      <c r="B10" s="81" t="s">
        <v>68</v>
      </c>
      <c r="C10" s="4">
        <v>121859.92</v>
      </c>
      <c r="D10" s="78"/>
      <c r="E10" s="4"/>
      <c r="F10" s="79">
        <f t="shared" si="0"/>
        <v>335375.17</v>
      </c>
    </row>
    <row r="11" spans="1:8" x14ac:dyDescent="0.25">
      <c r="A11" s="82">
        <v>43476</v>
      </c>
      <c r="B11" s="81" t="s">
        <v>69</v>
      </c>
      <c r="C11" s="4">
        <v>3515.78</v>
      </c>
      <c r="D11" s="78"/>
      <c r="E11" s="4"/>
      <c r="F11" s="79">
        <f t="shared" si="0"/>
        <v>338890.95</v>
      </c>
    </row>
    <row r="12" spans="1:8" x14ac:dyDescent="0.25">
      <c r="A12" s="80">
        <v>43477</v>
      </c>
      <c r="B12" s="81" t="s">
        <v>71</v>
      </c>
      <c r="C12" s="4">
        <v>122107.42</v>
      </c>
      <c r="D12" s="78"/>
      <c r="E12" s="4"/>
      <c r="F12" s="79">
        <f t="shared" si="0"/>
        <v>460998.37</v>
      </c>
    </row>
    <row r="13" spans="1:8" x14ac:dyDescent="0.25">
      <c r="A13" s="80">
        <v>43477</v>
      </c>
      <c r="B13" s="81" t="s">
        <v>72</v>
      </c>
      <c r="C13" s="4">
        <v>39712.800000000003</v>
      </c>
      <c r="D13" s="78"/>
      <c r="E13" s="4"/>
      <c r="F13" s="79">
        <f t="shared" si="0"/>
        <v>500711.17</v>
      </c>
    </row>
    <row r="14" spans="1:8" x14ac:dyDescent="0.25">
      <c r="A14" s="80">
        <v>43479</v>
      </c>
      <c r="B14" s="81" t="s">
        <v>70</v>
      </c>
      <c r="C14" s="4">
        <v>22201.08</v>
      </c>
      <c r="D14" s="78"/>
      <c r="E14" s="4"/>
      <c r="F14" s="79">
        <f t="shared" si="0"/>
        <v>522912.25</v>
      </c>
    </row>
    <row r="15" spans="1:8" x14ac:dyDescent="0.25">
      <c r="A15" s="80"/>
      <c r="B15" s="81"/>
      <c r="C15" s="4">
        <v>0</v>
      </c>
      <c r="D15" s="78">
        <v>43480</v>
      </c>
      <c r="E15" s="4">
        <v>400000</v>
      </c>
      <c r="F15" s="79">
        <f t="shared" si="0"/>
        <v>122912.25</v>
      </c>
    </row>
    <row r="16" spans="1:8" x14ac:dyDescent="0.25">
      <c r="A16" s="80">
        <v>43481</v>
      </c>
      <c r="B16" s="81" t="s">
        <v>73</v>
      </c>
      <c r="C16" s="4">
        <v>93505.96</v>
      </c>
      <c r="D16" s="78"/>
      <c r="E16" s="4"/>
      <c r="F16" s="79">
        <f t="shared" si="0"/>
        <v>216418.21000000002</v>
      </c>
    </row>
    <row r="17" spans="1:6" x14ac:dyDescent="0.25">
      <c r="A17" s="80">
        <v>43482</v>
      </c>
      <c r="B17" s="81" t="s">
        <v>74</v>
      </c>
      <c r="C17" s="4">
        <v>108430.77</v>
      </c>
      <c r="D17" s="78"/>
      <c r="E17" s="4"/>
      <c r="F17" s="79">
        <f t="shared" si="0"/>
        <v>324848.98000000004</v>
      </c>
    </row>
    <row r="18" spans="1:6" x14ac:dyDescent="0.25">
      <c r="A18" s="80">
        <v>43483</v>
      </c>
      <c r="B18" s="81" t="s">
        <v>75</v>
      </c>
      <c r="C18" s="4">
        <v>82636.800000000003</v>
      </c>
      <c r="D18" s="78"/>
      <c r="E18" s="4"/>
      <c r="F18" s="79">
        <f t="shared" si="0"/>
        <v>407485.78</v>
      </c>
    </row>
    <row r="19" spans="1:6" x14ac:dyDescent="0.25">
      <c r="A19" s="80">
        <v>43483</v>
      </c>
      <c r="B19" s="81" t="s">
        <v>76</v>
      </c>
      <c r="C19" s="4">
        <v>1041.5</v>
      </c>
      <c r="D19" s="78"/>
      <c r="E19" s="4"/>
      <c r="F19" s="79">
        <f t="shared" si="0"/>
        <v>408527.28</v>
      </c>
    </row>
    <row r="20" spans="1:6" x14ac:dyDescent="0.25">
      <c r="A20" s="80">
        <v>43483</v>
      </c>
      <c r="B20" s="81" t="s">
        <v>77</v>
      </c>
      <c r="C20" s="4">
        <v>36795.4</v>
      </c>
      <c r="D20" s="61"/>
      <c r="E20" s="4"/>
      <c r="F20" s="79">
        <f t="shared" si="0"/>
        <v>445322.68000000005</v>
      </c>
    </row>
    <row r="21" spans="1:6" x14ac:dyDescent="0.25">
      <c r="A21" s="80"/>
      <c r="B21" s="81"/>
      <c r="C21" s="4">
        <v>0</v>
      </c>
      <c r="D21" s="78">
        <v>43483</v>
      </c>
      <c r="E21" s="4">
        <v>180000</v>
      </c>
      <c r="F21" s="79">
        <f t="shared" si="0"/>
        <v>265322.68000000005</v>
      </c>
    </row>
    <row r="22" spans="1:6" x14ac:dyDescent="0.25">
      <c r="A22" s="80">
        <v>43484</v>
      </c>
      <c r="B22" s="81" t="s">
        <v>78</v>
      </c>
      <c r="C22" s="4">
        <v>105267.2</v>
      </c>
      <c r="D22" s="78"/>
      <c r="E22" s="4"/>
      <c r="F22" s="79">
        <f t="shared" si="0"/>
        <v>370589.88000000006</v>
      </c>
    </row>
    <row r="23" spans="1:6" x14ac:dyDescent="0.25">
      <c r="A23" s="80">
        <v>43484</v>
      </c>
      <c r="B23" s="81" t="s">
        <v>79</v>
      </c>
      <c r="C23" s="4">
        <v>3775.5</v>
      </c>
      <c r="D23" s="78"/>
      <c r="E23" s="4"/>
      <c r="F23" s="79">
        <f t="shared" si="0"/>
        <v>374365.38000000006</v>
      </c>
    </row>
    <row r="24" spans="1:6" x14ac:dyDescent="0.25">
      <c r="A24" s="80">
        <v>43485</v>
      </c>
      <c r="B24" s="81" t="s">
        <v>80</v>
      </c>
      <c r="C24" s="4">
        <v>1800</v>
      </c>
      <c r="D24" s="78"/>
      <c r="E24" s="4"/>
      <c r="F24" s="79">
        <f t="shared" si="0"/>
        <v>376165.38000000006</v>
      </c>
    </row>
    <row r="25" spans="1:6" x14ac:dyDescent="0.25">
      <c r="A25" s="80">
        <v>43486</v>
      </c>
      <c r="B25" s="81" t="s">
        <v>81</v>
      </c>
      <c r="C25" s="4">
        <v>61776.28</v>
      </c>
      <c r="D25" s="78"/>
      <c r="E25" s="4"/>
      <c r="F25" s="79">
        <f t="shared" si="0"/>
        <v>437941.66000000003</v>
      </c>
    </row>
    <row r="26" spans="1:6" x14ac:dyDescent="0.25">
      <c r="A26" s="82">
        <v>43487</v>
      </c>
      <c r="B26" s="81" t="s">
        <v>82</v>
      </c>
      <c r="C26" s="4">
        <v>9904.6</v>
      </c>
      <c r="D26" s="78"/>
      <c r="E26" s="4"/>
      <c r="F26" s="79">
        <f t="shared" si="0"/>
        <v>447846.26</v>
      </c>
    </row>
    <row r="27" spans="1:6" x14ac:dyDescent="0.25">
      <c r="A27" s="83">
        <v>43488</v>
      </c>
      <c r="B27" s="84" t="s">
        <v>83</v>
      </c>
      <c r="C27" s="4">
        <v>4640.4799999999996</v>
      </c>
      <c r="D27" s="78"/>
      <c r="E27" s="4"/>
      <c r="F27" s="79">
        <f t="shared" si="0"/>
        <v>452486.74</v>
      </c>
    </row>
    <row r="28" spans="1:6" x14ac:dyDescent="0.25">
      <c r="A28" s="83">
        <v>43488</v>
      </c>
      <c r="B28" s="84" t="s">
        <v>85</v>
      </c>
      <c r="C28" s="4">
        <v>91850.559999999998</v>
      </c>
      <c r="D28" s="78"/>
      <c r="E28" s="4"/>
      <c r="F28" s="79">
        <f t="shared" si="0"/>
        <v>544337.30000000005</v>
      </c>
    </row>
    <row r="29" spans="1:6" x14ac:dyDescent="0.25">
      <c r="A29" s="83">
        <v>43489</v>
      </c>
      <c r="B29" s="84" t="s">
        <v>84</v>
      </c>
      <c r="C29" s="4">
        <v>82432.240000000005</v>
      </c>
      <c r="D29" s="78"/>
      <c r="E29" s="4"/>
      <c r="F29" s="79">
        <f t="shared" si="0"/>
        <v>626769.54</v>
      </c>
    </row>
    <row r="30" spans="1:6" x14ac:dyDescent="0.25">
      <c r="A30" s="83"/>
      <c r="B30" s="84"/>
      <c r="C30" s="4">
        <v>0</v>
      </c>
      <c r="D30" s="78">
        <v>43489</v>
      </c>
      <c r="E30" s="4">
        <v>530000</v>
      </c>
      <c r="F30" s="79">
        <f t="shared" si="0"/>
        <v>96769.540000000037</v>
      </c>
    </row>
    <row r="31" spans="1:6" x14ac:dyDescent="0.25">
      <c r="A31" s="83">
        <v>43490</v>
      </c>
      <c r="B31" s="84" t="s">
        <v>86</v>
      </c>
      <c r="C31" s="4">
        <v>100346.74</v>
      </c>
      <c r="D31" s="78"/>
      <c r="E31" s="4"/>
      <c r="F31" s="79">
        <f t="shared" si="0"/>
        <v>197116.28000000003</v>
      </c>
    </row>
    <row r="32" spans="1:6" x14ac:dyDescent="0.25">
      <c r="A32" s="83">
        <v>43491</v>
      </c>
      <c r="B32" s="84" t="s">
        <v>87</v>
      </c>
      <c r="C32" s="4">
        <v>70497.06</v>
      </c>
      <c r="D32" s="78"/>
      <c r="E32" s="4"/>
      <c r="F32" s="79">
        <f t="shared" si="0"/>
        <v>267613.34000000003</v>
      </c>
    </row>
    <row r="33" spans="1:6" x14ac:dyDescent="0.25">
      <c r="A33" s="83">
        <v>43491</v>
      </c>
      <c r="B33" s="84" t="s">
        <v>88</v>
      </c>
      <c r="C33" s="4">
        <v>526.29999999999995</v>
      </c>
      <c r="D33" s="78"/>
      <c r="E33" s="4"/>
      <c r="F33" s="79">
        <f t="shared" si="0"/>
        <v>268139.64</v>
      </c>
    </row>
    <row r="34" spans="1:6" x14ac:dyDescent="0.25">
      <c r="A34" s="83">
        <v>43492</v>
      </c>
      <c r="B34" s="84" t="s">
        <v>89</v>
      </c>
      <c r="C34" s="4">
        <v>1346.4</v>
      </c>
      <c r="D34" s="78"/>
      <c r="E34" s="4"/>
      <c r="F34" s="79">
        <f t="shared" si="0"/>
        <v>269486.04000000004</v>
      </c>
    </row>
    <row r="35" spans="1:6" x14ac:dyDescent="0.25">
      <c r="A35" s="83">
        <v>43492</v>
      </c>
      <c r="B35" s="84" t="s">
        <v>90</v>
      </c>
      <c r="C35" s="4">
        <v>632.58000000000004</v>
      </c>
      <c r="D35" s="78"/>
      <c r="E35" s="4"/>
      <c r="F35" s="79">
        <f t="shared" si="0"/>
        <v>270118.62000000005</v>
      </c>
    </row>
    <row r="36" spans="1:6" x14ac:dyDescent="0.25">
      <c r="A36" s="83">
        <v>43493</v>
      </c>
      <c r="B36" s="84" t="s">
        <v>91</v>
      </c>
      <c r="C36" s="4">
        <v>71906.16</v>
      </c>
      <c r="D36" s="78"/>
      <c r="E36" s="4"/>
      <c r="F36" s="79">
        <f t="shared" si="0"/>
        <v>342024.78</v>
      </c>
    </row>
    <row r="37" spans="1:6" x14ac:dyDescent="0.25">
      <c r="A37" s="83">
        <v>43494</v>
      </c>
      <c r="B37" s="84" t="s">
        <v>92</v>
      </c>
      <c r="C37" s="4">
        <v>54696.6</v>
      </c>
      <c r="D37" s="78"/>
      <c r="E37" s="4"/>
      <c r="F37" s="79">
        <f t="shared" si="0"/>
        <v>396721.38</v>
      </c>
    </row>
    <row r="38" spans="1:6" x14ac:dyDescent="0.25">
      <c r="A38" s="83">
        <v>43495</v>
      </c>
      <c r="B38" s="84" t="s">
        <v>93</v>
      </c>
      <c r="C38" s="4">
        <v>22432.799999999999</v>
      </c>
      <c r="D38" s="78"/>
      <c r="E38" s="4"/>
      <c r="F38" s="79">
        <f t="shared" si="0"/>
        <v>419154.18</v>
      </c>
    </row>
    <row r="39" spans="1:6" x14ac:dyDescent="0.25">
      <c r="A39" s="83">
        <v>43496</v>
      </c>
      <c r="B39" s="84" t="s">
        <v>94</v>
      </c>
      <c r="C39" s="4">
        <v>40826.28</v>
      </c>
      <c r="D39" s="78"/>
      <c r="E39" s="4"/>
      <c r="F39" s="79">
        <f t="shared" si="0"/>
        <v>459980.45999999996</v>
      </c>
    </row>
    <row r="40" spans="1:6" x14ac:dyDescent="0.25">
      <c r="A40" s="83"/>
      <c r="B40" s="84"/>
      <c r="C40" s="4"/>
      <c r="D40" s="78">
        <v>43496</v>
      </c>
      <c r="E40" s="4">
        <v>400000</v>
      </c>
      <c r="F40" s="79">
        <f t="shared" si="0"/>
        <v>59980.459999999963</v>
      </c>
    </row>
    <row r="41" spans="1:6" x14ac:dyDescent="0.25">
      <c r="A41" s="83"/>
      <c r="B41" s="84"/>
      <c r="C41" s="4"/>
      <c r="D41" s="78"/>
      <c r="E41" s="4"/>
      <c r="F41" s="79">
        <f t="shared" si="0"/>
        <v>59980.459999999963</v>
      </c>
    </row>
    <row r="42" spans="1:6" x14ac:dyDescent="0.25">
      <c r="A42" s="83">
        <v>43497</v>
      </c>
      <c r="B42" s="84" t="s">
        <v>111</v>
      </c>
      <c r="C42" s="4">
        <v>36004.239999999998</v>
      </c>
      <c r="D42" s="78"/>
      <c r="E42" s="4"/>
      <c r="F42" s="79">
        <f t="shared" si="0"/>
        <v>95984.699999999953</v>
      </c>
    </row>
    <row r="43" spans="1:6" x14ac:dyDescent="0.25">
      <c r="A43" s="83">
        <v>43497</v>
      </c>
      <c r="B43" s="84" t="s">
        <v>112</v>
      </c>
      <c r="C43" s="4">
        <v>32281.599999999999</v>
      </c>
      <c r="D43" s="78"/>
      <c r="E43" s="4"/>
      <c r="F43" s="79">
        <f t="shared" si="0"/>
        <v>128266.29999999996</v>
      </c>
    </row>
    <row r="44" spans="1:6" x14ac:dyDescent="0.25">
      <c r="A44" s="83">
        <v>43498</v>
      </c>
      <c r="B44" s="84" t="s">
        <v>113</v>
      </c>
      <c r="C44" s="4">
        <v>148450.07999999999</v>
      </c>
      <c r="D44" s="78"/>
      <c r="E44" s="4"/>
      <c r="F44" s="79">
        <f t="shared" si="0"/>
        <v>276716.37999999995</v>
      </c>
    </row>
    <row r="45" spans="1:6" x14ac:dyDescent="0.25">
      <c r="A45" s="83">
        <v>43500</v>
      </c>
      <c r="B45" s="84" t="s">
        <v>115</v>
      </c>
      <c r="C45" s="4">
        <v>58691.16</v>
      </c>
      <c r="D45" s="78"/>
      <c r="E45" s="4"/>
      <c r="F45" s="79">
        <f t="shared" si="0"/>
        <v>335407.53999999992</v>
      </c>
    </row>
    <row r="46" spans="1:6" x14ac:dyDescent="0.25">
      <c r="A46" s="83">
        <v>43500</v>
      </c>
      <c r="B46" s="84" t="s">
        <v>116</v>
      </c>
      <c r="C46" s="4">
        <v>5799.5</v>
      </c>
      <c r="D46" s="78"/>
      <c r="E46" s="4"/>
      <c r="F46" s="79">
        <f t="shared" si="0"/>
        <v>341207.03999999992</v>
      </c>
    </row>
    <row r="47" spans="1:6" x14ac:dyDescent="0.25">
      <c r="A47" s="83">
        <v>43501</v>
      </c>
      <c r="B47" s="84" t="s">
        <v>117</v>
      </c>
      <c r="C47" s="4">
        <v>77513.8</v>
      </c>
      <c r="D47" s="78"/>
      <c r="E47" s="4"/>
      <c r="F47" s="79">
        <f t="shared" si="0"/>
        <v>418720.83999999991</v>
      </c>
    </row>
    <row r="48" spans="1:6" x14ac:dyDescent="0.25">
      <c r="A48" s="83"/>
      <c r="B48" s="84"/>
      <c r="C48" s="4"/>
      <c r="D48" s="78">
        <v>43501</v>
      </c>
      <c r="E48" s="4">
        <v>153000</v>
      </c>
      <c r="F48" s="79">
        <f t="shared" si="0"/>
        <v>265720.83999999991</v>
      </c>
    </row>
    <row r="49" spans="1:6" x14ac:dyDescent="0.25">
      <c r="A49" s="83"/>
      <c r="B49" s="84"/>
      <c r="C49" s="4"/>
      <c r="D49" s="78">
        <v>43501</v>
      </c>
      <c r="E49" s="4">
        <v>123716.38</v>
      </c>
      <c r="F49" s="79">
        <f t="shared" si="0"/>
        <v>142004.4599999999</v>
      </c>
    </row>
    <row r="50" spans="1:6" x14ac:dyDescent="0.25">
      <c r="A50" s="83">
        <v>43502</v>
      </c>
      <c r="B50" s="84" t="s">
        <v>118</v>
      </c>
      <c r="C50" s="4">
        <v>5175</v>
      </c>
      <c r="D50" s="78"/>
      <c r="E50" s="4"/>
      <c r="F50" s="79">
        <f t="shared" si="0"/>
        <v>147179.4599999999</v>
      </c>
    </row>
    <row r="51" spans="1:6" x14ac:dyDescent="0.25">
      <c r="A51" s="83"/>
      <c r="B51" s="84"/>
      <c r="C51" s="4"/>
      <c r="D51" s="78">
        <v>43503</v>
      </c>
      <c r="E51" s="4">
        <v>147179.46</v>
      </c>
      <c r="F51" s="79">
        <f t="shared" si="0"/>
        <v>0</v>
      </c>
    </row>
    <row r="52" spans="1:6" x14ac:dyDescent="0.25">
      <c r="A52" s="83">
        <v>43502</v>
      </c>
      <c r="B52" s="84" t="s">
        <v>119</v>
      </c>
      <c r="C52" s="4">
        <v>39879.550000000003</v>
      </c>
      <c r="D52" s="78"/>
      <c r="E52" s="4"/>
      <c r="F52" s="79">
        <f t="shared" si="0"/>
        <v>39879.550000000003</v>
      </c>
    </row>
    <row r="53" spans="1:6" x14ac:dyDescent="0.25">
      <c r="A53" s="83">
        <v>43472</v>
      </c>
      <c r="B53" s="84" t="s">
        <v>120</v>
      </c>
      <c r="C53" s="4">
        <v>1293</v>
      </c>
      <c r="D53" s="78"/>
      <c r="E53" s="4"/>
      <c r="F53" s="79">
        <f t="shared" si="0"/>
        <v>41172.550000000003</v>
      </c>
    </row>
    <row r="54" spans="1:6" x14ac:dyDescent="0.25">
      <c r="A54" s="83">
        <v>43504</v>
      </c>
      <c r="B54" s="84" t="s">
        <v>121</v>
      </c>
      <c r="C54" s="4">
        <v>2620</v>
      </c>
      <c r="D54" s="78"/>
      <c r="E54" s="4"/>
      <c r="F54" s="79">
        <f t="shared" si="0"/>
        <v>43792.55</v>
      </c>
    </row>
    <row r="55" spans="1:6" x14ac:dyDescent="0.25">
      <c r="A55" s="83">
        <v>43504</v>
      </c>
      <c r="B55" s="84" t="s">
        <v>122</v>
      </c>
      <c r="C55" s="4">
        <v>91630.48</v>
      </c>
      <c r="D55" s="78"/>
      <c r="E55" s="4"/>
      <c r="F55" s="79">
        <f t="shared" si="0"/>
        <v>135423.03</v>
      </c>
    </row>
    <row r="56" spans="1:6" x14ac:dyDescent="0.25">
      <c r="A56" s="83">
        <v>43504</v>
      </c>
      <c r="B56" s="84" t="s">
        <v>123</v>
      </c>
      <c r="C56" s="4">
        <v>23037.8</v>
      </c>
      <c r="D56" s="78"/>
      <c r="E56" s="4"/>
      <c r="F56" s="79">
        <f t="shared" si="0"/>
        <v>158460.82999999999</v>
      </c>
    </row>
    <row r="57" spans="1:6" x14ac:dyDescent="0.25">
      <c r="A57" s="83">
        <v>43505</v>
      </c>
      <c r="B57" s="84" t="s">
        <v>124</v>
      </c>
      <c r="C57" s="4">
        <v>62641.48</v>
      </c>
      <c r="D57" s="78"/>
      <c r="E57" s="4"/>
      <c r="F57" s="79">
        <f t="shared" si="0"/>
        <v>221102.31</v>
      </c>
    </row>
    <row r="58" spans="1:6" x14ac:dyDescent="0.25">
      <c r="A58" s="83">
        <v>43507</v>
      </c>
      <c r="B58" s="84" t="s">
        <v>125</v>
      </c>
      <c r="C58" s="4">
        <v>82752.759999999995</v>
      </c>
      <c r="D58" s="78"/>
      <c r="E58" s="4"/>
      <c r="F58" s="79">
        <f t="shared" si="0"/>
        <v>303855.07</v>
      </c>
    </row>
    <row r="59" spans="1:6" x14ac:dyDescent="0.25">
      <c r="A59" s="83"/>
      <c r="B59" s="84"/>
      <c r="C59" s="4"/>
      <c r="D59" s="78">
        <v>43509</v>
      </c>
      <c r="E59" s="4">
        <v>303855.07</v>
      </c>
      <c r="F59" s="79">
        <f t="shared" si="0"/>
        <v>0</v>
      </c>
    </row>
    <row r="60" spans="1:6" x14ac:dyDescent="0.25">
      <c r="A60" s="83"/>
      <c r="B60" s="84"/>
      <c r="C60" s="4"/>
      <c r="D60" s="78"/>
      <c r="E60" s="4"/>
      <c r="F60" s="79">
        <f t="shared" si="0"/>
        <v>0</v>
      </c>
    </row>
    <row r="61" spans="1:6" ht="15.75" thickBot="1" x14ac:dyDescent="0.3">
      <c r="A61" s="85"/>
      <c r="B61" s="86"/>
      <c r="C61" s="66"/>
      <c r="D61" s="87"/>
      <c r="E61" s="66"/>
      <c r="F61" s="79">
        <f t="shared" si="0"/>
        <v>0</v>
      </c>
    </row>
    <row r="62" spans="1:6" ht="19.5" thickTop="1" x14ac:dyDescent="0.3">
      <c r="B62" s="25"/>
      <c r="C62" s="4">
        <f>SUM(C3:C61)</f>
        <v>2279200.91</v>
      </c>
      <c r="D62" s="1"/>
      <c r="E62" s="5">
        <f>SUM(E3:E61)</f>
        <v>2279200.9099999997</v>
      </c>
      <c r="F62" s="186">
        <f>F61</f>
        <v>0</v>
      </c>
    </row>
    <row r="63" spans="1:6" x14ac:dyDescent="0.25">
      <c r="B63" s="25"/>
      <c r="C63" s="4"/>
      <c r="D63" s="1"/>
      <c r="E63" s="5"/>
      <c r="F63" s="4"/>
    </row>
    <row r="64" spans="1:6" x14ac:dyDescent="0.25">
      <c r="B64" s="25"/>
      <c r="C64" s="4"/>
      <c r="D64" s="1"/>
      <c r="E64" s="5"/>
      <c r="F64" s="4"/>
    </row>
    <row r="65" spans="1:6" x14ac:dyDescent="0.25">
      <c r="A65"/>
      <c r="B65" s="21"/>
      <c r="D65" s="21"/>
    </row>
    <row r="66" spans="1:6" x14ac:dyDescent="0.25">
      <c r="A66"/>
      <c r="B66" s="21"/>
      <c r="D66" s="21"/>
    </row>
    <row r="67" spans="1:6" x14ac:dyDescent="0.25">
      <c r="A67"/>
      <c r="B67" s="21"/>
      <c r="D67" s="21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F73"/>
    </row>
    <row r="74" spans="1:6" x14ac:dyDescent="0.25">
      <c r="A74"/>
      <c r="B74" s="21"/>
      <c r="D74" s="21"/>
      <c r="F74"/>
    </row>
    <row r="75" spans="1:6" x14ac:dyDescent="0.25">
      <c r="A75"/>
      <c r="B75" s="21"/>
      <c r="D75" s="21"/>
      <c r="F75"/>
    </row>
    <row r="76" spans="1:6" x14ac:dyDescent="0.25">
      <c r="A76"/>
      <c r="B76" s="21"/>
      <c r="D76" s="21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A79"/>
      <c r="B79" s="21"/>
      <c r="D79" s="21"/>
      <c r="E79"/>
      <c r="F79"/>
    </row>
    <row r="80" spans="1:6" x14ac:dyDescent="0.25">
      <c r="A80"/>
      <c r="B80" s="21"/>
      <c r="D80" s="21"/>
      <c r="E80"/>
      <c r="F80"/>
    </row>
    <row r="81" spans="1:6" x14ac:dyDescent="0.25">
      <c r="A81"/>
      <c r="B81" s="21"/>
      <c r="D81" s="21"/>
      <c r="E81"/>
      <c r="F81"/>
    </row>
    <row r="82" spans="1:6" x14ac:dyDescent="0.25">
      <c r="A82"/>
      <c r="B82" s="21"/>
      <c r="D82" s="21"/>
      <c r="E82"/>
      <c r="F82"/>
    </row>
    <row r="83" spans="1:6" x14ac:dyDescent="0.25">
      <c r="B83" s="21"/>
      <c r="D83" s="21"/>
      <c r="E83"/>
    </row>
    <row r="84" spans="1:6" x14ac:dyDescent="0.25">
      <c r="B84" s="21"/>
      <c r="D84" s="21"/>
      <c r="E84"/>
    </row>
    <row r="85" spans="1:6" x14ac:dyDescent="0.25">
      <c r="B85" s="21"/>
      <c r="D85" s="21"/>
      <c r="E85"/>
    </row>
    <row r="86" spans="1:6" x14ac:dyDescent="0.25">
      <c r="B86" s="21"/>
      <c r="D86" s="21"/>
      <c r="E86"/>
    </row>
    <row r="87" spans="1:6" x14ac:dyDescent="0.25">
      <c r="B87" s="21"/>
      <c r="D87" s="21"/>
      <c r="E87"/>
    </row>
    <row r="88" spans="1:6" x14ac:dyDescent="0.25">
      <c r="B88" s="21"/>
      <c r="D88" s="21"/>
      <c r="E88"/>
    </row>
    <row r="89" spans="1:6" x14ac:dyDescent="0.25">
      <c r="B89" s="21"/>
      <c r="D89" s="21"/>
      <c r="E89"/>
    </row>
    <row r="90" spans="1:6" x14ac:dyDescent="0.25">
      <c r="B90" s="21"/>
      <c r="D90" s="21"/>
      <c r="E90"/>
    </row>
    <row r="91" spans="1:6" x14ac:dyDescent="0.25">
      <c r="B91" s="21"/>
      <c r="D91" s="21"/>
      <c r="E91"/>
    </row>
    <row r="92" spans="1:6" x14ac:dyDescent="0.25">
      <c r="B92" s="21"/>
    </row>
    <row r="93" spans="1:6" x14ac:dyDescent="0.25">
      <c r="B93" s="21"/>
    </row>
    <row r="94" spans="1:6" x14ac:dyDescent="0.25">
      <c r="B94" s="21"/>
      <c r="D94" s="21"/>
    </row>
    <row r="95" spans="1:6" x14ac:dyDescent="0.25">
      <c r="B95" s="21"/>
    </row>
    <row r="96" spans="1:6" x14ac:dyDescent="0.25">
      <c r="B96" s="21"/>
    </row>
    <row r="97" spans="2:3" x14ac:dyDescent="0.25">
      <c r="B97" s="21"/>
    </row>
    <row r="98" spans="2:3" ht="18.75" x14ac:dyDescent="0.3">
      <c r="C98" s="74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8A83-BA2B-4C9C-A89C-89EF86D04FB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79C1-E034-4DA1-9287-1258009CAC85}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3300"/>
  </sheetPr>
  <dimension ref="A39:F65"/>
  <sheetViews>
    <sheetView topLeftCell="A25" workbookViewId="0">
      <selection activeCell="F46" sqref="F46"/>
    </sheetView>
  </sheetViews>
  <sheetFormatPr baseColWidth="10" defaultRowHeight="15" x14ac:dyDescent="0.25"/>
  <sheetData>
    <row r="39" spans="1:6" ht="15.75" x14ac:dyDescent="0.25">
      <c r="A39" s="228"/>
      <c r="B39" s="326" t="s">
        <v>398</v>
      </c>
      <c r="C39" s="4"/>
      <c r="D39" s="4"/>
      <c r="E39" s="25"/>
      <c r="F39" s="4"/>
    </row>
    <row r="40" spans="1:6" x14ac:dyDescent="0.25">
      <c r="A40" s="327">
        <v>43737</v>
      </c>
      <c r="B40" s="102" t="s">
        <v>641</v>
      </c>
      <c r="C40" s="104">
        <v>613.36</v>
      </c>
      <c r="D40" s="328" t="s">
        <v>397</v>
      </c>
      <c r="E40" s="329" t="s">
        <v>642</v>
      </c>
      <c r="F40" s="104">
        <v>569</v>
      </c>
    </row>
    <row r="41" spans="1:6" x14ac:dyDescent="0.25">
      <c r="A41" s="327">
        <v>43737</v>
      </c>
      <c r="B41" s="102" t="s">
        <v>643</v>
      </c>
      <c r="C41" s="104">
        <v>328</v>
      </c>
      <c r="D41" s="328" t="s">
        <v>397</v>
      </c>
      <c r="E41" s="329" t="s">
        <v>644</v>
      </c>
      <c r="F41" s="104">
        <v>184</v>
      </c>
    </row>
    <row r="42" spans="1:6" x14ac:dyDescent="0.25">
      <c r="A42" s="327">
        <v>43737</v>
      </c>
      <c r="B42" s="102" t="s">
        <v>645</v>
      </c>
      <c r="C42" s="104">
        <v>537.54</v>
      </c>
      <c r="D42" s="328" t="s">
        <v>397</v>
      </c>
      <c r="E42" s="329" t="s">
        <v>646</v>
      </c>
      <c r="F42" s="104">
        <v>520</v>
      </c>
    </row>
    <row r="43" spans="1:6" x14ac:dyDescent="0.25">
      <c r="A43" s="327">
        <v>43737</v>
      </c>
      <c r="B43" s="102" t="s">
        <v>647</v>
      </c>
      <c r="C43" s="104">
        <v>80.34</v>
      </c>
      <c r="D43" s="328" t="s">
        <v>397</v>
      </c>
      <c r="E43" s="329" t="s">
        <v>648</v>
      </c>
      <c r="F43" s="104">
        <v>74.16</v>
      </c>
    </row>
    <row r="44" spans="1:6" x14ac:dyDescent="0.25">
      <c r="A44" s="327">
        <v>43737</v>
      </c>
      <c r="B44" s="102" t="s">
        <v>649</v>
      </c>
      <c r="C44" s="104">
        <v>91.8</v>
      </c>
      <c r="D44" s="328" t="s">
        <v>397</v>
      </c>
      <c r="E44" s="329" t="s">
        <v>650</v>
      </c>
      <c r="F44" s="104">
        <v>79.2</v>
      </c>
    </row>
    <row r="45" spans="1:6" x14ac:dyDescent="0.25">
      <c r="A45" s="327">
        <v>43737</v>
      </c>
      <c r="B45" s="102" t="s">
        <v>651</v>
      </c>
      <c r="C45" s="104">
        <v>914.52</v>
      </c>
      <c r="D45" s="328" t="s">
        <v>397</v>
      </c>
      <c r="E45" s="329" t="s">
        <v>652</v>
      </c>
      <c r="F45" s="104">
        <v>168</v>
      </c>
    </row>
    <row r="46" spans="1:6" x14ac:dyDescent="0.25">
      <c r="A46" s="228"/>
      <c r="B46" s="25" t="s">
        <v>7</v>
      </c>
      <c r="C46" s="4"/>
      <c r="D46" s="57"/>
      <c r="E46" s="33"/>
      <c r="F46" s="4"/>
    </row>
    <row r="65" spans="1:1" x14ac:dyDescent="0.25">
      <c r="A65">
        <v>-9</v>
      </c>
    </row>
  </sheetData>
  <phoneticPr fontId="3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N25"/>
  <sheetViews>
    <sheetView topLeftCell="A4" workbookViewId="0">
      <selection activeCell="D16" sqref="D16"/>
    </sheetView>
  </sheetViews>
  <sheetFormatPr baseColWidth="10" defaultRowHeight="15.75" x14ac:dyDescent="0.25"/>
  <cols>
    <col min="2" max="2" width="11.42578125" style="168"/>
    <col min="3" max="3" width="14.42578125" bestFit="1" customWidth="1"/>
    <col min="6" max="6" width="14.42578125" style="5" bestFit="1" customWidth="1"/>
    <col min="9" max="9" width="11.42578125" style="168"/>
    <col min="10" max="10" width="14.42578125" bestFit="1" customWidth="1"/>
    <col min="13" max="13" width="14.42578125" style="5" bestFit="1" customWidth="1"/>
  </cols>
  <sheetData>
    <row r="2" spans="2:14" ht="19.5" thickBot="1" x14ac:dyDescent="0.35">
      <c r="C2" s="427" t="s">
        <v>108</v>
      </c>
      <c r="D2" s="427"/>
      <c r="E2" s="427"/>
      <c r="J2" s="427" t="s">
        <v>108</v>
      </c>
      <c r="K2" s="427"/>
      <c r="L2" s="427"/>
    </row>
    <row r="3" spans="2:14" ht="38.25" customHeight="1" thickBot="1" x14ac:dyDescent="0.35">
      <c r="B3" s="428" t="s">
        <v>109</v>
      </c>
      <c r="C3" s="429"/>
      <c r="D3" s="430"/>
      <c r="E3" s="431" t="s">
        <v>110</v>
      </c>
      <c r="F3" s="432"/>
      <c r="I3" s="428" t="s">
        <v>140</v>
      </c>
      <c r="J3" s="429"/>
      <c r="K3" s="430"/>
      <c r="L3" s="431" t="s">
        <v>110</v>
      </c>
      <c r="M3" s="432"/>
    </row>
    <row r="4" spans="2:14" ht="17.25" thickTop="1" thickBot="1" x14ac:dyDescent="0.3">
      <c r="B4" s="171">
        <v>43414</v>
      </c>
      <c r="C4" s="172">
        <f>-8853</f>
        <v>-8853</v>
      </c>
      <c r="D4" s="173" t="s">
        <v>49</v>
      </c>
      <c r="E4" s="191"/>
      <c r="F4" s="192"/>
      <c r="I4" s="171">
        <v>43477</v>
      </c>
      <c r="J4" s="203">
        <v>3000</v>
      </c>
      <c r="K4" s="204" t="s">
        <v>141</v>
      </c>
      <c r="L4" s="191"/>
      <c r="M4" s="192"/>
    </row>
    <row r="5" spans="2:14" ht="19.5" thickBot="1" x14ac:dyDescent="0.35">
      <c r="B5" s="169">
        <v>43464</v>
      </c>
      <c r="C5" s="288">
        <v>-1000</v>
      </c>
      <c r="D5" s="174" t="s">
        <v>107</v>
      </c>
      <c r="E5" s="193"/>
      <c r="F5" s="194" t="s">
        <v>127</v>
      </c>
      <c r="I5" s="169"/>
      <c r="J5" s="104"/>
      <c r="K5" s="174"/>
      <c r="L5" s="193"/>
      <c r="M5" s="194" t="s">
        <v>127</v>
      </c>
    </row>
    <row r="6" spans="2:14" ht="18.75" x14ac:dyDescent="0.3">
      <c r="B6" s="169" t="s">
        <v>13</v>
      </c>
      <c r="C6" s="170">
        <f>SUM(C4:C5)</f>
        <v>-9853</v>
      </c>
      <c r="D6" s="175"/>
      <c r="F6" s="110">
        <f>C6</f>
        <v>-9853</v>
      </c>
      <c r="I6" s="169" t="s">
        <v>13</v>
      </c>
      <c r="J6" s="170">
        <f>SUM(J4:J5)</f>
        <v>3000</v>
      </c>
      <c r="K6" s="175"/>
      <c r="M6" s="110">
        <f>J6</f>
        <v>3000</v>
      </c>
    </row>
    <row r="7" spans="2:14" ht="18.75" x14ac:dyDescent="0.3">
      <c r="B7" s="169"/>
      <c r="C7" s="127"/>
      <c r="D7" s="289">
        <v>43501</v>
      </c>
      <c r="E7" s="190">
        <v>500</v>
      </c>
      <c r="F7" s="190">
        <f>F6+E7</f>
        <v>-9353</v>
      </c>
      <c r="G7" s="178">
        <v>1</v>
      </c>
      <c r="I7" s="169"/>
      <c r="J7" s="127"/>
      <c r="K7" s="199">
        <v>43528</v>
      </c>
      <c r="L7" s="190">
        <v>600</v>
      </c>
      <c r="M7" s="190">
        <f>M6-L7</f>
        <v>2400</v>
      </c>
      <c r="N7" s="178">
        <v>1</v>
      </c>
    </row>
    <row r="8" spans="2:14" ht="18.75" x14ac:dyDescent="0.3">
      <c r="B8" s="169"/>
      <c r="C8" s="127"/>
      <c r="D8" s="289">
        <v>43507</v>
      </c>
      <c r="E8" s="137">
        <v>500</v>
      </c>
      <c r="F8" s="190">
        <f>F7+E8</f>
        <v>-8853</v>
      </c>
      <c r="G8" s="178">
        <v>2</v>
      </c>
      <c r="I8" s="169"/>
      <c r="J8" s="127"/>
      <c r="K8" s="199">
        <v>43535</v>
      </c>
      <c r="L8" s="137">
        <v>500</v>
      </c>
      <c r="M8" s="190">
        <f t="shared" ref="M8:M23" si="0">M7-L8</f>
        <v>1900</v>
      </c>
      <c r="N8" s="178">
        <v>2</v>
      </c>
    </row>
    <row r="9" spans="2:14" ht="18.75" x14ac:dyDescent="0.3">
      <c r="B9" s="169"/>
      <c r="C9" s="127"/>
      <c r="D9" s="290">
        <v>43514</v>
      </c>
      <c r="E9" s="198">
        <v>500</v>
      </c>
      <c r="F9" s="190">
        <f t="shared" ref="F9:F23" si="1">F8+E9</f>
        <v>-8353</v>
      </c>
      <c r="G9" s="178">
        <v>3</v>
      </c>
      <c r="I9" s="169"/>
      <c r="J9" s="127"/>
      <c r="K9" s="200">
        <v>43543</v>
      </c>
      <c r="L9" s="198">
        <v>500</v>
      </c>
      <c r="M9" s="190">
        <f t="shared" si="0"/>
        <v>1400</v>
      </c>
      <c r="N9" s="178">
        <v>3</v>
      </c>
    </row>
    <row r="10" spans="2:14" ht="18.75" x14ac:dyDescent="0.3">
      <c r="B10" s="169"/>
      <c r="C10" s="127"/>
      <c r="D10" s="290">
        <v>43521</v>
      </c>
      <c r="E10" s="198">
        <v>500</v>
      </c>
      <c r="F10" s="190">
        <f t="shared" si="1"/>
        <v>-7853</v>
      </c>
      <c r="G10" s="178">
        <v>4</v>
      </c>
      <c r="I10" s="169"/>
      <c r="J10" s="127"/>
      <c r="K10" s="200">
        <v>43549</v>
      </c>
      <c r="L10" s="198">
        <v>500</v>
      </c>
      <c r="M10" s="190">
        <f t="shared" si="0"/>
        <v>900</v>
      </c>
      <c r="N10" s="178">
        <v>4</v>
      </c>
    </row>
    <row r="11" spans="2:14" ht="18.75" x14ac:dyDescent="0.3">
      <c r="B11" s="169"/>
      <c r="C11" s="127"/>
      <c r="D11" s="290">
        <v>43528</v>
      </c>
      <c r="E11" s="198">
        <v>500</v>
      </c>
      <c r="F11" s="190">
        <f t="shared" si="1"/>
        <v>-7353</v>
      </c>
      <c r="G11" s="178">
        <v>5</v>
      </c>
      <c r="I11" s="169"/>
      <c r="J11" s="127"/>
      <c r="K11" s="200">
        <v>43556</v>
      </c>
      <c r="L11" s="198">
        <v>500</v>
      </c>
      <c r="M11" s="190">
        <f t="shared" si="0"/>
        <v>400</v>
      </c>
      <c r="N11" s="178">
        <v>5</v>
      </c>
    </row>
    <row r="12" spans="2:14" ht="18.75" x14ac:dyDescent="0.3">
      <c r="B12" s="169"/>
      <c r="C12" s="127"/>
      <c r="D12" s="290">
        <v>43535</v>
      </c>
      <c r="E12" s="198">
        <v>500</v>
      </c>
      <c r="F12" s="190">
        <f t="shared" si="1"/>
        <v>-6853</v>
      </c>
      <c r="G12" s="178">
        <v>6</v>
      </c>
      <c r="I12" s="169"/>
      <c r="J12" s="127"/>
      <c r="K12" s="200">
        <v>43563</v>
      </c>
      <c r="L12" s="198">
        <v>400</v>
      </c>
      <c r="M12" s="190">
        <f t="shared" si="0"/>
        <v>0</v>
      </c>
      <c r="N12" s="178">
        <v>6</v>
      </c>
    </row>
    <row r="13" spans="2:14" ht="18.75" x14ac:dyDescent="0.3">
      <c r="B13" s="169"/>
      <c r="C13" s="127"/>
      <c r="D13" s="290">
        <v>43543</v>
      </c>
      <c r="E13" s="198">
        <v>353</v>
      </c>
      <c r="F13" s="190">
        <f t="shared" si="1"/>
        <v>-6500</v>
      </c>
      <c r="G13" s="178">
        <v>7</v>
      </c>
      <c r="I13" s="169"/>
      <c r="J13" s="127"/>
      <c r="K13" s="225"/>
      <c r="L13" s="226"/>
      <c r="M13" s="227">
        <f t="shared" si="0"/>
        <v>0</v>
      </c>
      <c r="N13" s="178">
        <v>7</v>
      </c>
    </row>
    <row r="14" spans="2:14" ht="18.75" x14ac:dyDescent="0.3">
      <c r="B14" s="169"/>
      <c r="C14" s="127"/>
      <c r="D14" s="290">
        <v>43549</v>
      </c>
      <c r="E14" s="198">
        <v>500</v>
      </c>
      <c r="F14" s="190">
        <f t="shared" si="1"/>
        <v>-6000</v>
      </c>
      <c r="G14" s="178">
        <v>8</v>
      </c>
      <c r="I14" s="169"/>
      <c r="J14" s="127"/>
      <c r="K14" s="225"/>
      <c r="L14" s="226"/>
      <c r="M14" s="227">
        <f t="shared" si="0"/>
        <v>0</v>
      </c>
      <c r="N14" s="178">
        <v>8</v>
      </c>
    </row>
    <row r="15" spans="2:14" ht="18.75" x14ac:dyDescent="0.3">
      <c r="B15" s="169"/>
      <c r="C15" s="127"/>
      <c r="D15" s="290">
        <v>43556</v>
      </c>
      <c r="E15" s="198">
        <v>500</v>
      </c>
      <c r="F15" s="190">
        <f t="shared" si="1"/>
        <v>-5500</v>
      </c>
      <c r="G15" s="178">
        <v>9</v>
      </c>
      <c r="I15" s="169"/>
      <c r="J15" s="127"/>
      <c r="K15" s="225"/>
      <c r="L15" s="226"/>
      <c r="M15" s="227">
        <f t="shared" si="0"/>
        <v>0</v>
      </c>
      <c r="N15" s="178">
        <v>9</v>
      </c>
    </row>
    <row r="16" spans="2:14" ht="18.75" x14ac:dyDescent="0.3">
      <c r="B16" s="169"/>
      <c r="C16" s="127"/>
      <c r="D16" s="290">
        <v>43563</v>
      </c>
      <c r="E16" s="198">
        <v>500</v>
      </c>
      <c r="F16" s="190">
        <f t="shared" si="1"/>
        <v>-5000</v>
      </c>
      <c r="G16" s="178">
        <v>10</v>
      </c>
      <c r="I16" s="169"/>
      <c r="J16" s="127"/>
      <c r="K16" s="225"/>
      <c r="L16" s="226"/>
      <c r="M16" s="227">
        <f t="shared" si="0"/>
        <v>0</v>
      </c>
      <c r="N16" s="178">
        <v>10</v>
      </c>
    </row>
    <row r="17" spans="2:14" ht="18.75" x14ac:dyDescent="0.3">
      <c r="B17" s="169"/>
      <c r="C17" s="127"/>
      <c r="D17" s="200">
        <v>43571</v>
      </c>
      <c r="E17" s="198">
        <v>500</v>
      </c>
      <c r="F17" s="190">
        <f t="shared" si="1"/>
        <v>-4500</v>
      </c>
      <c r="G17" s="178">
        <v>11</v>
      </c>
      <c r="I17" s="169"/>
      <c r="J17" s="127"/>
      <c r="K17" s="225"/>
      <c r="L17" s="226"/>
      <c r="M17" s="227">
        <f t="shared" si="0"/>
        <v>0</v>
      </c>
      <c r="N17" s="178">
        <v>11</v>
      </c>
    </row>
    <row r="18" spans="2:14" ht="18.75" x14ac:dyDescent="0.3">
      <c r="B18" s="169"/>
      <c r="C18" s="127"/>
      <c r="D18" s="200"/>
      <c r="E18" s="198"/>
      <c r="F18" s="190">
        <f t="shared" si="1"/>
        <v>-4500</v>
      </c>
      <c r="G18" s="178">
        <v>12</v>
      </c>
      <c r="I18" s="169"/>
      <c r="J18" s="127"/>
      <c r="K18" s="200"/>
      <c r="L18" s="198"/>
      <c r="M18" s="190">
        <f t="shared" si="0"/>
        <v>0</v>
      </c>
      <c r="N18" s="178">
        <v>12</v>
      </c>
    </row>
    <row r="19" spans="2:14" ht="18.75" x14ac:dyDescent="0.3">
      <c r="B19" s="169"/>
      <c r="C19" s="127"/>
      <c r="D19" s="200"/>
      <c r="E19" s="198"/>
      <c r="F19" s="190">
        <f t="shared" si="1"/>
        <v>-4500</v>
      </c>
      <c r="G19" s="178">
        <v>13</v>
      </c>
      <c r="I19" s="169"/>
      <c r="J19" s="127"/>
      <c r="K19" s="200"/>
      <c r="L19" s="198"/>
      <c r="M19" s="190">
        <f t="shared" si="0"/>
        <v>0</v>
      </c>
      <c r="N19" s="178">
        <v>13</v>
      </c>
    </row>
    <row r="20" spans="2:14" ht="18.75" x14ac:dyDescent="0.3">
      <c r="B20" s="169"/>
      <c r="C20" s="127"/>
      <c r="D20" s="200"/>
      <c r="E20" s="198"/>
      <c r="F20" s="190">
        <f t="shared" si="1"/>
        <v>-4500</v>
      </c>
      <c r="G20" s="178">
        <v>14</v>
      </c>
      <c r="I20" s="169"/>
      <c r="J20" s="127"/>
      <c r="K20" s="200"/>
      <c r="L20" s="198"/>
      <c r="M20" s="190">
        <f t="shared" si="0"/>
        <v>0</v>
      </c>
      <c r="N20" s="178">
        <v>14</v>
      </c>
    </row>
    <row r="21" spans="2:14" ht="18.75" x14ac:dyDescent="0.3">
      <c r="B21" s="169"/>
      <c r="C21" s="127"/>
      <c r="D21" s="200"/>
      <c r="E21" s="198"/>
      <c r="F21" s="190">
        <f t="shared" si="1"/>
        <v>-4500</v>
      </c>
      <c r="G21" s="178">
        <v>15</v>
      </c>
      <c r="I21" s="169"/>
      <c r="J21" s="127"/>
      <c r="K21" s="200"/>
      <c r="L21" s="198"/>
      <c r="M21" s="190">
        <f t="shared" si="0"/>
        <v>0</v>
      </c>
      <c r="N21" s="178">
        <v>15</v>
      </c>
    </row>
    <row r="22" spans="2:14" x14ac:dyDescent="0.25">
      <c r="B22" s="169"/>
      <c r="C22" s="127"/>
      <c r="D22" s="200"/>
      <c r="E22" s="198"/>
      <c r="F22" s="190">
        <f t="shared" si="1"/>
        <v>-4500</v>
      </c>
      <c r="I22" s="169"/>
      <c r="J22" s="127"/>
      <c r="K22" s="200"/>
      <c r="L22" s="198"/>
      <c r="M22" s="190">
        <f t="shared" si="0"/>
        <v>0</v>
      </c>
    </row>
    <row r="23" spans="2:14" x14ac:dyDescent="0.25">
      <c r="B23" s="169"/>
      <c r="C23" s="127"/>
      <c r="D23" s="200"/>
      <c r="E23" s="198"/>
      <c r="F23" s="190">
        <f t="shared" si="1"/>
        <v>-4500</v>
      </c>
      <c r="I23" s="169"/>
      <c r="J23" s="127"/>
      <c r="K23" s="200"/>
      <c r="L23" s="198"/>
      <c r="M23" s="190">
        <f t="shared" si="0"/>
        <v>0</v>
      </c>
    </row>
    <row r="24" spans="2:14" ht="19.5" thickBot="1" x14ac:dyDescent="0.35">
      <c r="E24" s="176"/>
      <c r="F24" s="177">
        <f>F23</f>
        <v>-4500</v>
      </c>
      <c r="L24" s="176"/>
      <c r="M24" s="177">
        <f>M23</f>
        <v>0</v>
      </c>
    </row>
    <row r="25" spans="2:14" ht="16.5" thickTop="1" x14ac:dyDescent="0.25"/>
  </sheetData>
  <mergeCells count="6">
    <mergeCell ref="C2:E2"/>
    <mergeCell ref="B3:D3"/>
    <mergeCell ref="E3:F3"/>
    <mergeCell ref="I3:K3"/>
    <mergeCell ref="L3:M3"/>
    <mergeCell ref="J2:L2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3300"/>
  </sheetPr>
  <dimension ref="A1:S71"/>
  <sheetViews>
    <sheetView topLeftCell="C20" workbookViewId="0">
      <selection activeCell="M31" sqref="M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bestFit="1" customWidth="1"/>
    <col min="17" max="17" width="13.85546875" style="228" customWidth="1"/>
    <col min="19" max="19" width="15.85546875" bestFit="1" customWidth="1"/>
  </cols>
  <sheetData>
    <row r="1" spans="1:19" ht="23.25" x14ac:dyDescent="0.35">
      <c r="C1" s="378" t="s">
        <v>128</v>
      </c>
      <c r="D1" s="378"/>
      <c r="E1" s="378"/>
      <c r="F1" s="378"/>
      <c r="G1" s="378"/>
      <c r="H1" s="378"/>
      <c r="I1" s="378"/>
      <c r="J1" s="378"/>
      <c r="K1" s="378"/>
      <c r="L1" s="2" t="s">
        <v>0</v>
      </c>
    </row>
    <row r="2" spans="1:19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</row>
    <row r="3" spans="1:19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R3" s="388" t="s">
        <v>56</v>
      </c>
      <c r="S3" s="389"/>
    </row>
    <row r="4" spans="1:19" ht="20.25" thickTop="1" thickBot="1" x14ac:dyDescent="0.35">
      <c r="A4" s="16" t="s">
        <v>5</v>
      </c>
      <c r="B4" s="17"/>
      <c r="C4" s="18">
        <v>317347.98</v>
      </c>
      <c r="D4" s="202">
        <v>43504</v>
      </c>
      <c r="E4" s="380" t="s">
        <v>6</v>
      </c>
      <c r="F4" s="381"/>
      <c r="I4" s="382" t="s">
        <v>7</v>
      </c>
      <c r="J4" s="383"/>
      <c r="K4" s="383"/>
      <c r="L4" s="383"/>
      <c r="M4" s="20" t="s">
        <v>8</v>
      </c>
      <c r="N4" s="94" t="s">
        <v>36</v>
      </c>
      <c r="O4" s="7"/>
      <c r="Q4" s="228">
        <v>43508</v>
      </c>
      <c r="R4" s="145" t="s">
        <v>41</v>
      </c>
      <c r="S4" s="143">
        <v>5010</v>
      </c>
    </row>
    <row r="5" spans="1:19" ht="15.75" thickBot="1" x14ac:dyDescent="0.3">
      <c r="A5" s="21"/>
      <c r="B5" s="27">
        <v>43505</v>
      </c>
      <c r="C5" s="22">
        <v>17294</v>
      </c>
      <c r="D5" s="93" t="s">
        <v>57</v>
      </c>
      <c r="E5" s="29">
        <v>43505</v>
      </c>
      <c r="F5" s="92">
        <v>84768.1</v>
      </c>
      <c r="H5" s="24">
        <v>43505</v>
      </c>
      <c r="I5" s="30">
        <v>1599</v>
      </c>
      <c r="J5" s="106" t="s">
        <v>135</v>
      </c>
      <c r="L5" s="4"/>
      <c r="M5" s="283">
        <v>48946</v>
      </c>
      <c r="N5" s="284">
        <v>6103.94</v>
      </c>
      <c r="P5" s="212"/>
      <c r="Q5" s="228">
        <v>43510</v>
      </c>
      <c r="R5" s="134" t="s">
        <v>47</v>
      </c>
      <c r="S5" s="135">
        <v>5010</v>
      </c>
    </row>
    <row r="6" spans="1:19" ht="15.75" thickBot="1" x14ac:dyDescent="0.3">
      <c r="A6" s="21"/>
      <c r="B6" s="27">
        <v>43506</v>
      </c>
      <c r="C6" s="22">
        <v>0</v>
      </c>
      <c r="D6" s="23"/>
      <c r="E6" s="29">
        <v>43506</v>
      </c>
      <c r="F6" s="92">
        <v>55128.14</v>
      </c>
      <c r="H6" s="24">
        <v>43506</v>
      </c>
      <c r="I6" s="30">
        <v>0</v>
      </c>
      <c r="J6" s="106"/>
      <c r="K6" s="127"/>
      <c r="L6" s="208"/>
      <c r="M6" s="283">
        <v>52615</v>
      </c>
      <c r="N6" s="284">
        <v>2511.4899999999998</v>
      </c>
      <c r="O6" s="167">
        <v>-1.65</v>
      </c>
      <c r="P6" s="212"/>
      <c r="Q6" s="229">
        <v>43521</v>
      </c>
      <c r="R6" s="134" t="s">
        <v>47</v>
      </c>
      <c r="S6" s="135">
        <v>10020</v>
      </c>
    </row>
    <row r="7" spans="1:19" ht="15.75" thickBot="1" x14ac:dyDescent="0.3">
      <c r="A7" s="21"/>
      <c r="B7" s="27">
        <v>43507</v>
      </c>
      <c r="C7" s="22">
        <v>2082</v>
      </c>
      <c r="D7" s="28" t="s">
        <v>49</v>
      </c>
      <c r="E7" s="29">
        <v>43507</v>
      </c>
      <c r="F7" s="92">
        <v>52194.75</v>
      </c>
      <c r="H7" s="24">
        <v>43507</v>
      </c>
      <c r="I7" s="30">
        <v>70</v>
      </c>
      <c r="J7" s="31">
        <v>43512</v>
      </c>
      <c r="K7" s="127" t="s">
        <v>9</v>
      </c>
      <c r="L7" s="209">
        <v>1098</v>
      </c>
      <c r="M7" s="283">
        <v>41177</v>
      </c>
      <c r="N7" s="284">
        <v>8865.39</v>
      </c>
      <c r="P7" s="4"/>
      <c r="Q7" s="230">
        <v>43523</v>
      </c>
      <c r="R7" s="136" t="s">
        <v>41</v>
      </c>
      <c r="S7" s="135">
        <v>10020</v>
      </c>
    </row>
    <row r="8" spans="1:19" ht="15.75" thickBot="1" x14ac:dyDescent="0.3">
      <c r="A8" s="21"/>
      <c r="B8" s="27">
        <v>43508</v>
      </c>
      <c r="C8" s="22">
        <v>1045</v>
      </c>
      <c r="D8" s="43" t="s">
        <v>136</v>
      </c>
      <c r="E8" s="29">
        <v>43508</v>
      </c>
      <c r="F8" s="92">
        <v>53702.28</v>
      </c>
      <c r="H8" s="24">
        <v>43508</v>
      </c>
      <c r="I8" s="30">
        <v>5531.5</v>
      </c>
      <c r="J8" s="34"/>
      <c r="K8" s="35" t="s">
        <v>10</v>
      </c>
      <c r="L8" s="40">
        <v>0</v>
      </c>
      <c r="M8" s="283">
        <v>46450</v>
      </c>
      <c r="N8" s="284">
        <v>680.56</v>
      </c>
      <c r="O8" s="4">
        <v>4.78</v>
      </c>
      <c r="P8" s="4"/>
      <c r="Q8" s="228">
        <v>43531</v>
      </c>
      <c r="R8" s="136" t="s">
        <v>41</v>
      </c>
      <c r="S8" s="135">
        <v>5010</v>
      </c>
    </row>
    <row r="9" spans="1:19" ht="16.5" thickBot="1" x14ac:dyDescent="0.3">
      <c r="A9" s="21"/>
      <c r="B9" s="27">
        <v>43509</v>
      </c>
      <c r="C9" s="22">
        <v>2045</v>
      </c>
      <c r="D9" s="38" t="s">
        <v>137</v>
      </c>
      <c r="E9" s="29">
        <v>43509</v>
      </c>
      <c r="F9" s="92">
        <v>55656.1</v>
      </c>
      <c r="H9" s="24">
        <v>43509</v>
      </c>
      <c r="I9" s="30">
        <v>0</v>
      </c>
      <c r="J9" s="96">
        <v>43526</v>
      </c>
      <c r="K9" s="102" t="s">
        <v>11</v>
      </c>
      <c r="L9" s="209">
        <v>20000</v>
      </c>
      <c r="M9" s="283">
        <v>46562</v>
      </c>
      <c r="N9" s="284">
        <v>7044</v>
      </c>
      <c r="O9" s="167">
        <v>-5.0999999999999996</v>
      </c>
      <c r="P9" s="4"/>
      <c r="Q9" s="267"/>
      <c r="R9" s="136"/>
      <c r="S9" s="135">
        <v>0</v>
      </c>
    </row>
    <row r="10" spans="1:19" ht="15.75" thickBot="1" x14ac:dyDescent="0.3">
      <c r="A10" s="21"/>
      <c r="B10" s="27">
        <v>43510</v>
      </c>
      <c r="C10" s="22">
        <v>19759.419999999998</v>
      </c>
      <c r="D10" s="23" t="s">
        <v>138</v>
      </c>
      <c r="E10" s="29">
        <v>43510</v>
      </c>
      <c r="F10" s="92">
        <v>59950.11</v>
      </c>
      <c r="H10" s="24">
        <v>43510</v>
      </c>
      <c r="I10" s="30">
        <v>5271.56</v>
      </c>
      <c r="J10" s="106"/>
      <c r="K10" s="126" t="s">
        <v>131</v>
      </c>
      <c r="L10" s="208">
        <v>0</v>
      </c>
      <c r="M10" s="283">
        <v>34919</v>
      </c>
      <c r="N10" s="120">
        <v>0</v>
      </c>
      <c r="P10" s="212"/>
      <c r="R10" s="134"/>
      <c r="S10" s="135">
        <v>0</v>
      </c>
    </row>
    <row r="11" spans="1:19" ht="15.75" thickBot="1" x14ac:dyDescent="0.3">
      <c r="A11" s="21"/>
      <c r="B11" s="27">
        <v>43511</v>
      </c>
      <c r="C11" s="22">
        <v>13876</v>
      </c>
      <c r="D11" s="23" t="s">
        <v>57</v>
      </c>
      <c r="E11" s="29">
        <v>43511</v>
      </c>
      <c r="F11" s="92">
        <v>114608.15</v>
      </c>
      <c r="H11" s="24">
        <v>43511</v>
      </c>
      <c r="I11" s="30">
        <v>246</v>
      </c>
      <c r="J11" s="106"/>
      <c r="K11" s="147"/>
      <c r="L11" s="208">
        <v>0</v>
      </c>
      <c r="M11" s="283">
        <f>98368+126</f>
        <v>98494</v>
      </c>
      <c r="N11" s="284">
        <v>1992.17</v>
      </c>
      <c r="P11" s="212"/>
      <c r="R11" s="136"/>
      <c r="S11" s="135">
        <v>0</v>
      </c>
    </row>
    <row r="12" spans="1:19" ht="15.75" thickBot="1" x14ac:dyDescent="0.3">
      <c r="A12" s="21"/>
      <c r="B12" s="27">
        <v>43512</v>
      </c>
      <c r="C12" s="22">
        <v>560</v>
      </c>
      <c r="D12" s="23" t="s">
        <v>51</v>
      </c>
      <c r="E12" s="29">
        <v>43512</v>
      </c>
      <c r="F12" s="92">
        <v>83004.47</v>
      </c>
      <c r="H12" s="24">
        <v>43512</v>
      </c>
      <c r="I12" s="30">
        <v>7400</v>
      </c>
      <c r="J12" s="106">
        <v>43505</v>
      </c>
      <c r="K12" s="102" t="s">
        <v>129</v>
      </c>
      <c r="L12" s="208">
        <v>10824.82</v>
      </c>
      <c r="M12" s="283">
        <v>61584</v>
      </c>
      <c r="N12" s="284">
        <v>844.24</v>
      </c>
      <c r="P12" s="212"/>
      <c r="R12" s="136"/>
      <c r="S12" s="135">
        <v>0</v>
      </c>
    </row>
    <row r="13" spans="1:19" ht="15.75" thickBot="1" x14ac:dyDescent="0.3">
      <c r="A13" s="21"/>
      <c r="B13" s="27">
        <v>43513</v>
      </c>
      <c r="C13" s="22">
        <v>1492</v>
      </c>
      <c r="D13" s="43" t="s">
        <v>49</v>
      </c>
      <c r="E13" s="29">
        <v>43513</v>
      </c>
      <c r="F13" s="92">
        <v>76502.94</v>
      </c>
      <c r="H13" s="24">
        <v>43513</v>
      </c>
      <c r="I13" s="30">
        <v>0</v>
      </c>
      <c r="J13" s="106">
        <v>43512</v>
      </c>
      <c r="K13" s="102" t="s">
        <v>130</v>
      </c>
      <c r="L13" s="208">
        <v>11517.68</v>
      </c>
      <c r="M13" s="283">
        <v>73172</v>
      </c>
      <c r="N13" s="284">
        <v>1839.22</v>
      </c>
      <c r="P13" s="4"/>
      <c r="R13" s="136"/>
      <c r="S13" s="135">
        <v>0</v>
      </c>
    </row>
    <row r="14" spans="1:19" ht="16.5" thickBot="1" x14ac:dyDescent="0.3">
      <c r="A14" s="21"/>
      <c r="B14" s="27">
        <v>43514</v>
      </c>
      <c r="C14" s="22">
        <v>1588</v>
      </c>
      <c r="D14" s="28" t="s">
        <v>104</v>
      </c>
      <c r="E14" s="29">
        <v>43514</v>
      </c>
      <c r="F14" s="92">
        <v>57660.68</v>
      </c>
      <c r="H14" s="24">
        <v>43514</v>
      </c>
      <c r="I14" s="30">
        <v>0</v>
      </c>
      <c r="J14" s="106">
        <v>43519</v>
      </c>
      <c r="K14" s="102" t="s">
        <v>132</v>
      </c>
      <c r="L14" s="208">
        <v>8443.7999999999993</v>
      </c>
      <c r="M14" s="283">
        <v>54005</v>
      </c>
      <c r="N14" s="284">
        <v>2071.2399999999998</v>
      </c>
      <c r="P14" s="212"/>
      <c r="R14" s="141"/>
      <c r="S14" s="142">
        <v>0</v>
      </c>
    </row>
    <row r="15" spans="1:19" ht="19.5" thickBot="1" x14ac:dyDescent="0.35">
      <c r="A15" s="21"/>
      <c r="B15" s="27">
        <v>43515</v>
      </c>
      <c r="C15" s="22">
        <v>0</v>
      </c>
      <c r="D15" s="23"/>
      <c r="E15" s="29">
        <v>43515</v>
      </c>
      <c r="F15" s="92">
        <v>75640.639999999999</v>
      </c>
      <c r="H15" s="24">
        <v>43515</v>
      </c>
      <c r="I15" s="30">
        <v>3857.8</v>
      </c>
      <c r="J15" s="106">
        <v>43526</v>
      </c>
      <c r="K15" s="102" t="s">
        <v>133</v>
      </c>
      <c r="L15" s="208">
        <v>6692.86</v>
      </c>
      <c r="M15" s="283">
        <v>72838</v>
      </c>
      <c r="N15" s="280">
        <v>514.58000000000004</v>
      </c>
      <c r="P15" s="212"/>
      <c r="R15" s="133" t="s">
        <v>13</v>
      </c>
      <c r="S15" s="132">
        <f>SUM(S4:S14)</f>
        <v>35070</v>
      </c>
    </row>
    <row r="16" spans="1:19" ht="15.75" thickBot="1" x14ac:dyDescent="0.3">
      <c r="A16" s="21"/>
      <c r="B16" s="27">
        <v>43516</v>
      </c>
      <c r="C16" s="22">
        <v>1691</v>
      </c>
      <c r="D16" s="23" t="s">
        <v>139</v>
      </c>
      <c r="E16" s="29">
        <v>43516</v>
      </c>
      <c r="F16" s="92">
        <v>53792.86</v>
      </c>
      <c r="H16" s="24">
        <v>43516</v>
      </c>
      <c r="I16" s="30">
        <v>3067.52</v>
      </c>
      <c r="J16" s="164"/>
      <c r="K16" s="25" t="s">
        <v>134</v>
      </c>
      <c r="L16" s="4">
        <v>0</v>
      </c>
      <c r="M16" s="283">
        <v>41237</v>
      </c>
      <c r="N16" s="280">
        <v>7797.22</v>
      </c>
      <c r="P16" s="212"/>
      <c r="R16" s="25"/>
      <c r="S16" s="26"/>
    </row>
    <row r="17" spans="1:19" ht="16.5" thickBot="1" x14ac:dyDescent="0.3">
      <c r="A17" s="21"/>
      <c r="B17" s="27">
        <v>43517</v>
      </c>
      <c r="C17" s="22">
        <v>18212.5</v>
      </c>
      <c r="D17" s="43" t="s">
        <v>43</v>
      </c>
      <c r="E17" s="29">
        <v>43517</v>
      </c>
      <c r="F17" s="92">
        <v>66610.22</v>
      </c>
      <c r="H17" s="24">
        <v>43517</v>
      </c>
      <c r="I17" s="45">
        <v>0</v>
      </c>
      <c r="J17" s="36"/>
      <c r="K17" s="148"/>
      <c r="L17" s="210">
        <v>0</v>
      </c>
      <c r="M17" s="283">
        <f>34651+24364</f>
        <v>59015</v>
      </c>
      <c r="N17" s="284">
        <v>522.86</v>
      </c>
      <c r="P17" s="212"/>
      <c r="Q17" s="268"/>
      <c r="R17" s="25"/>
      <c r="S17" s="26"/>
    </row>
    <row r="18" spans="1:19" ht="15.75" thickBot="1" x14ac:dyDescent="0.3">
      <c r="A18" s="21"/>
      <c r="B18" s="27">
        <v>43518</v>
      </c>
      <c r="C18" s="22">
        <v>0</v>
      </c>
      <c r="D18" s="23"/>
      <c r="E18" s="29">
        <v>43518</v>
      </c>
      <c r="F18" s="92">
        <v>108519.18</v>
      </c>
      <c r="H18" s="24">
        <v>43518</v>
      </c>
      <c r="I18" s="30">
        <v>383</v>
      </c>
      <c r="J18" s="42"/>
      <c r="K18" s="149"/>
      <c r="L18" s="208">
        <v>0</v>
      </c>
      <c r="M18" s="283">
        <v>99711</v>
      </c>
      <c r="N18" s="284">
        <v>8425.58</v>
      </c>
      <c r="P18" s="212"/>
      <c r="R18" s="25"/>
      <c r="S18" s="4"/>
    </row>
    <row r="19" spans="1:19" ht="15.75" thickBot="1" x14ac:dyDescent="0.3">
      <c r="A19" s="21"/>
      <c r="B19" s="27">
        <v>43519</v>
      </c>
      <c r="C19" s="22">
        <v>18915</v>
      </c>
      <c r="D19" s="43" t="s">
        <v>142</v>
      </c>
      <c r="E19" s="29">
        <v>43519</v>
      </c>
      <c r="F19" s="92">
        <v>118500.18</v>
      </c>
      <c r="H19" s="24">
        <v>43519</v>
      </c>
      <c r="I19" s="30">
        <v>0</v>
      </c>
      <c r="J19" s="7"/>
      <c r="K19" s="150" t="s">
        <v>33</v>
      </c>
      <c r="L19" s="208">
        <v>0</v>
      </c>
      <c r="M19" s="283">
        <v>90700</v>
      </c>
      <c r="N19" s="284">
        <v>438.88</v>
      </c>
      <c r="P19" s="5"/>
      <c r="R19" s="121"/>
      <c r="S19" s="124"/>
    </row>
    <row r="20" spans="1:19" ht="20.25" thickTop="1" thickBot="1" x14ac:dyDescent="0.35">
      <c r="A20" s="21"/>
      <c r="B20" s="27">
        <v>43520</v>
      </c>
      <c r="C20" s="22">
        <v>0</v>
      </c>
      <c r="D20" s="23"/>
      <c r="E20" s="29">
        <v>43520</v>
      </c>
      <c r="F20" s="92">
        <v>93637.56</v>
      </c>
      <c r="H20" s="24">
        <v>43520</v>
      </c>
      <c r="I20" s="30">
        <v>0</v>
      </c>
      <c r="J20" s="42"/>
      <c r="K20" s="149" t="s">
        <v>34</v>
      </c>
      <c r="L20" s="210">
        <v>0</v>
      </c>
      <c r="M20" s="283">
        <f>4756+86525</f>
        <v>91281</v>
      </c>
      <c r="N20" s="280">
        <v>2356.67</v>
      </c>
      <c r="P20" s="5"/>
      <c r="R20" s="390" t="s">
        <v>56</v>
      </c>
      <c r="S20" s="391"/>
    </row>
    <row r="21" spans="1:19" ht="16.5" thickBot="1" x14ac:dyDescent="0.3">
      <c r="A21" s="21"/>
      <c r="B21" s="27">
        <v>43521</v>
      </c>
      <c r="C21" s="22">
        <v>1516</v>
      </c>
      <c r="D21" s="23" t="s">
        <v>49</v>
      </c>
      <c r="E21" s="29">
        <v>43521</v>
      </c>
      <c r="F21" s="92">
        <v>58538.01</v>
      </c>
      <c r="H21" s="24">
        <v>43521</v>
      </c>
      <c r="I21" s="30">
        <v>10020</v>
      </c>
      <c r="J21" s="44"/>
      <c r="K21" s="195"/>
      <c r="L21" s="210">
        <v>0</v>
      </c>
      <c r="M21" s="283">
        <v>46600</v>
      </c>
      <c r="N21" s="280">
        <v>410.9</v>
      </c>
      <c r="O21" s="4">
        <v>8.9</v>
      </c>
      <c r="P21" s="5"/>
      <c r="Q21" s="228">
        <v>43512</v>
      </c>
      <c r="R21" s="25" t="s">
        <v>39</v>
      </c>
      <c r="S21" s="125">
        <v>2000</v>
      </c>
    </row>
    <row r="22" spans="1:19" ht="15.75" thickBot="1" x14ac:dyDescent="0.3">
      <c r="A22" s="21"/>
      <c r="B22" s="27">
        <v>43522</v>
      </c>
      <c r="C22" s="22">
        <v>1322</v>
      </c>
      <c r="D22" s="23" t="s">
        <v>143</v>
      </c>
      <c r="E22" s="29">
        <v>43522</v>
      </c>
      <c r="F22" s="92">
        <v>47300</v>
      </c>
      <c r="H22" s="24">
        <v>43522</v>
      </c>
      <c r="I22" s="30">
        <v>591.5</v>
      </c>
      <c r="J22" s="34"/>
      <c r="K22" s="153"/>
      <c r="L22" s="210">
        <v>0</v>
      </c>
      <c r="M22" s="283">
        <v>44770</v>
      </c>
      <c r="N22" s="284">
        <v>603.78</v>
      </c>
      <c r="O22" s="167">
        <v>-12.72</v>
      </c>
      <c r="P22" s="5"/>
      <c r="Q22" s="228">
        <v>43516</v>
      </c>
      <c r="R22" s="102" t="s">
        <v>39</v>
      </c>
      <c r="S22" s="103">
        <v>2000</v>
      </c>
    </row>
    <row r="23" spans="1:19" ht="15.75" thickBot="1" x14ac:dyDescent="0.3">
      <c r="A23" s="21"/>
      <c r="B23" s="27">
        <v>43523</v>
      </c>
      <c r="C23" s="22">
        <v>18486.54</v>
      </c>
      <c r="D23" s="23" t="s">
        <v>144</v>
      </c>
      <c r="E23" s="29">
        <v>43523</v>
      </c>
      <c r="F23" s="92">
        <v>67246</v>
      </c>
      <c r="H23" s="24">
        <v>43523</v>
      </c>
      <c r="I23" s="30">
        <v>11644</v>
      </c>
      <c r="J23" s="95"/>
      <c r="K23" s="154"/>
      <c r="L23" s="210">
        <v>0</v>
      </c>
      <c r="M23" s="283">
        <v>36911</v>
      </c>
      <c r="N23" s="284">
        <v>222</v>
      </c>
      <c r="O23" s="4">
        <v>17.54</v>
      </c>
      <c r="P23" s="5"/>
      <c r="Q23" s="228">
        <v>43525</v>
      </c>
      <c r="R23" s="102" t="s">
        <v>39</v>
      </c>
      <c r="S23" s="103">
        <v>2000</v>
      </c>
    </row>
    <row r="24" spans="1:19" ht="15.75" thickBot="1" x14ac:dyDescent="0.3">
      <c r="A24" s="21"/>
      <c r="B24" s="27">
        <v>43524</v>
      </c>
      <c r="C24" s="22">
        <v>35</v>
      </c>
      <c r="D24" s="23" t="s">
        <v>145</v>
      </c>
      <c r="E24" s="29">
        <v>43524</v>
      </c>
      <c r="F24" s="92">
        <v>75270</v>
      </c>
      <c r="H24" s="24">
        <v>43524</v>
      </c>
      <c r="I24" s="30">
        <v>150</v>
      </c>
      <c r="J24" s="46"/>
      <c r="K24" s="155"/>
      <c r="L24" s="135">
        <v>0</v>
      </c>
      <c r="M24" s="285">
        <v>74771</v>
      </c>
      <c r="N24" s="286">
        <v>314</v>
      </c>
      <c r="P24" s="5"/>
      <c r="R24" s="102" t="s">
        <v>39</v>
      </c>
      <c r="S24" s="104">
        <v>0</v>
      </c>
    </row>
    <row r="25" spans="1:19" ht="15.75" thickBot="1" x14ac:dyDescent="0.3">
      <c r="A25" s="21"/>
      <c r="B25" s="196">
        <v>43525</v>
      </c>
      <c r="C25" s="22">
        <v>14833</v>
      </c>
      <c r="D25" s="23" t="s">
        <v>146</v>
      </c>
      <c r="E25" s="197">
        <v>43525</v>
      </c>
      <c r="F25" s="92">
        <v>106661</v>
      </c>
      <c r="H25" s="187">
        <v>43525</v>
      </c>
      <c r="I25" s="30">
        <v>2000</v>
      </c>
      <c r="J25" s="109"/>
      <c r="K25" s="155"/>
      <c r="L25" s="135">
        <v>0</v>
      </c>
      <c r="M25" s="285">
        <v>86350</v>
      </c>
      <c r="N25" s="286">
        <v>3483</v>
      </c>
      <c r="O25" s="4">
        <v>5</v>
      </c>
      <c r="R25" s="102" t="s">
        <v>39</v>
      </c>
      <c r="S25" s="104">
        <v>0</v>
      </c>
    </row>
    <row r="26" spans="1:19" ht="15.75" thickBot="1" x14ac:dyDescent="0.3">
      <c r="A26" s="21"/>
      <c r="B26" s="196">
        <v>43526</v>
      </c>
      <c r="C26" s="22">
        <v>1787</v>
      </c>
      <c r="D26" s="23" t="s">
        <v>147</v>
      </c>
      <c r="E26" s="197">
        <v>43526</v>
      </c>
      <c r="F26" s="92">
        <v>93620</v>
      </c>
      <c r="H26" s="187">
        <v>43526</v>
      </c>
      <c r="I26" s="30">
        <v>34.75</v>
      </c>
      <c r="J26" s="4"/>
      <c r="K26" s="148"/>
      <c r="L26" s="135">
        <v>0</v>
      </c>
      <c r="M26" s="285">
        <v>63900</v>
      </c>
      <c r="N26" s="286">
        <v>1206</v>
      </c>
      <c r="O26" s="4" t="s">
        <v>7</v>
      </c>
      <c r="R26" s="127"/>
      <c r="S26" s="128">
        <v>0</v>
      </c>
    </row>
    <row r="27" spans="1:19" ht="15.75" thickBot="1" x14ac:dyDescent="0.3">
      <c r="A27" s="21"/>
      <c r="B27" s="196">
        <v>43527</v>
      </c>
      <c r="C27" s="22">
        <v>1117</v>
      </c>
      <c r="D27" s="43" t="s">
        <v>49</v>
      </c>
      <c r="E27" s="197">
        <v>43527</v>
      </c>
      <c r="F27" s="92">
        <v>78805</v>
      </c>
      <c r="H27" s="187">
        <v>43527</v>
      </c>
      <c r="I27" s="30">
        <v>0</v>
      </c>
      <c r="J27" s="4"/>
      <c r="K27" s="148"/>
      <c r="L27" s="135">
        <v>0</v>
      </c>
      <c r="M27" s="285">
        <f>74163+407</f>
        <v>74570</v>
      </c>
      <c r="N27" s="286">
        <v>3118.38</v>
      </c>
      <c r="R27" s="127"/>
      <c r="S27" s="128">
        <v>0</v>
      </c>
    </row>
    <row r="28" spans="1:19" ht="15.75" thickBot="1" x14ac:dyDescent="0.3">
      <c r="A28" s="21"/>
      <c r="B28" s="196">
        <v>43528</v>
      </c>
      <c r="C28" s="22">
        <v>0</v>
      </c>
      <c r="D28" s="23"/>
      <c r="E28" s="197">
        <v>43528</v>
      </c>
      <c r="F28" s="92">
        <v>63263</v>
      </c>
      <c r="H28" s="187">
        <v>43528</v>
      </c>
      <c r="I28" s="30">
        <v>0</v>
      </c>
      <c r="J28" s="4" t="s">
        <v>7</v>
      </c>
      <c r="K28" s="156"/>
      <c r="L28" s="135">
        <v>0</v>
      </c>
      <c r="M28" s="285">
        <v>61818</v>
      </c>
      <c r="N28" s="286">
        <v>1446.12</v>
      </c>
      <c r="R28" s="127"/>
      <c r="S28" s="129">
        <v>0</v>
      </c>
    </row>
    <row r="29" spans="1:19" ht="19.5" thickBot="1" x14ac:dyDescent="0.35">
      <c r="A29" s="21"/>
      <c r="B29" s="196">
        <v>43529</v>
      </c>
      <c r="C29" s="47">
        <v>13039</v>
      </c>
      <c r="D29" s="43" t="s">
        <v>148</v>
      </c>
      <c r="E29" s="197">
        <v>43529</v>
      </c>
      <c r="F29" s="48">
        <v>45517</v>
      </c>
      <c r="H29" s="187">
        <v>43529</v>
      </c>
      <c r="I29" s="115">
        <v>33</v>
      </c>
      <c r="J29" s="4"/>
      <c r="K29" s="157"/>
      <c r="L29" s="137">
        <v>0</v>
      </c>
      <c r="M29" s="285">
        <v>32129</v>
      </c>
      <c r="N29" s="286">
        <v>316</v>
      </c>
      <c r="R29" s="130" t="s">
        <v>13</v>
      </c>
      <c r="S29" s="131">
        <f>SUM(S21:S28)</f>
        <v>6000</v>
      </c>
    </row>
    <row r="30" spans="1:19" ht="15.75" thickBot="1" x14ac:dyDescent="0.3">
      <c r="A30" s="21"/>
      <c r="B30" s="196">
        <v>43530</v>
      </c>
      <c r="C30" s="104">
        <v>280</v>
      </c>
      <c r="D30" s="43" t="s">
        <v>51</v>
      </c>
      <c r="E30" s="197">
        <v>43530</v>
      </c>
      <c r="F30" s="104">
        <v>82801</v>
      </c>
      <c r="H30" s="187">
        <v>43530</v>
      </c>
      <c r="I30" s="104">
        <v>1301.5</v>
      </c>
      <c r="J30" s="4"/>
      <c r="K30" s="157"/>
      <c r="L30" s="158"/>
      <c r="M30" s="285">
        <v>80188.5</v>
      </c>
      <c r="N30" s="286">
        <v>1031</v>
      </c>
      <c r="P30" s="4"/>
    </row>
    <row r="31" spans="1:19" ht="15.75" thickBot="1" x14ac:dyDescent="0.3">
      <c r="A31" s="21"/>
      <c r="B31" s="196">
        <v>43531</v>
      </c>
      <c r="C31" s="104">
        <v>13863.5</v>
      </c>
      <c r="D31" s="43" t="s">
        <v>149</v>
      </c>
      <c r="E31" s="197">
        <v>43531</v>
      </c>
      <c r="F31" s="104">
        <v>55674</v>
      </c>
      <c r="H31" s="187">
        <v>43531</v>
      </c>
      <c r="I31" s="104">
        <v>5360</v>
      </c>
      <c r="J31" s="4"/>
      <c r="K31" s="157"/>
      <c r="L31" s="158"/>
      <c r="M31" s="285">
        <v>35371</v>
      </c>
      <c r="N31" s="286">
        <v>1079</v>
      </c>
      <c r="P31" s="167"/>
    </row>
    <row r="32" spans="1:19" ht="16.5" thickBot="1" x14ac:dyDescent="0.3">
      <c r="A32" s="49"/>
      <c r="B32" s="50"/>
      <c r="C32" s="51">
        <v>0</v>
      </c>
      <c r="D32" s="19"/>
      <c r="E32" s="52"/>
      <c r="F32" s="53">
        <v>0</v>
      </c>
      <c r="H32" s="116"/>
      <c r="I32" s="117">
        <v>0</v>
      </c>
      <c r="K32" s="54"/>
      <c r="L32" s="55"/>
      <c r="M32" s="211">
        <f>SUM(M5:M31)</f>
        <v>1650084.5</v>
      </c>
      <c r="N32" s="211">
        <f>SUM(N5:N31)</f>
        <v>65238.220000000008</v>
      </c>
      <c r="O32" s="118">
        <f>SUM(O5:O31)</f>
        <v>16.75</v>
      </c>
    </row>
    <row r="33" spans="1:17" ht="15.75" thickBot="1" x14ac:dyDescent="0.3">
      <c r="B33" s="56" t="s">
        <v>13</v>
      </c>
      <c r="C33" s="57">
        <f>SUM(C5:C32)</f>
        <v>164838.96</v>
      </c>
      <c r="E33" s="58" t="s">
        <v>13</v>
      </c>
      <c r="F33" s="59">
        <f>SUM(F5:F32)</f>
        <v>1984571.37</v>
      </c>
      <c r="H33" s="6" t="s">
        <v>13</v>
      </c>
      <c r="I33" s="4">
        <f>SUM(I5:I32)</f>
        <v>58561.130000000005</v>
      </c>
      <c r="J33" s="4"/>
      <c r="K33" s="60" t="s">
        <v>13</v>
      </c>
      <c r="L33" s="40">
        <f>SUM(L5:L32)</f>
        <v>58577.16</v>
      </c>
      <c r="Q33" s="230"/>
    </row>
    <row r="34" spans="1:17" ht="19.5" thickBot="1" x14ac:dyDescent="0.3">
      <c r="M34" s="412">
        <f>N32+M32</f>
        <v>1715322.72</v>
      </c>
      <c r="N34" s="413"/>
      <c r="Q34" s="230"/>
    </row>
    <row r="35" spans="1:17" ht="15.75" x14ac:dyDescent="0.25">
      <c r="A35" s="25"/>
      <c r="B35" s="61"/>
      <c r="C35" s="4"/>
      <c r="H35" s="384" t="s">
        <v>14</v>
      </c>
      <c r="I35" s="385"/>
      <c r="J35" s="62"/>
      <c r="K35" s="386">
        <f>I33+L33</f>
        <v>117138.29000000001</v>
      </c>
      <c r="L35" s="387"/>
      <c r="P35" s="41"/>
      <c r="Q35" s="230"/>
    </row>
    <row r="36" spans="1:17" ht="15.75" x14ac:dyDescent="0.25">
      <c r="D36" s="393" t="s">
        <v>15</v>
      </c>
      <c r="E36" s="393"/>
      <c r="F36" s="205">
        <f>F33-K35-C33</f>
        <v>1702594.12</v>
      </c>
      <c r="I36" s="63"/>
      <c r="J36" s="63"/>
      <c r="Q36" s="230"/>
    </row>
    <row r="37" spans="1:17" ht="18.75" x14ac:dyDescent="0.3">
      <c r="D37" s="394" t="s">
        <v>16</v>
      </c>
      <c r="E37" s="394"/>
      <c r="F37" s="110">
        <v>-1535840.86</v>
      </c>
      <c r="I37" s="395" t="s">
        <v>17</v>
      </c>
      <c r="J37" s="396"/>
      <c r="K37" s="397">
        <f>F42</f>
        <v>517977.4</v>
      </c>
      <c r="L37" s="398"/>
      <c r="Q37" s="230"/>
    </row>
    <row r="38" spans="1:17" ht="4.5" customHeight="1" thickBot="1" x14ac:dyDescent="0.35">
      <c r="D38" s="64"/>
      <c r="E38" s="65"/>
      <c r="F38" s="66"/>
      <c r="I38" s="67"/>
      <c r="J38" s="67"/>
      <c r="K38" s="68"/>
      <c r="L38" s="68"/>
      <c r="Q38" s="230"/>
    </row>
    <row r="39" spans="1:17" ht="19.5" thickTop="1" x14ac:dyDescent="0.3">
      <c r="C39" s="3" t="s">
        <v>7</v>
      </c>
      <c r="E39" s="25" t="s">
        <v>19</v>
      </c>
      <c r="F39" s="4">
        <f>SUM(F36:F38)</f>
        <v>166753.26</v>
      </c>
      <c r="I39" s="69" t="s">
        <v>20</v>
      </c>
      <c r="J39" s="70"/>
      <c r="K39" s="399">
        <f>-C4</f>
        <v>-317347.98</v>
      </c>
      <c r="L39" s="398"/>
      <c r="M39" s="5" t="s">
        <v>21</v>
      </c>
      <c r="Q39" s="230"/>
    </row>
    <row r="40" spans="1:17" ht="15.75" thickBot="1" x14ac:dyDescent="0.3">
      <c r="D40" s="71" t="s">
        <v>22</v>
      </c>
      <c r="E40" s="25" t="s">
        <v>23</v>
      </c>
      <c r="F40" s="206">
        <v>6039.2</v>
      </c>
      <c r="Q40" s="230"/>
    </row>
    <row r="41" spans="1:17" ht="20.25" thickTop="1" thickBot="1" x14ac:dyDescent="0.35">
      <c r="C41" s="207">
        <v>43531</v>
      </c>
      <c r="D41" s="400" t="s">
        <v>24</v>
      </c>
      <c r="E41" s="400"/>
      <c r="F41" s="72">
        <v>345184.94</v>
      </c>
      <c r="I41" s="401" t="s">
        <v>95</v>
      </c>
      <c r="J41" s="402"/>
      <c r="K41" s="403">
        <f>K37+K39</f>
        <v>200629.42000000004</v>
      </c>
      <c r="L41" s="404"/>
    </row>
    <row r="42" spans="1:17" ht="18.75" x14ac:dyDescent="0.3">
      <c r="C42" s="59"/>
      <c r="D42" s="58"/>
      <c r="E42" s="33" t="s">
        <v>25</v>
      </c>
      <c r="F42" s="73">
        <f>F39+F40+F41</f>
        <v>517977.4</v>
      </c>
      <c r="J42" s="6"/>
      <c r="M42" s="74"/>
    </row>
    <row r="44" spans="1:17" x14ac:dyDescent="0.25">
      <c r="B44"/>
      <c r="C44"/>
      <c r="D44" s="392"/>
      <c r="E44" s="392"/>
      <c r="M44" s="75"/>
      <c r="N44" s="25"/>
      <c r="O44" s="25"/>
    </row>
    <row r="45" spans="1:17" x14ac:dyDescent="0.25">
      <c r="B45"/>
      <c r="C45"/>
      <c r="M45" s="75"/>
      <c r="N45" s="25"/>
      <c r="O45" s="25"/>
    </row>
    <row r="46" spans="1:17" x14ac:dyDescent="0.25">
      <c r="B46"/>
      <c r="C46"/>
      <c r="N46" s="25"/>
      <c r="O46" s="25"/>
    </row>
    <row r="47" spans="1:17" x14ac:dyDescent="0.25">
      <c r="B47"/>
      <c r="C47"/>
      <c r="F47"/>
      <c r="I47"/>
      <c r="J47"/>
      <c r="M47"/>
      <c r="N47" s="25"/>
      <c r="O47" s="25"/>
    </row>
    <row r="48" spans="1:17" x14ac:dyDescent="0.25">
      <c r="B48"/>
      <c r="C48"/>
      <c r="N48" s="25"/>
      <c r="O48" s="25"/>
    </row>
    <row r="49" spans="13:15" x14ac:dyDescent="0.25">
      <c r="M49" s="4"/>
      <c r="N49" s="25"/>
      <c r="O49" s="25"/>
    </row>
    <row r="50" spans="13:15" x14ac:dyDescent="0.25">
      <c r="M50" s="4"/>
      <c r="N50" s="25"/>
      <c r="O50" s="25"/>
    </row>
    <row r="51" spans="13:15" x14ac:dyDescent="0.25">
      <c r="M51" s="4"/>
      <c r="N51" s="25"/>
      <c r="O51" s="25"/>
    </row>
    <row r="52" spans="13:15" x14ac:dyDescent="0.25">
      <c r="M52" s="4"/>
      <c r="N52" s="25"/>
      <c r="O52" s="25"/>
    </row>
    <row r="53" spans="13:15" x14ac:dyDescent="0.25">
      <c r="M53" s="4"/>
    </row>
    <row r="54" spans="13:15" x14ac:dyDescent="0.25">
      <c r="M54" s="4"/>
    </row>
    <row r="55" spans="13:15" x14ac:dyDescent="0.25">
      <c r="M55" s="4"/>
    </row>
    <row r="56" spans="13:15" x14ac:dyDescent="0.25">
      <c r="M56" s="4"/>
    </row>
    <row r="57" spans="13:15" x14ac:dyDescent="0.25">
      <c r="M57" s="4"/>
    </row>
    <row r="58" spans="13:15" x14ac:dyDescent="0.25">
      <c r="M58" s="4"/>
    </row>
    <row r="59" spans="13:15" x14ac:dyDescent="0.25">
      <c r="M59" s="4"/>
    </row>
    <row r="60" spans="13:15" x14ac:dyDescent="0.25">
      <c r="M60" s="4"/>
    </row>
    <row r="61" spans="13:15" x14ac:dyDescent="0.25">
      <c r="M61" s="4"/>
    </row>
    <row r="62" spans="13:15" x14ac:dyDescent="0.25">
      <c r="M62" s="4"/>
    </row>
    <row r="63" spans="13:15" x14ac:dyDescent="0.25">
      <c r="M63" s="4"/>
    </row>
    <row r="64" spans="13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</sheetData>
  <mergeCells count="17">
    <mergeCell ref="C1:K1"/>
    <mergeCell ref="E4:F4"/>
    <mergeCell ref="I4:L4"/>
    <mergeCell ref="H35:I35"/>
    <mergeCell ref="K35:L35"/>
    <mergeCell ref="D44:E44"/>
    <mergeCell ref="R3:S3"/>
    <mergeCell ref="R20:S20"/>
    <mergeCell ref="D37:E37"/>
    <mergeCell ref="I37:J37"/>
    <mergeCell ref="K37:L37"/>
    <mergeCell ref="K39:L39"/>
    <mergeCell ref="D41:E41"/>
    <mergeCell ref="I41:J41"/>
    <mergeCell ref="K41:L41"/>
    <mergeCell ref="D36:E36"/>
    <mergeCell ref="M34:N34"/>
  </mergeCells>
  <pageMargins left="0.51181102362204722" right="0.11811023622047245" top="0.35433070866141736" bottom="0.15748031496062992" header="0.31496062992125984" footer="0.31496062992125984"/>
  <pageSetup scale="8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6D76-0873-4162-B2C4-486C23724BF1}">
  <sheetPr>
    <tabColor rgb="FF993300"/>
  </sheetPr>
  <dimension ref="A1:H75"/>
  <sheetViews>
    <sheetView topLeftCell="A19" workbookViewId="0">
      <selection activeCell="D49" sqref="D4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43505</v>
      </c>
      <c r="B3" s="84" t="s">
        <v>124</v>
      </c>
      <c r="C3" s="4">
        <v>62641.48</v>
      </c>
      <c r="D3" s="78"/>
      <c r="E3" s="4"/>
      <c r="F3" s="79">
        <f>C3-E3</f>
        <v>62641.48</v>
      </c>
      <c r="H3" s="185"/>
    </row>
    <row r="4" spans="1:8" ht="18.75" x14ac:dyDescent="0.3">
      <c r="A4" s="83">
        <v>43507</v>
      </c>
      <c r="B4" s="84" t="s">
        <v>125</v>
      </c>
      <c r="C4" s="4">
        <v>82752.759999999995</v>
      </c>
      <c r="D4" s="78"/>
      <c r="E4" s="4"/>
      <c r="F4" s="79">
        <f>F3+C4-E4</f>
        <v>145394.23999999999</v>
      </c>
      <c r="H4" s="185"/>
    </row>
    <row r="5" spans="1:8" ht="18.75" x14ac:dyDescent="0.3">
      <c r="A5" s="80">
        <v>43509</v>
      </c>
      <c r="B5" s="81" t="s">
        <v>150</v>
      </c>
      <c r="C5" s="4">
        <v>3344.4</v>
      </c>
      <c r="D5" s="78"/>
      <c r="E5" s="4"/>
      <c r="F5" s="79">
        <f>C5</f>
        <v>3344.4</v>
      </c>
      <c r="H5" s="185"/>
    </row>
    <row r="6" spans="1:8" ht="18.75" x14ac:dyDescent="0.3">
      <c r="A6" s="80">
        <v>43509</v>
      </c>
      <c r="B6" s="81" t="s">
        <v>151</v>
      </c>
      <c r="C6" s="4">
        <v>21362.5</v>
      </c>
      <c r="D6" s="78"/>
      <c r="E6" s="4"/>
      <c r="F6" s="79">
        <f>F5+C6-E6</f>
        <v>24706.9</v>
      </c>
      <c r="H6" s="185"/>
    </row>
    <row r="7" spans="1:8" x14ac:dyDescent="0.25">
      <c r="A7" s="80">
        <v>43510</v>
      </c>
      <c r="B7" s="81" t="s">
        <v>152</v>
      </c>
      <c r="C7" s="4">
        <v>60292.1</v>
      </c>
      <c r="D7" s="78"/>
      <c r="E7" s="4"/>
      <c r="F7" s="79">
        <f>F6+C7-E7</f>
        <v>84999</v>
      </c>
    </row>
    <row r="8" spans="1:8" x14ac:dyDescent="0.25">
      <c r="A8" s="80">
        <v>43511</v>
      </c>
      <c r="B8" s="81" t="s">
        <v>153</v>
      </c>
      <c r="C8" s="4">
        <v>109620.73</v>
      </c>
      <c r="D8" s="61"/>
      <c r="E8" s="4"/>
      <c r="F8" s="79">
        <f t="shared" ref="F8:F38" si="0">F7+C8-E8</f>
        <v>194619.72999999998</v>
      </c>
    </row>
    <row r="9" spans="1:8" x14ac:dyDescent="0.25">
      <c r="A9" s="80">
        <v>43512</v>
      </c>
      <c r="B9" s="81" t="s">
        <v>154</v>
      </c>
      <c r="C9" s="4">
        <v>101293.4</v>
      </c>
      <c r="D9" s="78"/>
      <c r="E9" s="4"/>
      <c r="F9" s="79">
        <f t="shared" si="0"/>
        <v>295913.13</v>
      </c>
    </row>
    <row r="10" spans="1:8" x14ac:dyDescent="0.25">
      <c r="A10" s="80">
        <v>43513</v>
      </c>
      <c r="B10" s="81" t="s">
        <v>155</v>
      </c>
      <c r="C10" s="4">
        <v>818.4</v>
      </c>
      <c r="D10" s="78"/>
      <c r="E10" s="4"/>
      <c r="F10" s="79">
        <f t="shared" si="0"/>
        <v>296731.53000000003</v>
      </c>
    </row>
    <row r="11" spans="1:8" x14ac:dyDescent="0.25">
      <c r="A11" s="82">
        <v>43513</v>
      </c>
      <c r="B11" s="81" t="s">
        <v>156</v>
      </c>
      <c r="C11" s="4">
        <v>1131.2</v>
      </c>
      <c r="D11" s="78"/>
      <c r="E11" s="4"/>
      <c r="F11" s="79">
        <f t="shared" si="0"/>
        <v>297862.73000000004</v>
      </c>
    </row>
    <row r="12" spans="1:8" x14ac:dyDescent="0.25">
      <c r="A12" s="80">
        <v>43513</v>
      </c>
      <c r="B12" s="81" t="s">
        <v>157</v>
      </c>
      <c r="C12" s="4">
        <v>73</v>
      </c>
      <c r="D12" s="78"/>
      <c r="E12" s="4"/>
      <c r="F12" s="79">
        <f t="shared" si="0"/>
        <v>297935.73000000004</v>
      </c>
    </row>
    <row r="13" spans="1:8" x14ac:dyDescent="0.25">
      <c r="A13" s="80">
        <v>43514</v>
      </c>
      <c r="B13" s="81" t="s">
        <v>158</v>
      </c>
      <c r="C13" s="4">
        <v>47412.35</v>
      </c>
      <c r="D13" s="78"/>
      <c r="E13" s="4"/>
      <c r="F13" s="79">
        <f t="shared" si="0"/>
        <v>345348.08</v>
      </c>
    </row>
    <row r="14" spans="1:8" x14ac:dyDescent="0.25">
      <c r="A14" s="80"/>
      <c r="B14" s="81"/>
      <c r="C14" s="4"/>
      <c r="D14" s="78">
        <v>43515</v>
      </c>
      <c r="E14" s="4">
        <v>345348.08</v>
      </c>
      <c r="F14" s="79">
        <f t="shared" si="0"/>
        <v>0</v>
      </c>
    </row>
    <row r="15" spans="1:8" x14ac:dyDescent="0.25">
      <c r="A15" s="80">
        <v>43515</v>
      </c>
      <c r="B15" s="81" t="s">
        <v>159</v>
      </c>
      <c r="C15" s="4">
        <v>80157.440000000002</v>
      </c>
      <c r="D15" s="78"/>
      <c r="E15" s="4"/>
      <c r="F15" s="79">
        <f t="shared" si="0"/>
        <v>80157.440000000002</v>
      </c>
    </row>
    <row r="16" spans="1:8" x14ac:dyDescent="0.25">
      <c r="A16" s="80">
        <v>43516</v>
      </c>
      <c r="B16" s="81" t="s">
        <v>160</v>
      </c>
      <c r="C16" s="4">
        <v>64742.86</v>
      </c>
      <c r="D16" s="78"/>
      <c r="E16" s="4"/>
      <c r="F16" s="79">
        <f t="shared" si="0"/>
        <v>144900.29999999999</v>
      </c>
    </row>
    <row r="17" spans="1:6" x14ac:dyDescent="0.25">
      <c r="A17" s="80">
        <v>43517</v>
      </c>
      <c r="B17" s="81" t="s">
        <v>161</v>
      </c>
      <c r="C17" s="4">
        <v>77245.539999999994</v>
      </c>
      <c r="D17" s="78"/>
      <c r="E17" s="4"/>
      <c r="F17" s="79">
        <f t="shared" si="0"/>
        <v>222145.83999999997</v>
      </c>
    </row>
    <row r="18" spans="1:6" x14ac:dyDescent="0.25">
      <c r="A18" s="80">
        <v>43519</v>
      </c>
      <c r="B18" s="81" t="s">
        <v>162</v>
      </c>
      <c r="C18" s="4">
        <v>108087.35</v>
      </c>
      <c r="D18" s="78"/>
      <c r="E18" s="4"/>
      <c r="F18" s="79">
        <f t="shared" si="0"/>
        <v>330233.18999999994</v>
      </c>
    </row>
    <row r="19" spans="1:6" x14ac:dyDescent="0.25">
      <c r="A19" s="80">
        <v>43520</v>
      </c>
      <c r="B19" s="81" t="s">
        <v>163</v>
      </c>
      <c r="C19" s="4">
        <v>744.68</v>
      </c>
      <c r="D19" s="78"/>
      <c r="E19" s="4"/>
      <c r="F19" s="79">
        <f t="shared" si="0"/>
        <v>330977.86999999994</v>
      </c>
    </row>
    <row r="20" spans="1:6" x14ac:dyDescent="0.25">
      <c r="A20" s="80">
        <v>43520</v>
      </c>
      <c r="B20" s="81" t="s">
        <v>164</v>
      </c>
      <c r="C20" s="4">
        <v>60836.26</v>
      </c>
      <c r="D20" s="61"/>
      <c r="E20" s="4"/>
      <c r="F20" s="79">
        <f t="shared" si="0"/>
        <v>391814.12999999995</v>
      </c>
    </row>
    <row r="21" spans="1:6" x14ac:dyDescent="0.25">
      <c r="A21" s="80">
        <v>43521</v>
      </c>
      <c r="B21" s="81" t="s">
        <v>165</v>
      </c>
      <c r="C21" s="4">
        <v>21053.54</v>
      </c>
      <c r="D21" s="78"/>
      <c r="E21" s="4"/>
      <c r="F21" s="79">
        <f t="shared" si="0"/>
        <v>412867.66999999993</v>
      </c>
    </row>
    <row r="22" spans="1:6" x14ac:dyDescent="0.25">
      <c r="A22" s="80">
        <v>43521</v>
      </c>
      <c r="B22" s="81" t="s">
        <v>166</v>
      </c>
      <c r="C22" s="4">
        <v>2080</v>
      </c>
      <c r="D22" s="78"/>
      <c r="E22" s="4"/>
      <c r="F22" s="79">
        <f t="shared" si="0"/>
        <v>414947.66999999993</v>
      </c>
    </row>
    <row r="23" spans="1:6" x14ac:dyDescent="0.25">
      <c r="A23" s="80"/>
      <c r="B23" s="81"/>
      <c r="C23" s="4"/>
      <c r="D23" s="78">
        <v>43521</v>
      </c>
      <c r="E23" s="4">
        <v>222145.84</v>
      </c>
      <c r="F23" s="79">
        <f t="shared" si="0"/>
        <v>192801.82999999993</v>
      </c>
    </row>
    <row r="24" spans="1:6" x14ac:dyDescent="0.25">
      <c r="A24" s="80">
        <v>43522</v>
      </c>
      <c r="B24" s="81" t="s">
        <v>167</v>
      </c>
      <c r="C24" s="4">
        <v>95258.44</v>
      </c>
      <c r="D24" s="78"/>
      <c r="E24" s="4"/>
      <c r="F24" s="79">
        <f t="shared" si="0"/>
        <v>288060.2699999999</v>
      </c>
    </row>
    <row r="25" spans="1:6" x14ac:dyDescent="0.25">
      <c r="A25" s="80">
        <v>43524</v>
      </c>
      <c r="B25" s="81" t="s">
        <v>168</v>
      </c>
      <c r="C25" s="4">
        <v>21027</v>
      </c>
      <c r="D25" s="78"/>
      <c r="E25" s="4"/>
      <c r="F25" s="79">
        <f t="shared" si="0"/>
        <v>309087.2699999999</v>
      </c>
    </row>
    <row r="26" spans="1:6" x14ac:dyDescent="0.25">
      <c r="A26" s="80">
        <v>43524</v>
      </c>
      <c r="B26" s="81" t="s">
        <v>169</v>
      </c>
      <c r="C26" s="4">
        <v>120423.02</v>
      </c>
      <c r="D26" s="78"/>
      <c r="E26" s="4"/>
      <c r="F26" s="79">
        <f t="shared" si="0"/>
        <v>429510.28999999992</v>
      </c>
    </row>
    <row r="27" spans="1:6" x14ac:dyDescent="0.25">
      <c r="A27" s="83"/>
      <c r="B27" s="84"/>
      <c r="C27" s="4"/>
      <c r="D27" s="78">
        <v>43525</v>
      </c>
      <c r="E27" s="4">
        <v>429510.29</v>
      </c>
      <c r="F27" s="79">
        <f t="shared" si="0"/>
        <v>0</v>
      </c>
    </row>
    <row r="28" spans="1:6" x14ac:dyDescent="0.25">
      <c r="A28" s="83">
        <v>43525</v>
      </c>
      <c r="B28" s="84" t="s">
        <v>170</v>
      </c>
      <c r="C28" s="4">
        <v>33307.46</v>
      </c>
      <c r="D28" s="78"/>
      <c r="E28" s="4"/>
      <c r="F28" s="79">
        <f t="shared" si="0"/>
        <v>33307.46</v>
      </c>
    </row>
    <row r="29" spans="1:6" x14ac:dyDescent="0.25">
      <c r="A29" s="83">
        <v>43525</v>
      </c>
      <c r="B29" s="84" t="s">
        <v>171</v>
      </c>
      <c r="C29" s="4">
        <v>3522.4</v>
      </c>
      <c r="D29" s="78"/>
      <c r="E29" s="4"/>
      <c r="F29" s="79">
        <f t="shared" si="0"/>
        <v>36829.86</v>
      </c>
    </row>
    <row r="30" spans="1:6" x14ac:dyDescent="0.25">
      <c r="A30" s="83">
        <v>43525</v>
      </c>
      <c r="B30" s="84" t="s">
        <v>172</v>
      </c>
      <c r="C30" s="4">
        <v>83728.66</v>
      </c>
      <c r="D30" s="78"/>
      <c r="E30" s="4"/>
      <c r="F30" s="79">
        <f t="shared" si="0"/>
        <v>120558.52</v>
      </c>
    </row>
    <row r="31" spans="1:6" x14ac:dyDescent="0.25">
      <c r="A31" s="83">
        <v>43529</v>
      </c>
      <c r="B31" s="84" t="s">
        <v>173</v>
      </c>
      <c r="C31" s="4">
        <v>87864.1</v>
      </c>
      <c r="D31" s="78"/>
      <c r="E31" s="4"/>
      <c r="F31" s="79">
        <f t="shared" si="0"/>
        <v>208422.62</v>
      </c>
    </row>
    <row r="32" spans="1:6" x14ac:dyDescent="0.25">
      <c r="A32" s="83">
        <v>43529</v>
      </c>
      <c r="B32" s="84" t="s">
        <v>174</v>
      </c>
      <c r="C32" s="4">
        <v>9584</v>
      </c>
      <c r="D32" s="78"/>
      <c r="E32" s="4"/>
      <c r="F32" s="79">
        <f t="shared" si="0"/>
        <v>218006.62</v>
      </c>
    </row>
    <row r="33" spans="1:6" x14ac:dyDescent="0.25">
      <c r="A33" s="83"/>
      <c r="B33" s="84"/>
      <c r="C33" s="4"/>
      <c r="D33" s="78">
        <v>43529</v>
      </c>
      <c r="E33" s="4">
        <v>218006.62</v>
      </c>
      <c r="F33" s="79">
        <f t="shared" si="0"/>
        <v>0</v>
      </c>
    </row>
    <row r="34" spans="1:6" x14ac:dyDescent="0.25">
      <c r="A34" s="83">
        <v>43530</v>
      </c>
      <c r="B34" s="84" t="s">
        <v>175</v>
      </c>
      <c r="C34" s="4">
        <v>57215</v>
      </c>
      <c r="D34" s="78">
        <v>43533</v>
      </c>
      <c r="E34" s="4">
        <v>57215</v>
      </c>
      <c r="F34" s="79">
        <f t="shared" si="0"/>
        <v>0</v>
      </c>
    </row>
    <row r="35" spans="1:6" x14ac:dyDescent="0.25">
      <c r="A35" s="83">
        <v>43531</v>
      </c>
      <c r="B35" s="84" t="s">
        <v>176</v>
      </c>
      <c r="C35" s="4">
        <v>118220.79</v>
      </c>
      <c r="D35" s="78">
        <v>43533</v>
      </c>
      <c r="E35" s="4">
        <v>118220.79</v>
      </c>
      <c r="F35" s="79">
        <f t="shared" si="0"/>
        <v>0</v>
      </c>
    </row>
    <row r="36" spans="1:6" x14ac:dyDescent="0.25">
      <c r="A36" s="83">
        <v>43532</v>
      </c>
      <c r="B36" s="84" t="s">
        <v>177</v>
      </c>
      <c r="C36" s="206"/>
      <c r="D36" s="78"/>
      <c r="E36" s="4"/>
      <c r="F36" s="79">
        <f t="shared" si="0"/>
        <v>0</v>
      </c>
    </row>
    <row r="37" spans="1:6" x14ac:dyDescent="0.25">
      <c r="A37" s="83"/>
      <c r="B37" s="84"/>
      <c r="C37" s="4"/>
      <c r="D37" s="78"/>
      <c r="E37" s="4"/>
      <c r="F37" s="79">
        <f t="shared" si="0"/>
        <v>0</v>
      </c>
    </row>
    <row r="38" spans="1:6" ht="15.75" thickBot="1" x14ac:dyDescent="0.3">
      <c r="A38" s="85"/>
      <c r="B38" s="86"/>
      <c r="C38" s="66"/>
      <c r="D38" s="87"/>
      <c r="E38" s="66"/>
      <c r="F38" s="79">
        <f t="shared" si="0"/>
        <v>0</v>
      </c>
    </row>
    <row r="39" spans="1:6" ht="19.5" thickTop="1" x14ac:dyDescent="0.3">
      <c r="B39" s="25"/>
      <c r="C39" s="4">
        <f>SUM(C3:C38)</f>
        <v>1535840.86</v>
      </c>
      <c r="D39" s="1"/>
      <c r="E39" s="5">
        <f>SUM(E3:E38)</f>
        <v>1390446.62</v>
      </c>
      <c r="F39" s="186">
        <f>F38</f>
        <v>0</v>
      </c>
    </row>
    <row r="40" spans="1:6" x14ac:dyDescent="0.25">
      <c r="B40" s="25"/>
      <c r="C40" s="4"/>
      <c r="D40" s="1"/>
      <c r="E40" s="5"/>
      <c r="F40" s="4"/>
    </row>
    <row r="41" spans="1:6" x14ac:dyDescent="0.25">
      <c r="B41" s="25"/>
      <c r="C41" s="4"/>
      <c r="D41" s="1"/>
      <c r="E41" s="5"/>
      <c r="F41" s="4"/>
    </row>
    <row r="42" spans="1:6" x14ac:dyDescent="0.25">
      <c r="A42"/>
      <c r="B42" s="21"/>
      <c r="D42" s="21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  <c r="F45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E54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B60" s="21"/>
      <c r="D60" s="21"/>
      <c r="E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</row>
    <row r="70" spans="2:5" x14ac:dyDescent="0.25">
      <c r="B70" s="21"/>
    </row>
    <row r="71" spans="2:5" x14ac:dyDescent="0.25">
      <c r="B71" s="21"/>
      <c r="D71" s="21"/>
    </row>
    <row r="72" spans="2:5" x14ac:dyDescent="0.25">
      <c r="B72" s="21"/>
    </row>
    <row r="73" spans="2:5" x14ac:dyDescent="0.25">
      <c r="B73" s="21"/>
    </row>
    <row r="74" spans="2:5" x14ac:dyDescent="0.25">
      <c r="B74" s="21"/>
    </row>
    <row r="75" spans="2:5" ht="18.75" x14ac:dyDescent="0.3">
      <c r="C75" s="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B16D-7730-44B7-B492-F4B3DC25875E}">
  <sheetPr>
    <tabColor rgb="FF00CCFF"/>
  </sheetPr>
  <dimension ref="A1:Z72"/>
  <sheetViews>
    <sheetView topLeftCell="U9" workbookViewId="0">
      <selection activeCell="AB20" sqref="AB2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style="5" bestFit="1" customWidth="1"/>
    <col min="17" max="17" width="14.140625" customWidth="1"/>
    <col min="18" max="18" width="13.85546875" customWidth="1"/>
    <col min="20" max="20" width="15.85546875" bestFit="1" customWidth="1"/>
  </cols>
  <sheetData>
    <row r="1" spans="1:26" ht="24" thickBot="1" x14ac:dyDescent="0.4">
      <c r="C1" s="378" t="s">
        <v>182</v>
      </c>
      <c r="D1" s="378"/>
      <c r="E1" s="378"/>
      <c r="F1" s="378"/>
      <c r="G1" s="378"/>
      <c r="H1" s="378"/>
      <c r="I1" s="378"/>
      <c r="J1" s="378"/>
      <c r="K1" s="378"/>
      <c r="L1" s="2" t="s">
        <v>0</v>
      </c>
    </row>
    <row r="2" spans="1:26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W2" s="216"/>
      <c r="X2" s="217"/>
      <c r="Y2" s="218"/>
    </row>
    <row r="3" spans="1:26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388" t="s">
        <v>56</v>
      </c>
      <c r="T3" s="389"/>
      <c r="W3" s="150">
        <v>43411</v>
      </c>
      <c r="X3" s="102" t="s">
        <v>39</v>
      </c>
      <c r="Y3" s="219">
        <v>2000</v>
      </c>
      <c r="Z3" t="s">
        <v>200</v>
      </c>
    </row>
    <row r="4" spans="1:26" ht="20.25" thickTop="1" thickBot="1" x14ac:dyDescent="0.35">
      <c r="A4" s="16" t="s">
        <v>5</v>
      </c>
      <c r="B4" s="17"/>
      <c r="C4" s="18">
        <v>345184.94</v>
      </c>
      <c r="D4" s="213">
        <v>43531</v>
      </c>
      <c r="E4" s="380" t="s">
        <v>6</v>
      </c>
      <c r="F4" s="381"/>
      <c r="I4" s="382" t="s">
        <v>7</v>
      </c>
      <c r="J4" s="383"/>
      <c r="K4" s="383"/>
      <c r="L4" s="383"/>
      <c r="M4" s="20" t="s">
        <v>8</v>
      </c>
      <c r="N4" s="94" t="s">
        <v>36</v>
      </c>
      <c r="O4" s="7"/>
      <c r="R4" s="228">
        <v>43533</v>
      </c>
      <c r="S4" s="145" t="s">
        <v>47</v>
      </c>
      <c r="T4" s="135">
        <v>5010</v>
      </c>
      <c r="W4" s="220">
        <v>43416</v>
      </c>
      <c r="X4" s="102" t="s">
        <v>39</v>
      </c>
      <c r="Y4" s="219">
        <v>2000</v>
      </c>
      <c r="Z4" t="s">
        <v>201</v>
      </c>
    </row>
    <row r="5" spans="1:26" ht="15.75" thickBot="1" x14ac:dyDescent="0.3">
      <c r="A5" s="21"/>
      <c r="B5" s="27">
        <v>43532</v>
      </c>
      <c r="C5" s="234">
        <v>16778.43</v>
      </c>
      <c r="D5" s="93" t="s">
        <v>183</v>
      </c>
      <c r="E5" s="29">
        <v>43532</v>
      </c>
      <c r="F5" s="233">
        <v>83397</v>
      </c>
      <c r="H5" s="24">
        <v>43532</v>
      </c>
      <c r="I5" s="235">
        <v>2440.4699999999998</v>
      </c>
      <c r="J5" s="106"/>
      <c r="L5" s="4"/>
      <c r="M5" s="287">
        <v>62461</v>
      </c>
      <c r="N5" s="286">
        <v>1500</v>
      </c>
      <c r="Q5" s="212"/>
      <c r="R5" s="228">
        <v>43537</v>
      </c>
      <c r="S5" s="136" t="s">
        <v>47</v>
      </c>
      <c r="T5" s="135">
        <v>5010</v>
      </c>
      <c r="W5" s="221">
        <v>43423</v>
      </c>
      <c r="X5" s="102" t="s">
        <v>39</v>
      </c>
      <c r="Y5" s="219">
        <v>2000</v>
      </c>
      <c r="Z5" t="s">
        <v>202</v>
      </c>
    </row>
    <row r="6" spans="1:26" ht="15.75" thickBot="1" x14ac:dyDescent="0.3">
      <c r="A6" s="21"/>
      <c r="B6" s="27">
        <v>43533</v>
      </c>
      <c r="C6" s="234">
        <v>1485</v>
      </c>
      <c r="D6" s="23" t="s">
        <v>184</v>
      </c>
      <c r="E6" s="29">
        <v>43533</v>
      </c>
      <c r="F6" s="233">
        <v>124545</v>
      </c>
      <c r="H6" s="24">
        <v>43533</v>
      </c>
      <c r="I6" s="235">
        <v>5285</v>
      </c>
      <c r="J6" s="106"/>
      <c r="K6" s="127"/>
      <c r="L6" s="208"/>
      <c r="M6" s="287">
        <v>106463</v>
      </c>
      <c r="N6" s="286">
        <v>4202</v>
      </c>
      <c r="O6" s="167"/>
      <c r="Q6" s="212"/>
      <c r="R6" s="229">
        <v>43537</v>
      </c>
      <c r="S6" s="134" t="s">
        <v>41</v>
      </c>
      <c r="T6" s="135">
        <v>5010</v>
      </c>
      <c r="W6" s="222">
        <v>43432</v>
      </c>
      <c r="X6" s="102" t="s">
        <v>39</v>
      </c>
      <c r="Y6" s="223">
        <v>2000</v>
      </c>
      <c r="Z6" t="s">
        <v>203</v>
      </c>
    </row>
    <row r="7" spans="1:26" ht="15.75" thickBot="1" x14ac:dyDescent="0.3">
      <c r="A7" s="21"/>
      <c r="B7" s="27">
        <v>43534</v>
      </c>
      <c r="C7" s="234">
        <v>0</v>
      </c>
      <c r="D7" s="28"/>
      <c r="E7" s="29">
        <v>43534</v>
      </c>
      <c r="F7" s="233">
        <v>88310</v>
      </c>
      <c r="H7" s="24">
        <v>43534</v>
      </c>
      <c r="I7" s="235">
        <v>168</v>
      </c>
      <c r="J7" s="31"/>
      <c r="K7" s="127" t="s">
        <v>9</v>
      </c>
      <c r="L7" s="248">
        <v>0</v>
      </c>
      <c r="M7" s="287">
        <v>83390</v>
      </c>
      <c r="N7" s="286">
        <v>4749</v>
      </c>
      <c r="P7" s="4"/>
      <c r="Q7" s="4"/>
      <c r="R7" s="230">
        <v>43543</v>
      </c>
      <c r="S7" s="136" t="s">
        <v>47</v>
      </c>
      <c r="T7" s="135">
        <v>5010</v>
      </c>
      <c r="W7" s="150">
        <v>43439</v>
      </c>
      <c r="X7" s="102" t="s">
        <v>39</v>
      </c>
      <c r="Y7" s="219">
        <v>2000</v>
      </c>
      <c r="Z7" t="s">
        <v>204</v>
      </c>
    </row>
    <row r="8" spans="1:26" ht="15.75" thickBot="1" x14ac:dyDescent="0.3">
      <c r="A8" s="21"/>
      <c r="B8" s="27">
        <v>43535</v>
      </c>
      <c r="C8" s="234">
        <v>1131</v>
      </c>
      <c r="D8" s="43" t="s">
        <v>186</v>
      </c>
      <c r="E8" s="29">
        <v>43535</v>
      </c>
      <c r="F8" s="233">
        <v>89145</v>
      </c>
      <c r="H8" s="24">
        <v>43535</v>
      </c>
      <c r="I8" s="235">
        <v>0</v>
      </c>
      <c r="J8" s="34">
        <v>43558</v>
      </c>
      <c r="K8" s="35" t="s">
        <v>10</v>
      </c>
      <c r="L8" s="250">
        <v>24857</v>
      </c>
      <c r="M8" s="287">
        <f>87328+4190</f>
        <v>91518</v>
      </c>
      <c r="N8" s="286">
        <v>686</v>
      </c>
      <c r="P8" s="4"/>
      <c r="Q8" s="4"/>
      <c r="R8" s="228">
        <v>43543</v>
      </c>
      <c r="S8" s="134" t="s">
        <v>41</v>
      </c>
      <c r="T8" s="135">
        <v>5010</v>
      </c>
      <c r="W8" s="221">
        <v>43446</v>
      </c>
      <c r="X8" s="102" t="s">
        <v>39</v>
      </c>
      <c r="Y8" s="219">
        <v>2000</v>
      </c>
      <c r="Z8" t="s">
        <v>205</v>
      </c>
    </row>
    <row r="9" spans="1:26" ht="15.75" thickBot="1" x14ac:dyDescent="0.3">
      <c r="A9" s="21"/>
      <c r="B9" s="27">
        <v>43536</v>
      </c>
      <c r="C9" s="234">
        <v>13792.42</v>
      </c>
      <c r="D9" s="38" t="s">
        <v>43</v>
      </c>
      <c r="E9" s="29">
        <v>43536</v>
      </c>
      <c r="F9" s="233">
        <v>47849</v>
      </c>
      <c r="H9" s="24">
        <v>43536</v>
      </c>
      <c r="I9" s="235">
        <v>278.93</v>
      </c>
      <c r="J9" s="96">
        <v>43556</v>
      </c>
      <c r="K9" s="102" t="s">
        <v>11</v>
      </c>
      <c r="L9" s="248">
        <v>20000</v>
      </c>
      <c r="M9" s="287">
        <v>35257</v>
      </c>
      <c r="N9" s="286">
        <v>369</v>
      </c>
      <c r="O9" s="167"/>
      <c r="P9" s="4"/>
      <c r="Q9" s="4"/>
      <c r="R9" s="230">
        <v>43549</v>
      </c>
      <c r="S9" s="134" t="s">
        <v>41</v>
      </c>
      <c r="T9" s="135">
        <v>5010</v>
      </c>
      <c r="W9" s="221">
        <v>43453</v>
      </c>
      <c r="X9" s="102" t="s">
        <v>39</v>
      </c>
      <c r="Y9" s="219">
        <v>2000</v>
      </c>
      <c r="Z9" t="s">
        <v>206</v>
      </c>
    </row>
    <row r="10" spans="1:26" ht="15.75" thickBot="1" x14ac:dyDescent="0.3">
      <c r="A10" s="21"/>
      <c r="B10" s="27">
        <v>43537</v>
      </c>
      <c r="C10" s="234">
        <v>2239</v>
      </c>
      <c r="D10" s="23" t="s">
        <v>184</v>
      </c>
      <c r="E10" s="29">
        <v>43537</v>
      </c>
      <c r="F10" s="233">
        <v>48822</v>
      </c>
      <c r="H10" s="24">
        <v>43537</v>
      </c>
      <c r="I10" s="235">
        <v>15355.98</v>
      </c>
      <c r="J10" s="106"/>
      <c r="K10" s="126" t="s">
        <v>131</v>
      </c>
      <c r="L10" s="236">
        <v>0</v>
      </c>
      <c r="M10" s="287">
        <f>30940+51</f>
        <v>30991</v>
      </c>
      <c r="N10" s="286">
        <v>234</v>
      </c>
      <c r="Q10" s="212"/>
      <c r="R10" s="228">
        <v>43549</v>
      </c>
      <c r="S10" s="134" t="s">
        <v>47</v>
      </c>
      <c r="T10" s="135">
        <v>5010</v>
      </c>
      <c r="W10" s="222">
        <v>43462</v>
      </c>
      <c r="X10" s="102" t="s">
        <v>39</v>
      </c>
      <c r="Y10" s="223">
        <v>2000</v>
      </c>
      <c r="Z10" t="s">
        <v>207</v>
      </c>
    </row>
    <row r="11" spans="1:26" ht="15.75" thickBot="1" x14ac:dyDescent="0.3">
      <c r="A11" s="21"/>
      <c r="B11" s="27">
        <v>43538</v>
      </c>
      <c r="C11" s="234">
        <v>724</v>
      </c>
      <c r="D11" s="23" t="s">
        <v>49</v>
      </c>
      <c r="E11" s="29">
        <v>43538</v>
      </c>
      <c r="F11" s="233">
        <v>90918</v>
      </c>
      <c r="H11" s="24">
        <v>43538</v>
      </c>
      <c r="I11" s="235">
        <v>160</v>
      </c>
      <c r="J11" s="106">
        <v>43532</v>
      </c>
      <c r="K11" s="147" t="s">
        <v>248</v>
      </c>
      <c r="L11" s="236">
        <v>217</v>
      </c>
      <c r="M11" s="287">
        <v>85020</v>
      </c>
      <c r="N11" s="286">
        <v>5014.0200000000004</v>
      </c>
      <c r="Q11" s="212"/>
      <c r="R11" s="228">
        <v>43559</v>
      </c>
      <c r="S11" s="136" t="s">
        <v>47</v>
      </c>
      <c r="T11" s="135">
        <v>5010</v>
      </c>
      <c r="W11" s="323">
        <v>43474</v>
      </c>
      <c r="X11" s="25" t="s">
        <v>39</v>
      </c>
      <c r="Y11" s="125">
        <v>2000</v>
      </c>
      <c r="Z11" s="179" t="s">
        <v>208</v>
      </c>
    </row>
    <row r="12" spans="1:26" ht="15.75" thickBot="1" x14ac:dyDescent="0.3">
      <c r="A12" s="21"/>
      <c r="B12" s="27">
        <v>43539</v>
      </c>
      <c r="C12" s="234">
        <v>940</v>
      </c>
      <c r="D12" s="23" t="s">
        <v>49</v>
      </c>
      <c r="E12" s="29">
        <v>43539</v>
      </c>
      <c r="F12" s="233">
        <v>72629</v>
      </c>
      <c r="H12" s="24">
        <v>43539</v>
      </c>
      <c r="I12" s="235">
        <v>2066</v>
      </c>
      <c r="J12" s="106">
        <v>43533</v>
      </c>
      <c r="K12" s="102" t="s">
        <v>134</v>
      </c>
      <c r="L12" s="236">
        <v>12728.16</v>
      </c>
      <c r="M12" s="287">
        <v>61225</v>
      </c>
      <c r="N12" s="286">
        <v>8398</v>
      </c>
      <c r="P12" s="239">
        <v>5618.64</v>
      </c>
      <c r="Q12" s="33" t="s">
        <v>185</v>
      </c>
      <c r="R12" s="228">
        <v>43559</v>
      </c>
      <c r="S12" s="134" t="s">
        <v>41</v>
      </c>
      <c r="T12" s="135">
        <v>5010</v>
      </c>
      <c r="W12" s="324">
        <v>43481</v>
      </c>
      <c r="X12" s="102" t="s">
        <v>39</v>
      </c>
      <c r="Y12" s="103">
        <v>2000</v>
      </c>
      <c r="Z12" t="s">
        <v>209</v>
      </c>
    </row>
    <row r="13" spans="1:26" ht="15.75" thickBot="1" x14ac:dyDescent="0.3">
      <c r="A13" s="21"/>
      <c r="B13" s="27">
        <v>43540</v>
      </c>
      <c r="C13" s="234">
        <v>30775.17</v>
      </c>
      <c r="D13" s="43" t="s">
        <v>187</v>
      </c>
      <c r="E13" s="29">
        <v>43540</v>
      </c>
      <c r="F13" s="233">
        <v>167693</v>
      </c>
      <c r="H13" s="24">
        <v>43540</v>
      </c>
      <c r="I13" s="235">
        <v>400</v>
      </c>
      <c r="J13" s="106">
        <v>43540</v>
      </c>
      <c r="K13" s="102" t="s">
        <v>178</v>
      </c>
      <c r="L13" s="236">
        <f>13606.74+229</f>
        <v>13835.74</v>
      </c>
      <c r="M13" s="287">
        <v>124566</v>
      </c>
      <c r="N13" s="286">
        <v>3963</v>
      </c>
      <c r="P13" s="239">
        <v>5618.64</v>
      </c>
      <c r="Q13" s="33" t="s">
        <v>185</v>
      </c>
      <c r="R13" s="228"/>
      <c r="S13" s="136"/>
      <c r="T13" s="135">
        <v>0</v>
      </c>
      <c r="W13" s="324">
        <v>43488</v>
      </c>
      <c r="X13" s="102" t="s">
        <v>39</v>
      </c>
      <c r="Y13" s="103">
        <v>2000</v>
      </c>
      <c r="Z13" t="s">
        <v>210</v>
      </c>
    </row>
    <row r="14" spans="1:26" ht="16.5" thickBot="1" x14ac:dyDescent="0.3">
      <c r="A14" s="21"/>
      <c r="B14" s="27">
        <v>43541</v>
      </c>
      <c r="C14" s="234">
        <v>1731</v>
      </c>
      <c r="D14" s="28" t="s">
        <v>188</v>
      </c>
      <c r="E14" s="29">
        <v>43541</v>
      </c>
      <c r="F14" s="233">
        <v>118158</v>
      </c>
      <c r="H14" s="24">
        <v>43541</v>
      </c>
      <c r="I14" s="235">
        <v>0</v>
      </c>
      <c r="J14" s="106">
        <v>43547</v>
      </c>
      <c r="K14" s="102" t="s">
        <v>179</v>
      </c>
      <c r="L14" s="236">
        <v>14907.16</v>
      </c>
      <c r="M14" s="287">
        <v>112503</v>
      </c>
      <c r="N14" s="286">
        <v>3924</v>
      </c>
      <c r="P14" s="57">
        <v>4546.4799999999996</v>
      </c>
      <c r="Q14" s="214" t="s">
        <v>185</v>
      </c>
      <c r="R14" s="228"/>
      <c r="S14" s="141"/>
      <c r="T14" s="142">
        <v>0</v>
      </c>
      <c r="W14" s="325">
        <v>43497</v>
      </c>
      <c r="X14" s="102" t="s">
        <v>39</v>
      </c>
      <c r="Y14" s="104">
        <v>2000</v>
      </c>
      <c r="Z14" t="s">
        <v>211</v>
      </c>
    </row>
    <row r="15" spans="1:26" ht="19.5" thickBot="1" x14ac:dyDescent="0.35">
      <c r="A15" s="21"/>
      <c r="B15" s="27">
        <v>43542</v>
      </c>
      <c r="C15" s="234">
        <v>710</v>
      </c>
      <c r="D15" s="23" t="s">
        <v>49</v>
      </c>
      <c r="E15" s="29">
        <v>43542</v>
      </c>
      <c r="F15" s="233">
        <v>79076</v>
      </c>
      <c r="H15" s="24">
        <v>43542</v>
      </c>
      <c r="I15" s="235">
        <v>0</v>
      </c>
      <c r="J15" s="106">
        <v>43554</v>
      </c>
      <c r="K15" s="102" t="s">
        <v>180</v>
      </c>
      <c r="L15" s="236">
        <v>12649.12</v>
      </c>
      <c r="M15" s="287">
        <v>77650</v>
      </c>
      <c r="N15" s="286">
        <v>717</v>
      </c>
      <c r="P15" s="243">
        <v>5466.59</v>
      </c>
      <c r="Q15" s="214" t="s">
        <v>185</v>
      </c>
      <c r="R15" s="228"/>
      <c r="S15" s="133" t="s">
        <v>13</v>
      </c>
      <c r="T15" s="132">
        <f>SUM(T4:T14)</f>
        <v>45090</v>
      </c>
      <c r="W15" s="325">
        <v>43504</v>
      </c>
      <c r="X15" s="102" t="s">
        <v>39</v>
      </c>
      <c r="Y15" s="104">
        <v>2000</v>
      </c>
      <c r="Z15" t="s">
        <v>212</v>
      </c>
    </row>
    <row r="16" spans="1:26" ht="15.75" thickBot="1" x14ac:dyDescent="0.3">
      <c r="A16" s="21"/>
      <c r="B16" s="27">
        <v>43543</v>
      </c>
      <c r="C16" s="234">
        <v>1376</v>
      </c>
      <c r="D16" s="23" t="s">
        <v>193</v>
      </c>
      <c r="E16" s="29">
        <v>43543</v>
      </c>
      <c r="F16" s="233">
        <v>97190</v>
      </c>
      <c r="H16" s="24">
        <v>43543</v>
      </c>
      <c r="I16" s="235">
        <v>10250.6</v>
      </c>
      <c r="J16" s="164"/>
      <c r="K16" s="25" t="s">
        <v>181</v>
      </c>
      <c r="L16" s="4">
        <v>0</v>
      </c>
      <c r="M16" s="287">
        <v>83438</v>
      </c>
      <c r="N16" s="286">
        <v>2125</v>
      </c>
      <c r="P16" s="5">
        <f>SUM(P12:P15)</f>
        <v>21250.35</v>
      </c>
      <c r="Q16" s="212"/>
      <c r="S16" s="25"/>
      <c r="T16" s="26"/>
      <c r="W16" s="325">
        <v>43512</v>
      </c>
      <c r="X16" s="25" t="s">
        <v>39</v>
      </c>
      <c r="Y16" s="125">
        <v>2000</v>
      </c>
      <c r="Z16" t="s">
        <v>213</v>
      </c>
    </row>
    <row r="17" spans="1:26" ht="16.5" thickBot="1" x14ac:dyDescent="0.3">
      <c r="A17" s="21"/>
      <c r="B17" s="27">
        <v>43544</v>
      </c>
      <c r="C17" s="234">
        <v>13386</v>
      </c>
      <c r="D17" s="43" t="s">
        <v>101</v>
      </c>
      <c r="E17" s="29">
        <v>43544</v>
      </c>
      <c r="F17" s="233">
        <v>63898</v>
      </c>
      <c r="H17" s="24">
        <v>43544</v>
      </c>
      <c r="I17" s="240">
        <v>2035</v>
      </c>
      <c r="J17" s="36"/>
      <c r="K17" s="148"/>
      <c r="L17" s="210">
        <v>0</v>
      </c>
      <c r="M17" s="287">
        <v>47087</v>
      </c>
      <c r="N17" s="286">
        <v>1390</v>
      </c>
      <c r="Q17" s="212"/>
      <c r="R17" s="101"/>
      <c r="S17" s="25"/>
      <c r="T17" s="26"/>
      <c r="W17" s="325">
        <v>43516</v>
      </c>
      <c r="X17" s="102" t="s">
        <v>39</v>
      </c>
      <c r="Y17" s="103">
        <v>2000</v>
      </c>
      <c r="Z17" t="s">
        <v>214</v>
      </c>
    </row>
    <row r="18" spans="1:26" ht="15.75" thickBot="1" x14ac:dyDescent="0.3">
      <c r="A18" s="21"/>
      <c r="B18" s="27">
        <v>43545</v>
      </c>
      <c r="C18" s="234">
        <v>1445</v>
      </c>
      <c r="D18" s="23" t="s">
        <v>49</v>
      </c>
      <c r="E18" s="29">
        <v>43545</v>
      </c>
      <c r="F18" s="233">
        <v>54132</v>
      </c>
      <c r="H18" s="24">
        <v>43545</v>
      </c>
      <c r="I18" s="235">
        <v>0</v>
      </c>
      <c r="J18" s="42"/>
      <c r="K18" s="149"/>
      <c r="L18" s="208">
        <v>0</v>
      </c>
      <c r="M18" s="287">
        <v>50104</v>
      </c>
      <c r="N18" s="286">
        <v>2583</v>
      </c>
      <c r="Q18" s="212"/>
      <c r="S18" s="25"/>
      <c r="T18" s="4"/>
      <c r="W18" s="325">
        <v>43525</v>
      </c>
      <c r="X18" s="102" t="s">
        <v>39</v>
      </c>
      <c r="Y18" s="103">
        <v>2000</v>
      </c>
      <c r="Z18" t="s">
        <v>215</v>
      </c>
    </row>
    <row r="19" spans="1:26" ht="15.75" thickBot="1" x14ac:dyDescent="0.3">
      <c r="A19" s="21"/>
      <c r="B19" s="27">
        <v>43546</v>
      </c>
      <c r="C19" s="234">
        <v>10822.7</v>
      </c>
      <c r="D19" s="43" t="s">
        <v>194</v>
      </c>
      <c r="E19" s="29">
        <v>43546</v>
      </c>
      <c r="F19" s="233">
        <v>94258</v>
      </c>
      <c r="H19" s="24">
        <v>43546</v>
      </c>
      <c r="I19" s="235">
        <v>99</v>
      </c>
      <c r="J19" s="7"/>
      <c r="K19" s="150" t="s">
        <v>33</v>
      </c>
      <c r="L19" s="208">
        <v>0</v>
      </c>
      <c r="M19" s="287">
        <v>82045</v>
      </c>
      <c r="N19" s="286">
        <v>1291</v>
      </c>
      <c r="Q19" s="5"/>
      <c r="S19" s="121"/>
      <c r="T19" s="124"/>
      <c r="W19" s="325">
        <v>43532</v>
      </c>
      <c r="X19" s="25" t="s">
        <v>39</v>
      </c>
      <c r="Y19" s="125">
        <v>2000</v>
      </c>
      <c r="Z19" t="s">
        <v>216</v>
      </c>
    </row>
    <row r="20" spans="1:26" ht="20.25" thickTop="1" thickBot="1" x14ac:dyDescent="0.35">
      <c r="A20" s="21"/>
      <c r="B20" s="27">
        <v>43547</v>
      </c>
      <c r="C20" s="234">
        <v>1519.8</v>
      </c>
      <c r="D20" s="23" t="s">
        <v>195</v>
      </c>
      <c r="E20" s="29">
        <v>43547</v>
      </c>
      <c r="F20" s="233">
        <v>97639</v>
      </c>
      <c r="H20" s="24">
        <v>43547</v>
      </c>
      <c r="I20" s="235">
        <v>0</v>
      </c>
      <c r="J20" s="42"/>
      <c r="K20" s="149" t="s">
        <v>34</v>
      </c>
      <c r="L20" s="210">
        <v>0</v>
      </c>
      <c r="M20" s="287">
        <v>85100</v>
      </c>
      <c r="N20" s="286">
        <v>1738</v>
      </c>
      <c r="O20" s="4">
        <v>8</v>
      </c>
      <c r="Q20" s="5"/>
      <c r="S20" s="390" t="s">
        <v>56</v>
      </c>
      <c r="T20" s="391"/>
      <c r="W20" s="325">
        <v>43539</v>
      </c>
      <c r="X20" s="102" t="s">
        <v>39</v>
      </c>
      <c r="Y20" s="103">
        <v>2000</v>
      </c>
      <c r="Z20" t="s">
        <v>217</v>
      </c>
    </row>
    <row r="21" spans="1:26" ht="16.5" thickBot="1" x14ac:dyDescent="0.3">
      <c r="A21" s="21"/>
      <c r="B21" s="27">
        <v>43548</v>
      </c>
      <c r="C21" s="234">
        <v>1240</v>
      </c>
      <c r="D21" s="23" t="s">
        <v>104</v>
      </c>
      <c r="E21" s="29">
        <v>43548</v>
      </c>
      <c r="F21" s="233">
        <v>114070</v>
      </c>
      <c r="H21" s="24">
        <v>43548</v>
      </c>
      <c r="I21" s="235">
        <v>0</v>
      </c>
      <c r="J21" s="44"/>
      <c r="K21" s="195"/>
      <c r="L21" s="210">
        <v>0</v>
      </c>
      <c r="M21" s="287">
        <v>111774</v>
      </c>
      <c r="N21" s="286">
        <v>1048</v>
      </c>
      <c r="O21" s="167">
        <v>-8</v>
      </c>
      <c r="Q21" s="5"/>
      <c r="R21" s="228">
        <v>43532</v>
      </c>
      <c r="S21" s="25" t="s">
        <v>39</v>
      </c>
      <c r="T21" s="125">
        <v>2000</v>
      </c>
      <c r="W21" s="325">
        <v>43558</v>
      </c>
      <c r="X21" s="102" t="s">
        <v>39</v>
      </c>
      <c r="Y21" s="103">
        <v>6000</v>
      </c>
      <c r="Z21" t="s">
        <v>218</v>
      </c>
    </row>
    <row r="22" spans="1:26" ht="15.75" thickBot="1" x14ac:dyDescent="0.3">
      <c r="A22" s="21"/>
      <c r="B22" s="27">
        <v>43549</v>
      </c>
      <c r="C22" s="234">
        <v>0</v>
      </c>
      <c r="D22" s="23"/>
      <c r="E22" s="29">
        <v>43549</v>
      </c>
      <c r="F22" s="233">
        <v>61882</v>
      </c>
      <c r="H22" s="24">
        <v>43549</v>
      </c>
      <c r="I22" s="235">
        <v>10020</v>
      </c>
      <c r="J22" s="34"/>
      <c r="K22" s="153"/>
      <c r="L22" s="210">
        <v>0</v>
      </c>
      <c r="M22" s="287">
        <v>50467</v>
      </c>
      <c r="N22" s="286">
        <v>1395</v>
      </c>
      <c r="O22" s="167"/>
      <c r="Q22" s="5"/>
      <c r="R22" s="228">
        <v>43539</v>
      </c>
      <c r="S22" s="102" t="s">
        <v>39</v>
      </c>
      <c r="T22" s="103">
        <v>2000</v>
      </c>
    </row>
    <row r="23" spans="1:26" ht="15.75" thickBot="1" x14ac:dyDescent="0.3">
      <c r="A23" s="21"/>
      <c r="B23" s="27">
        <v>43550</v>
      </c>
      <c r="C23" s="234">
        <v>0</v>
      </c>
      <c r="D23" s="23"/>
      <c r="E23" s="29">
        <v>43550</v>
      </c>
      <c r="F23" s="233">
        <v>84159</v>
      </c>
      <c r="H23" s="24">
        <v>43550</v>
      </c>
      <c r="I23" s="235">
        <v>226</v>
      </c>
      <c r="J23" s="95"/>
      <c r="K23" s="154"/>
      <c r="L23" s="210">
        <v>0</v>
      </c>
      <c r="M23" s="287">
        <v>83676</v>
      </c>
      <c r="N23" s="286">
        <v>257</v>
      </c>
      <c r="Q23" s="5"/>
      <c r="R23" s="228">
        <v>43558</v>
      </c>
      <c r="S23" s="102" t="s">
        <v>39</v>
      </c>
      <c r="T23" s="103">
        <v>6000</v>
      </c>
      <c r="U23" t="s">
        <v>218</v>
      </c>
    </row>
    <row r="24" spans="1:26" ht="15.75" thickBot="1" x14ac:dyDescent="0.3">
      <c r="A24" s="21"/>
      <c r="B24" s="27">
        <v>43551</v>
      </c>
      <c r="C24" s="234">
        <v>13194.55</v>
      </c>
      <c r="D24" s="23" t="s">
        <v>196</v>
      </c>
      <c r="E24" s="29">
        <v>43551</v>
      </c>
      <c r="F24" s="233">
        <v>58598</v>
      </c>
      <c r="H24" s="24">
        <v>43551</v>
      </c>
      <c r="I24" s="235">
        <v>34.5</v>
      </c>
      <c r="J24" s="46"/>
      <c r="K24" s="155"/>
      <c r="L24" s="135">
        <v>0</v>
      </c>
      <c r="M24" s="285">
        <v>45180</v>
      </c>
      <c r="N24" s="286">
        <v>188</v>
      </c>
      <c r="Q24" s="5"/>
      <c r="R24" s="228"/>
      <c r="S24" s="102" t="s">
        <v>39</v>
      </c>
      <c r="T24" s="104">
        <v>0</v>
      </c>
    </row>
    <row r="25" spans="1:26" ht="15.75" thickBot="1" x14ac:dyDescent="0.3">
      <c r="A25" s="21"/>
      <c r="B25" s="241">
        <v>43552</v>
      </c>
      <c r="C25" s="234">
        <v>942</v>
      </c>
      <c r="D25" s="23" t="s">
        <v>49</v>
      </c>
      <c r="E25" s="29">
        <v>43552</v>
      </c>
      <c r="F25" s="233">
        <v>51761</v>
      </c>
      <c r="H25" s="24">
        <v>43552</v>
      </c>
      <c r="I25" s="235">
        <v>253</v>
      </c>
      <c r="J25" s="109"/>
      <c r="K25" s="155"/>
      <c r="L25" s="135">
        <v>0</v>
      </c>
      <c r="M25" s="285">
        <v>49950</v>
      </c>
      <c r="N25" s="286">
        <v>618</v>
      </c>
      <c r="R25" s="228"/>
      <c r="S25" s="102" t="s">
        <v>39</v>
      </c>
      <c r="T25" s="104">
        <v>0</v>
      </c>
    </row>
    <row r="26" spans="1:26" ht="15.75" thickBot="1" x14ac:dyDescent="0.3">
      <c r="A26" s="21"/>
      <c r="B26" s="27">
        <v>43553</v>
      </c>
      <c r="C26" s="234">
        <v>12938</v>
      </c>
      <c r="D26" s="242" t="s">
        <v>57</v>
      </c>
      <c r="E26" s="29">
        <v>43553</v>
      </c>
      <c r="F26" s="233">
        <v>73693</v>
      </c>
      <c r="H26" s="24">
        <v>43553</v>
      </c>
      <c r="I26" s="235">
        <v>383</v>
      </c>
      <c r="J26" s="4"/>
      <c r="K26" s="148"/>
      <c r="L26" s="135">
        <v>0</v>
      </c>
      <c r="M26" s="293">
        <v>41487</v>
      </c>
      <c r="N26" s="292">
        <v>18885</v>
      </c>
      <c r="R26" s="228"/>
      <c r="S26" s="127"/>
      <c r="T26" s="128">
        <v>0</v>
      </c>
    </row>
    <row r="27" spans="1:26" ht="15.75" thickBot="1" x14ac:dyDescent="0.3">
      <c r="A27" s="21"/>
      <c r="B27" s="27">
        <v>43554</v>
      </c>
      <c r="C27" s="234">
        <v>21764.92</v>
      </c>
      <c r="D27" s="43" t="s">
        <v>149</v>
      </c>
      <c r="E27" s="29">
        <v>43554</v>
      </c>
      <c r="F27" s="233">
        <v>99297</v>
      </c>
      <c r="H27" s="24">
        <v>43554</v>
      </c>
      <c r="I27" s="235">
        <v>761.19</v>
      </c>
      <c r="J27" s="4"/>
      <c r="K27" s="148"/>
      <c r="L27" s="135">
        <v>0</v>
      </c>
      <c r="M27" s="293">
        <v>64429</v>
      </c>
      <c r="N27" s="292">
        <v>5159</v>
      </c>
      <c r="Q27" s="244"/>
      <c r="R27" s="228"/>
      <c r="S27" s="127"/>
      <c r="T27" s="128">
        <v>0</v>
      </c>
    </row>
    <row r="28" spans="1:26" ht="15.75" thickBot="1" x14ac:dyDescent="0.3">
      <c r="A28" s="21"/>
      <c r="B28" s="27">
        <v>43555</v>
      </c>
      <c r="C28" s="234">
        <v>1039</v>
      </c>
      <c r="D28" s="23" t="s">
        <v>49</v>
      </c>
      <c r="E28" s="29">
        <v>43555</v>
      </c>
      <c r="F28" s="233">
        <v>112314</v>
      </c>
      <c r="H28" s="24">
        <v>43555</v>
      </c>
      <c r="I28" s="235">
        <v>1432</v>
      </c>
      <c r="J28" s="4" t="s">
        <v>7</v>
      </c>
      <c r="K28" s="156"/>
      <c r="L28" s="135">
        <v>0</v>
      </c>
      <c r="M28" s="293">
        <v>107824</v>
      </c>
      <c r="N28" s="292">
        <v>2016</v>
      </c>
      <c r="P28" s="5">
        <v>-21250.35</v>
      </c>
      <c r="R28" s="228"/>
      <c r="S28" s="127"/>
      <c r="T28" s="129">
        <v>0</v>
      </c>
    </row>
    <row r="29" spans="1:26" ht="19.5" thickBot="1" x14ac:dyDescent="0.35">
      <c r="A29" s="21"/>
      <c r="B29" s="27">
        <v>43556</v>
      </c>
      <c r="C29" s="247">
        <v>1351</v>
      </c>
      <c r="D29" s="43" t="s">
        <v>197</v>
      </c>
      <c r="E29" s="29">
        <v>43556</v>
      </c>
      <c r="F29" s="245">
        <v>59660</v>
      </c>
      <c r="H29" s="24">
        <v>43556</v>
      </c>
      <c r="I29" s="246">
        <v>0</v>
      </c>
      <c r="J29" s="4"/>
      <c r="K29" s="157"/>
      <c r="L29" s="137">
        <v>0</v>
      </c>
      <c r="M29" s="293">
        <f>32864+4913</f>
        <v>37777</v>
      </c>
      <c r="N29" s="292">
        <v>532</v>
      </c>
      <c r="P29" s="252">
        <f>M35</f>
        <v>2055194.02</v>
      </c>
      <c r="S29" s="130" t="s">
        <v>13</v>
      </c>
      <c r="T29" s="131">
        <f>SUM(T21:T28)</f>
        <v>10000</v>
      </c>
    </row>
    <row r="30" spans="1:26" ht="15.75" thickBot="1" x14ac:dyDescent="0.3">
      <c r="A30" s="21"/>
      <c r="B30" s="27">
        <v>43557</v>
      </c>
      <c r="C30" s="249">
        <v>13636</v>
      </c>
      <c r="D30" s="43" t="s">
        <v>198</v>
      </c>
      <c r="E30" s="29">
        <v>43557</v>
      </c>
      <c r="F30" s="249">
        <v>52596</v>
      </c>
      <c r="H30" s="24">
        <v>43557</v>
      </c>
      <c r="I30" s="249">
        <v>0</v>
      </c>
      <c r="J30" s="4"/>
      <c r="K30" s="157"/>
      <c r="L30" s="158"/>
      <c r="M30" s="293">
        <v>37773</v>
      </c>
      <c r="N30" s="292">
        <v>1187</v>
      </c>
      <c r="P30" s="251">
        <f>L34</f>
        <v>99194.180000000008</v>
      </c>
      <c r="Q30" s="4"/>
      <c r="R30" s="25"/>
    </row>
    <row r="31" spans="1:26" ht="15.75" thickBot="1" x14ac:dyDescent="0.3">
      <c r="A31" s="21"/>
      <c r="B31" s="27">
        <v>43558</v>
      </c>
      <c r="C31" s="249">
        <v>1704</v>
      </c>
      <c r="D31" s="43" t="s">
        <v>199</v>
      </c>
      <c r="E31" s="29">
        <v>43558</v>
      </c>
      <c r="F31" s="249">
        <v>72417</v>
      </c>
      <c r="H31" s="24">
        <v>43558</v>
      </c>
      <c r="I31" s="249">
        <v>6000</v>
      </c>
      <c r="J31" s="4"/>
      <c r="K31" s="215"/>
      <c r="L31" s="158"/>
      <c r="M31" s="294">
        <v>31558</v>
      </c>
      <c r="N31" s="292">
        <v>8298</v>
      </c>
      <c r="P31" s="4">
        <f>I34</f>
        <v>68538.67</v>
      </c>
      <c r="Q31" s="167"/>
      <c r="R31" s="25"/>
    </row>
    <row r="32" spans="1:26" ht="15.75" thickBot="1" x14ac:dyDescent="0.3">
      <c r="A32" s="21"/>
      <c r="B32" s="27">
        <v>43559</v>
      </c>
      <c r="C32" s="249">
        <v>929</v>
      </c>
      <c r="D32" s="43" t="s">
        <v>49</v>
      </c>
      <c r="E32" s="29">
        <v>43559</v>
      </c>
      <c r="F32" s="249">
        <v>103834</v>
      </c>
      <c r="H32" s="24">
        <v>43559</v>
      </c>
      <c r="I32" s="249">
        <v>10890</v>
      </c>
      <c r="J32" s="4"/>
      <c r="K32" s="215"/>
      <c r="L32" s="158"/>
      <c r="M32" s="294">
        <f>90252+1256</f>
        <v>91508</v>
      </c>
      <c r="N32" s="292">
        <v>507</v>
      </c>
      <c r="P32" s="4">
        <f>C34</f>
        <v>167593.99</v>
      </c>
      <c r="Q32" s="167"/>
      <c r="R32" s="25"/>
    </row>
    <row r="33" spans="1:18" ht="16.5" thickBot="1" x14ac:dyDescent="0.3">
      <c r="A33" s="49"/>
      <c r="B33" s="27"/>
      <c r="C33" s="51">
        <v>0</v>
      </c>
      <c r="D33" s="19"/>
      <c r="E33" s="29"/>
      <c r="F33" s="53"/>
      <c r="H33" s="24"/>
      <c r="I33" s="117"/>
      <c r="K33" s="54"/>
      <c r="L33" s="55"/>
      <c r="M33" s="211">
        <f>SUM(M5:M32)</f>
        <v>1972221</v>
      </c>
      <c r="N33" s="211">
        <f>SUM(N5:N32)</f>
        <v>82973.02</v>
      </c>
      <c r="O33" s="118">
        <f>SUM(O5:O31)</f>
        <v>0</v>
      </c>
      <c r="P33" s="5">
        <f>SUM(P28:P32)</f>
        <v>2369270.5099999998</v>
      </c>
    </row>
    <row r="34" spans="1:18" ht="15.75" thickBot="1" x14ac:dyDescent="0.3">
      <c r="B34" s="56" t="s">
        <v>13</v>
      </c>
      <c r="C34" s="57">
        <f>SUM(C5:C33)</f>
        <v>167593.99</v>
      </c>
      <c r="E34" s="58" t="s">
        <v>13</v>
      </c>
      <c r="F34" s="59">
        <f>SUM(F5:F33)</f>
        <v>2361940</v>
      </c>
      <c r="H34" s="6" t="s">
        <v>13</v>
      </c>
      <c r="I34" s="4">
        <f>SUM(I5:I33)</f>
        <v>68538.67</v>
      </c>
      <c r="J34" s="4"/>
      <c r="K34" s="60" t="s">
        <v>13</v>
      </c>
      <c r="L34" s="40">
        <f>SUM(L5:L33)</f>
        <v>99194.180000000008</v>
      </c>
      <c r="R34" s="5"/>
    </row>
    <row r="35" spans="1:18" ht="19.5" thickBot="1" x14ac:dyDescent="0.3">
      <c r="C35" s="5" t="s">
        <v>7</v>
      </c>
      <c r="M35" s="412">
        <f>N33+M33</f>
        <v>2055194.02</v>
      </c>
      <c r="N35" s="413"/>
      <c r="R35" s="5"/>
    </row>
    <row r="36" spans="1:18" ht="15.75" x14ac:dyDescent="0.25">
      <c r="A36" s="25"/>
      <c r="B36" s="61"/>
      <c r="C36" s="4"/>
      <c r="H36" s="384" t="s">
        <v>14</v>
      </c>
      <c r="I36" s="385"/>
      <c r="J36" s="62"/>
      <c r="K36" s="386">
        <f>I34+L34</f>
        <v>167732.85</v>
      </c>
      <c r="L36" s="387"/>
      <c r="P36" s="4"/>
      <c r="Q36" s="41"/>
      <c r="R36" s="5"/>
    </row>
    <row r="37" spans="1:18" ht="15.75" x14ac:dyDescent="0.25">
      <c r="D37" s="393" t="s">
        <v>15</v>
      </c>
      <c r="E37" s="393"/>
      <c r="F37" s="205">
        <f>F34-K36-C34</f>
        <v>2026613.16</v>
      </c>
      <c r="I37" s="63"/>
      <c r="J37" s="63"/>
      <c r="R37" s="5"/>
    </row>
    <row r="38" spans="1:18" ht="18.75" x14ac:dyDescent="0.3">
      <c r="D38" s="394" t="s">
        <v>16</v>
      </c>
      <c r="E38" s="394"/>
      <c r="F38" s="110">
        <v>-1923101.99</v>
      </c>
      <c r="I38" s="395" t="s">
        <v>17</v>
      </c>
      <c r="J38" s="396"/>
      <c r="K38" s="397">
        <f>F43</f>
        <v>487124.7699999999</v>
      </c>
      <c r="L38" s="398"/>
      <c r="R38" s="5"/>
    </row>
    <row r="39" spans="1:18" ht="4.5" customHeight="1" thickBot="1" x14ac:dyDescent="0.35">
      <c r="D39" s="64"/>
      <c r="E39" s="65"/>
      <c r="F39" s="66"/>
      <c r="I39" s="67"/>
      <c r="J39" s="67"/>
      <c r="K39" s="68"/>
      <c r="L39" s="68"/>
      <c r="R39" s="5"/>
    </row>
    <row r="40" spans="1:18" ht="19.5" thickTop="1" x14ac:dyDescent="0.3">
      <c r="C40" s="3" t="s">
        <v>7</v>
      </c>
      <c r="E40" s="25" t="s">
        <v>19</v>
      </c>
      <c r="F40" s="4">
        <f>SUM(F37:F39)</f>
        <v>103511.16999999993</v>
      </c>
      <c r="I40" s="69" t="s">
        <v>20</v>
      </c>
      <c r="J40" s="70"/>
      <c r="K40" s="399">
        <f>-C4</f>
        <v>-345184.94</v>
      </c>
      <c r="L40" s="398"/>
      <c r="M40" s="5" t="s">
        <v>21</v>
      </c>
      <c r="R40" s="5"/>
    </row>
    <row r="41" spans="1:18" ht="15.75" thickBot="1" x14ac:dyDescent="0.3">
      <c r="D41" s="71" t="s">
        <v>22</v>
      </c>
      <c r="E41" s="25" t="s">
        <v>23</v>
      </c>
      <c r="F41" s="206">
        <v>1230</v>
      </c>
      <c r="R41" s="5"/>
    </row>
    <row r="42" spans="1:18" ht="20.25" thickTop="1" thickBot="1" x14ac:dyDescent="0.35">
      <c r="C42" s="231">
        <v>43559</v>
      </c>
      <c r="D42" s="400" t="s">
        <v>24</v>
      </c>
      <c r="E42" s="400"/>
      <c r="F42" s="72">
        <v>382383.6</v>
      </c>
      <c r="I42" s="414" t="s">
        <v>95</v>
      </c>
      <c r="J42" s="415"/>
      <c r="K42" s="416">
        <f>K38+K40</f>
        <v>141939.8299999999</v>
      </c>
      <c r="L42" s="417"/>
    </row>
    <row r="43" spans="1:18" ht="18.75" x14ac:dyDescent="0.3">
      <c r="C43" s="59"/>
      <c r="D43" s="58"/>
      <c r="E43" s="33" t="s">
        <v>25</v>
      </c>
      <c r="F43" s="73">
        <f>F40+F41+F42</f>
        <v>487124.7699999999</v>
      </c>
      <c r="J43" s="6"/>
      <c r="M43" s="74"/>
    </row>
    <row r="45" spans="1:18" x14ac:dyDescent="0.25">
      <c r="B45"/>
      <c r="C45"/>
      <c r="D45" s="392"/>
      <c r="E45" s="392"/>
      <c r="M45" s="75"/>
      <c r="N45" s="25"/>
      <c r="O45" s="25"/>
    </row>
    <row r="46" spans="1:18" x14ac:dyDescent="0.25">
      <c r="B46"/>
      <c r="C46"/>
      <c r="M46" s="75"/>
      <c r="N46" s="25"/>
      <c r="O46" s="25"/>
    </row>
    <row r="47" spans="1:18" x14ac:dyDescent="0.25">
      <c r="B47"/>
      <c r="C47"/>
      <c r="N47" s="25"/>
      <c r="O47" s="25"/>
    </row>
    <row r="48" spans="1:18" x14ac:dyDescent="0.25">
      <c r="B48"/>
      <c r="C48"/>
      <c r="F48"/>
      <c r="I48"/>
      <c r="J48"/>
      <c r="M48"/>
      <c r="N48" s="25"/>
      <c r="O48" s="25"/>
    </row>
    <row r="49" spans="2:15" x14ac:dyDescent="0.25">
      <c r="B49"/>
      <c r="C49"/>
      <c r="N49" s="25"/>
      <c r="O49" s="25"/>
    </row>
    <row r="50" spans="2:15" x14ac:dyDescent="0.25">
      <c r="M50" s="4"/>
      <c r="N50" s="25"/>
      <c r="O50" s="25"/>
    </row>
    <row r="51" spans="2:15" x14ac:dyDescent="0.25">
      <c r="M51" s="4"/>
      <c r="N51" s="25"/>
      <c r="O51" s="25"/>
    </row>
    <row r="52" spans="2:15" x14ac:dyDescent="0.25">
      <c r="M52" s="4"/>
      <c r="N52" s="25"/>
      <c r="O52" s="25"/>
    </row>
    <row r="53" spans="2:15" x14ac:dyDescent="0.25">
      <c r="M53" s="4"/>
      <c r="N53" s="25"/>
      <c r="O53" s="25"/>
    </row>
    <row r="54" spans="2:15" x14ac:dyDescent="0.25">
      <c r="M54" s="4"/>
    </row>
    <row r="55" spans="2:15" x14ac:dyDescent="0.25">
      <c r="M55" s="4"/>
    </row>
    <row r="56" spans="2:15" x14ac:dyDescent="0.25">
      <c r="M56" s="4"/>
    </row>
    <row r="57" spans="2:15" x14ac:dyDescent="0.25">
      <c r="M57" s="4"/>
    </row>
    <row r="58" spans="2:15" x14ac:dyDescent="0.25">
      <c r="M58" s="4"/>
    </row>
    <row r="59" spans="2:15" x14ac:dyDescent="0.25">
      <c r="M59" s="4"/>
    </row>
    <row r="60" spans="2:15" x14ac:dyDescent="0.25">
      <c r="M60" s="4"/>
    </row>
    <row r="61" spans="2:15" x14ac:dyDescent="0.25">
      <c r="M61" s="4"/>
    </row>
    <row r="62" spans="2:15" x14ac:dyDescent="0.25">
      <c r="M62" s="4"/>
    </row>
    <row r="63" spans="2:15" x14ac:dyDescent="0.25">
      <c r="M63" s="4"/>
    </row>
    <row r="64" spans="2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S3:T3"/>
    <mergeCell ref="E4:F4"/>
    <mergeCell ref="I4:L4"/>
    <mergeCell ref="S20:T20"/>
  </mergeCells>
  <pageMargins left="0.11811023622047245" right="0.11811023622047245" top="0.39370078740157483" bottom="0.15748031496062992" header="0.31496062992125984" footer="0.31496062992125984"/>
  <pageSetup scale="8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6349-61C9-4B3D-8B65-77B5F8C484CF}">
  <sheetPr>
    <tabColor rgb="FF00CCFF"/>
  </sheetPr>
  <dimension ref="A1:H79"/>
  <sheetViews>
    <sheetView topLeftCell="A25" workbookViewId="0">
      <selection activeCell="E42" sqref="E42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43532</v>
      </c>
      <c r="B3" s="84" t="s">
        <v>177</v>
      </c>
      <c r="C3" s="206">
        <v>13792.4</v>
      </c>
      <c r="D3" s="78">
        <v>43533</v>
      </c>
      <c r="E3" s="4">
        <v>13792.4</v>
      </c>
      <c r="F3" s="79">
        <f>C3-E3</f>
        <v>0</v>
      </c>
      <c r="H3" s="185"/>
    </row>
    <row r="4" spans="1:8" ht="18.75" x14ac:dyDescent="0.3">
      <c r="A4" s="83">
        <v>43533</v>
      </c>
      <c r="B4" s="84" t="s">
        <v>189</v>
      </c>
      <c r="C4" s="4">
        <v>106057.54</v>
      </c>
      <c r="D4" s="78"/>
      <c r="E4" s="4"/>
      <c r="F4" s="79">
        <f>F3+C4-E4</f>
        <v>106057.54</v>
      </c>
      <c r="H4" s="185"/>
    </row>
    <row r="5" spans="1:8" ht="18.75" x14ac:dyDescent="0.3">
      <c r="A5" s="80">
        <v>43535</v>
      </c>
      <c r="B5" s="81" t="s">
        <v>190</v>
      </c>
      <c r="C5" s="4">
        <v>122111.6</v>
      </c>
      <c r="D5" s="78"/>
      <c r="E5" s="4"/>
      <c r="F5" s="79">
        <f t="shared" ref="F5:F20" si="0">F4+C5-E5</f>
        <v>228169.14</v>
      </c>
      <c r="H5" s="185"/>
    </row>
    <row r="6" spans="1:8" ht="18.75" x14ac:dyDescent="0.3">
      <c r="A6" s="80">
        <v>43537</v>
      </c>
      <c r="B6" s="81" t="s">
        <v>191</v>
      </c>
      <c r="C6" s="4">
        <v>117820.6</v>
      </c>
      <c r="D6" s="78"/>
      <c r="E6" s="4"/>
      <c r="F6" s="79">
        <f t="shared" si="0"/>
        <v>345989.74</v>
      </c>
      <c r="H6" s="185"/>
    </row>
    <row r="7" spans="1:8" x14ac:dyDescent="0.25">
      <c r="A7" s="80">
        <v>43537</v>
      </c>
      <c r="B7" s="81" t="s">
        <v>192</v>
      </c>
      <c r="C7" s="4">
        <v>500</v>
      </c>
      <c r="D7" s="78"/>
      <c r="E7" s="4"/>
      <c r="F7" s="79">
        <f t="shared" si="0"/>
        <v>346489.74</v>
      </c>
    </row>
    <row r="8" spans="1:8" x14ac:dyDescent="0.25">
      <c r="A8" s="80"/>
      <c r="B8" s="81"/>
      <c r="C8" s="4">
        <v>0</v>
      </c>
      <c r="D8" s="61">
        <v>43539</v>
      </c>
      <c r="E8" s="4">
        <v>346489.74</v>
      </c>
      <c r="F8" s="79">
        <f t="shared" si="0"/>
        <v>0</v>
      </c>
    </row>
    <row r="9" spans="1:8" x14ac:dyDescent="0.25">
      <c r="A9" s="80">
        <v>43538</v>
      </c>
      <c r="B9" s="81" t="s">
        <v>219</v>
      </c>
      <c r="C9" s="4">
        <v>97829.7</v>
      </c>
      <c r="D9" s="78"/>
      <c r="E9" s="4"/>
      <c r="F9" s="79">
        <f t="shared" si="0"/>
        <v>97829.7</v>
      </c>
    </row>
    <row r="10" spans="1:8" x14ac:dyDescent="0.25">
      <c r="A10" s="80">
        <v>43539</v>
      </c>
      <c r="B10" s="81" t="s">
        <v>220</v>
      </c>
      <c r="C10" s="4">
        <v>69124.5</v>
      </c>
      <c r="D10" s="78"/>
      <c r="E10" s="4"/>
      <c r="F10" s="79">
        <f t="shared" si="0"/>
        <v>166954.20000000001</v>
      </c>
    </row>
    <row r="11" spans="1:8" x14ac:dyDescent="0.25">
      <c r="A11" s="82">
        <v>43540</v>
      </c>
      <c r="B11" s="81" t="s">
        <v>221</v>
      </c>
      <c r="C11" s="4">
        <v>120114.24000000001</v>
      </c>
      <c r="D11" s="78"/>
      <c r="E11" s="4"/>
      <c r="F11" s="79">
        <f t="shared" si="0"/>
        <v>287068.44</v>
      </c>
    </row>
    <row r="12" spans="1:8" x14ac:dyDescent="0.25">
      <c r="A12" s="80">
        <v>43540</v>
      </c>
      <c r="B12" s="81" t="s">
        <v>222</v>
      </c>
      <c r="C12" s="4">
        <v>3651.2</v>
      </c>
      <c r="D12" s="78"/>
      <c r="E12" s="4"/>
      <c r="F12" s="79">
        <f t="shared" si="0"/>
        <v>290719.64</v>
      </c>
    </row>
    <row r="13" spans="1:8" x14ac:dyDescent="0.25">
      <c r="A13" s="80">
        <v>43542</v>
      </c>
      <c r="B13" s="81" t="s">
        <v>223</v>
      </c>
      <c r="C13" s="4">
        <v>158997.64000000001</v>
      </c>
      <c r="D13" s="78"/>
      <c r="E13" s="4"/>
      <c r="F13" s="79">
        <f t="shared" si="0"/>
        <v>449717.28</v>
      </c>
    </row>
    <row r="14" spans="1:8" x14ac:dyDescent="0.25">
      <c r="A14" s="80">
        <v>43543</v>
      </c>
      <c r="B14" s="81" t="s">
        <v>224</v>
      </c>
      <c r="C14" s="4">
        <v>88687</v>
      </c>
      <c r="D14" s="78"/>
      <c r="E14" s="4"/>
      <c r="F14" s="79">
        <f t="shared" si="0"/>
        <v>538404.28</v>
      </c>
    </row>
    <row r="15" spans="1:8" x14ac:dyDescent="0.25">
      <c r="A15" s="80"/>
      <c r="B15" s="81"/>
      <c r="C15" s="4">
        <v>0</v>
      </c>
      <c r="D15" s="78">
        <v>43545</v>
      </c>
      <c r="E15" s="4">
        <v>538404.28</v>
      </c>
      <c r="F15" s="79">
        <f t="shared" si="0"/>
        <v>0</v>
      </c>
    </row>
    <row r="16" spans="1:8" x14ac:dyDescent="0.25">
      <c r="A16" s="80">
        <v>43545</v>
      </c>
      <c r="B16" s="81" t="s">
        <v>225</v>
      </c>
      <c r="C16" s="4">
        <v>67423.3</v>
      </c>
      <c r="D16" s="78"/>
      <c r="E16" s="4"/>
      <c r="F16" s="79">
        <f t="shared" si="0"/>
        <v>67423.3</v>
      </c>
    </row>
    <row r="17" spans="1:6" x14ac:dyDescent="0.25">
      <c r="A17" s="80">
        <v>43545</v>
      </c>
      <c r="B17" s="81" t="s">
        <v>226</v>
      </c>
      <c r="C17" s="4">
        <v>12994.3</v>
      </c>
      <c r="D17" s="78"/>
      <c r="E17" s="4"/>
      <c r="F17" s="79">
        <f t="shared" si="0"/>
        <v>80417.600000000006</v>
      </c>
    </row>
    <row r="18" spans="1:6" x14ac:dyDescent="0.25">
      <c r="A18" s="80">
        <v>43546</v>
      </c>
      <c r="B18" s="81" t="s">
        <v>227</v>
      </c>
      <c r="C18" s="4">
        <v>2437.3000000000002</v>
      </c>
      <c r="D18" s="78"/>
      <c r="E18" s="4"/>
      <c r="F18" s="79">
        <f t="shared" si="0"/>
        <v>82854.900000000009</v>
      </c>
    </row>
    <row r="19" spans="1:6" x14ac:dyDescent="0.25">
      <c r="A19" s="80">
        <v>43546</v>
      </c>
      <c r="B19" s="81" t="s">
        <v>228</v>
      </c>
      <c r="C19" s="4">
        <v>3019.2</v>
      </c>
      <c r="D19" s="78"/>
      <c r="E19" s="4"/>
      <c r="F19" s="79">
        <f t="shared" si="0"/>
        <v>85874.1</v>
      </c>
    </row>
    <row r="20" spans="1:6" x14ac:dyDescent="0.25">
      <c r="A20" s="80">
        <v>43547</v>
      </c>
      <c r="B20" s="81" t="s">
        <v>229</v>
      </c>
      <c r="C20" s="4">
        <v>9110.9</v>
      </c>
      <c r="D20" s="61"/>
      <c r="E20" s="4"/>
      <c r="F20" s="79">
        <f t="shared" si="0"/>
        <v>94985</v>
      </c>
    </row>
    <row r="21" spans="1:6" x14ac:dyDescent="0.25">
      <c r="A21" s="80">
        <v>43547</v>
      </c>
      <c r="B21" s="81" t="s">
        <v>230</v>
      </c>
      <c r="C21" s="4">
        <v>571.20000000000005</v>
      </c>
      <c r="D21" s="78"/>
      <c r="E21" s="4"/>
      <c r="F21" s="79">
        <f t="shared" ref="F21:F42" si="1">F20+C21-E21</f>
        <v>95556.2</v>
      </c>
    </row>
    <row r="22" spans="1:6" x14ac:dyDescent="0.25">
      <c r="A22" s="80">
        <v>43547</v>
      </c>
      <c r="B22" s="81" t="s">
        <v>231</v>
      </c>
      <c r="C22" s="4">
        <v>37198.800000000003</v>
      </c>
      <c r="D22" s="78"/>
      <c r="E22" s="4"/>
      <c r="F22" s="79">
        <f t="shared" si="1"/>
        <v>132755</v>
      </c>
    </row>
    <row r="23" spans="1:6" x14ac:dyDescent="0.25">
      <c r="A23" s="80">
        <v>43547</v>
      </c>
      <c r="B23" s="81" t="s">
        <v>232</v>
      </c>
      <c r="C23" s="4">
        <v>166369.38</v>
      </c>
      <c r="D23" s="78"/>
      <c r="E23" s="4"/>
      <c r="F23" s="79">
        <f t="shared" si="1"/>
        <v>299124.38</v>
      </c>
    </row>
    <row r="24" spans="1:6" x14ac:dyDescent="0.25">
      <c r="A24" s="80">
        <v>43548</v>
      </c>
      <c r="B24" s="81" t="s">
        <v>233</v>
      </c>
      <c r="C24" s="4">
        <v>1752</v>
      </c>
      <c r="D24" s="78"/>
      <c r="E24" s="4"/>
      <c r="F24" s="79">
        <f t="shared" si="1"/>
        <v>300876.38</v>
      </c>
    </row>
    <row r="25" spans="1:6" x14ac:dyDescent="0.25">
      <c r="A25" s="80">
        <v>43549</v>
      </c>
      <c r="B25" s="81" t="s">
        <v>234</v>
      </c>
      <c r="C25" s="4">
        <v>14006.3</v>
      </c>
      <c r="D25" s="78"/>
      <c r="E25" s="4"/>
      <c r="F25" s="79">
        <f t="shared" si="1"/>
        <v>314882.68</v>
      </c>
    </row>
    <row r="26" spans="1:6" x14ac:dyDescent="0.25">
      <c r="A26" s="80"/>
      <c r="B26" s="81"/>
      <c r="C26" s="4">
        <v>0</v>
      </c>
      <c r="D26" s="78">
        <v>43551</v>
      </c>
      <c r="E26" s="4">
        <v>314882.68</v>
      </c>
      <c r="F26" s="79">
        <f t="shared" si="1"/>
        <v>0</v>
      </c>
    </row>
    <row r="27" spans="1:6" x14ac:dyDescent="0.25">
      <c r="A27" s="83">
        <v>43550</v>
      </c>
      <c r="B27" s="84" t="s">
        <v>235</v>
      </c>
      <c r="C27" s="4">
        <v>121978.58</v>
      </c>
      <c r="D27" s="78"/>
      <c r="E27" s="4"/>
      <c r="F27" s="79">
        <f t="shared" si="1"/>
        <v>121978.58</v>
      </c>
    </row>
    <row r="28" spans="1:6" x14ac:dyDescent="0.25">
      <c r="A28" s="83">
        <v>43551</v>
      </c>
      <c r="B28" s="84" t="s">
        <v>236</v>
      </c>
      <c r="C28" s="4">
        <v>2400</v>
      </c>
      <c r="D28" s="78"/>
      <c r="E28" s="4"/>
      <c r="F28" s="79">
        <f t="shared" si="1"/>
        <v>124378.58</v>
      </c>
    </row>
    <row r="29" spans="1:6" x14ac:dyDescent="0.25">
      <c r="A29" s="83">
        <v>43551</v>
      </c>
      <c r="B29" s="84" t="s">
        <v>237</v>
      </c>
      <c r="C29" s="4">
        <v>3112</v>
      </c>
      <c r="D29" s="78"/>
      <c r="E29" s="4"/>
      <c r="F29" s="79">
        <f t="shared" si="1"/>
        <v>127490.58</v>
      </c>
    </row>
    <row r="30" spans="1:6" x14ac:dyDescent="0.25">
      <c r="A30" s="83"/>
      <c r="B30" s="84"/>
      <c r="C30" s="4">
        <v>0</v>
      </c>
      <c r="D30" s="78">
        <v>43553</v>
      </c>
      <c r="E30" s="4">
        <v>127490.58</v>
      </c>
      <c r="F30" s="79">
        <f t="shared" si="1"/>
        <v>0</v>
      </c>
    </row>
    <row r="31" spans="1:6" x14ac:dyDescent="0.25">
      <c r="A31" s="83">
        <v>43552</v>
      </c>
      <c r="B31" s="84" t="s">
        <v>238</v>
      </c>
      <c r="C31" s="4">
        <v>29377.7</v>
      </c>
      <c r="D31" s="78"/>
      <c r="E31" s="4"/>
      <c r="F31" s="79">
        <f t="shared" si="1"/>
        <v>29377.7</v>
      </c>
    </row>
    <row r="32" spans="1:6" x14ac:dyDescent="0.25">
      <c r="A32" s="83">
        <v>43553</v>
      </c>
      <c r="B32" s="84" t="s">
        <v>239</v>
      </c>
      <c r="C32" s="4">
        <v>92258.04</v>
      </c>
      <c r="D32" s="78"/>
      <c r="E32" s="4"/>
      <c r="F32" s="79">
        <f t="shared" si="1"/>
        <v>121635.73999999999</v>
      </c>
    </row>
    <row r="33" spans="1:6" x14ac:dyDescent="0.25">
      <c r="A33" s="83"/>
      <c r="B33" s="84"/>
      <c r="C33" s="4">
        <v>0</v>
      </c>
      <c r="D33" s="78">
        <v>43554</v>
      </c>
      <c r="E33" s="4">
        <v>121635.74</v>
      </c>
      <c r="F33" s="79">
        <f t="shared" si="1"/>
        <v>0</v>
      </c>
    </row>
    <row r="34" spans="1:6" x14ac:dyDescent="0.25">
      <c r="A34" s="83">
        <v>43554</v>
      </c>
      <c r="B34" s="84" t="s">
        <v>240</v>
      </c>
      <c r="C34" s="4">
        <v>2516.6</v>
      </c>
      <c r="D34" s="78"/>
      <c r="E34" s="4"/>
      <c r="F34" s="79">
        <f t="shared" si="1"/>
        <v>2516.6</v>
      </c>
    </row>
    <row r="35" spans="1:6" x14ac:dyDescent="0.25">
      <c r="A35" s="83">
        <v>43554</v>
      </c>
      <c r="B35" s="84" t="s">
        <v>241</v>
      </c>
      <c r="C35" s="4">
        <v>97720.26</v>
      </c>
      <c r="D35" s="78"/>
      <c r="E35" s="4"/>
      <c r="F35" s="79">
        <f t="shared" si="1"/>
        <v>100236.86</v>
      </c>
    </row>
    <row r="36" spans="1:6" x14ac:dyDescent="0.25">
      <c r="A36" s="83">
        <v>43555</v>
      </c>
      <c r="B36" s="84" t="s">
        <v>242</v>
      </c>
      <c r="C36" s="4">
        <v>938</v>
      </c>
      <c r="D36" s="78"/>
      <c r="E36" s="4"/>
      <c r="F36" s="79">
        <f t="shared" si="1"/>
        <v>101174.86</v>
      </c>
    </row>
    <row r="37" spans="1:6" x14ac:dyDescent="0.25">
      <c r="A37" s="83">
        <v>43557</v>
      </c>
      <c r="B37" s="84" t="s">
        <v>243</v>
      </c>
      <c r="C37" s="4">
        <v>42020.33</v>
      </c>
      <c r="D37" s="78"/>
      <c r="E37" s="4"/>
      <c r="F37" s="79">
        <f t="shared" si="1"/>
        <v>143195.19</v>
      </c>
    </row>
    <row r="38" spans="1:6" x14ac:dyDescent="0.25">
      <c r="A38" s="83">
        <v>43557</v>
      </c>
      <c r="B38" s="84" t="s">
        <v>244</v>
      </c>
      <c r="C38" s="4">
        <v>207841.78</v>
      </c>
      <c r="D38" s="78"/>
      <c r="E38" s="4"/>
      <c r="F38" s="79">
        <f t="shared" si="1"/>
        <v>351036.97</v>
      </c>
    </row>
    <row r="39" spans="1:6" x14ac:dyDescent="0.25">
      <c r="A39" s="83">
        <v>43557</v>
      </c>
      <c r="B39" s="84" t="s">
        <v>245</v>
      </c>
      <c r="C39" s="4">
        <v>3626.4</v>
      </c>
      <c r="D39" s="78"/>
      <c r="E39" s="4"/>
      <c r="F39" s="79">
        <f t="shared" si="1"/>
        <v>354663.37</v>
      </c>
    </row>
    <row r="40" spans="1:6" x14ac:dyDescent="0.25">
      <c r="A40" s="83"/>
      <c r="B40" s="84"/>
      <c r="C40" s="4"/>
      <c r="D40" s="78">
        <v>43559</v>
      </c>
      <c r="E40" s="4">
        <v>354663.37</v>
      </c>
      <c r="F40" s="79">
        <f t="shared" si="1"/>
        <v>0</v>
      </c>
    </row>
    <row r="41" spans="1:6" x14ac:dyDescent="0.25">
      <c r="A41" s="83">
        <v>43559</v>
      </c>
      <c r="B41" s="84" t="s">
        <v>247</v>
      </c>
      <c r="C41" s="4">
        <v>3507.6</v>
      </c>
      <c r="D41" s="56">
        <v>43563</v>
      </c>
      <c r="E41" s="57">
        <v>3507.6</v>
      </c>
      <c r="F41" s="79">
        <f t="shared" si="1"/>
        <v>0</v>
      </c>
    </row>
    <row r="42" spans="1:6" ht="15.75" thickBot="1" x14ac:dyDescent="0.3">
      <c r="A42" s="85">
        <v>43559</v>
      </c>
      <c r="B42" s="86" t="s">
        <v>246</v>
      </c>
      <c r="C42" s="66">
        <v>102235.6</v>
      </c>
      <c r="D42" s="269">
        <v>43563</v>
      </c>
      <c r="E42" s="243">
        <v>102235.6</v>
      </c>
      <c r="F42" s="79">
        <f t="shared" si="1"/>
        <v>0</v>
      </c>
    </row>
    <row r="43" spans="1:6" ht="19.5" thickTop="1" x14ac:dyDescent="0.3">
      <c r="B43" s="25"/>
      <c r="C43" s="4">
        <f>SUM(C3:C42)</f>
        <v>1923101.9900000007</v>
      </c>
      <c r="D43" s="1"/>
      <c r="E43" s="5">
        <f>SUM(E3:E42)</f>
        <v>1923101.9900000002</v>
      </c>
      <c r="F43" s="186">
        <f>F42</f>
        <v>0</v>
      </c>
    </row>
    <row r="44" spans="1:6" x14ac:dyDescent="0.25">
      <c r="B44" s="25"/>
      <c r="C44" s="4"/>
      <c r="D44" s="1"/>
      <c r="E44" s="5"/>
      <c r="F44" s="4"/>
    </row>
    <row r="45" spans="1:6" x14ac:dyDescent="0.25">
      <c r="B45" s="25"/>
      <c r="C45" s="4"/>
      <c r="D45" s="1"/>
      <c r="E45" s="5"/>
      <c r="F45" s="4"/>
    </row>
    <row r="46" spans="1:6" x14ac:dyDescent="0.25">
      <c r="A46"/>
      <c r="B46" s="21"/>
      <c r="D46" s="21"/>
    </row>
    <row r="47" spans="1:6" x14ac:dyDescent="0.25">
      <c r="A47"/>
      <c r="B47" s="21"/>
      <c r="D47" s="21"/>
    </row>
    <row r="48" spans="1:6" x14ac:dyDescent="0.25">
      <c r="A48"/>
      <c r="B48" s="21"/>
      <c r="D48" s="21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A61"/>
      <c r="B61" s="21"/>
      <c r="D61" s="21"/>
      <c r="E6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  <c r="D70" s="21"/>
      <c r="E70"/>
    </row>
    <row r="71" spans="2:5" x14ac:dyDescent="0.25">
      <c r="B71" s="21"/>
      <c r="D71" s="21"/>
      <c r="E71"/>
    </row>
    <row r="72" spans="2:5" x14ac:dyDescent="0.25">
      <c r="B72" s="21"/>
      <c r="D72" s="21"/>
      <c r="E72"/>
    </row>
    <row r="73" spans="2:5" x14ac:dyDescent="0.25">
      <c r="B73" s="21"/>
    </row>
    <row r="74" spans="2:5" x14ac:dyDescent="0.25">
      <c r="B74" s="21"/>
    </row>
    <row r="75" spans="2:5" x14ac:dyDescent="0.25">
      <c r="B75" s="21"/>
      <c r="D75" s="21"/>
    </row>
    <row r="76" spans="2:5" x14ac:dyDescent="0.25">
      <c r="B76" s="21"/>
    </row>
    <row r="77" spans="2:5" x14ac:dyDescent="0.25">
      <c r="B77" s="21"/>
    </row>
    <row r="78" spans="2:5" x14ac:dyDescent="0.25">
      <c r="B78" s="21"/>
    </row>
    <row r="79" spans="2:5" ht="18.75" x14ac:dyDescent="0.3">
      <c r="C7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6D9B-217F-4CB6-B8BF-11DAB5048B52}">
  <sheetPr>
    <tabColor rgb="FF7030A0"/>
  </sheetPr>
  <dimension ref="A1:AB79"/>
  <sheetViews>
    <sheetView topLeftCell="S9" workbookViewId="0">
      <selection activeCell="T26" sqref="T2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78" t="s">
        <v>249</v>
      </c>
      <c r="D1" s="378"/>
      <c r="E1" s="378"/>
      <c r="F1" s="378"/>
      <c r="G1" s="378"/>
      <c r="H1" s="378"/>
      <c r="I1" s="378"/>
      <c r="J1" s="378"/>
      <c r="K1" s="378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388" t="s">
        <v>56</v>
      </c>
      <c r="V3" s="389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382548.6</v>
      </c>
      <c r="D4" s="213">
        <v>43559</v>
      </c>
      <c r="E4" s="380" t="s">
        <v>6</v>
      </c>
      <c r="F4" s="381"/>
      <c r="I4" s="382" t="s">
        <v>7</v>
      </c>
      <c r="J4" s="383"/>
      <c r="K4" s="383"/>
      <c r="L4" s="383"/>
      <c r="M4" s="306" t="s">
        <v>8</v>
      </c>
      <c r="N4" s="305" t="s">
        <v>36</v>
      </c>
      <c r="O4" s="304"/>
      <c r="P4" s="304"/>
      <c r="Q4" s="7"/>
      <c r="T4" s="228">
        <v>43567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7">
        <v>43560</v>
      </c>
      <c r="C5" s="234">
        <v>18715.12</v>
      </c>
      <c r="D5" s="93" t="s">
        <v>43</v>
      </c>
      <c r="E5" s="29">
        <v>43560</v>
      </c>
      <c r="F5" s="233">
        <v>77426</v>
      </c>
      <c r="H5" s="24">
        <v>43560</v>
      </c>
      <c r="I5" s="235">
        <v>331</v>
      </c>
      <c r="J5" s="106"/>
      <c r="L5" s="4"/>
      <c r="M5" s="237">
        <v>57007</v>
      </c>
      <c r="N5" s="238">
        <v>1373</v>
      </c>
      <c r="O5" s="277"/>
      <c r="P5" s="277">
        <f>C5+I5+M5+N5</f>
        <v>77426.12</v>
      </c>
      <c r="S5" s="212"/>
      <c r="T5" s="228">
        <v>43567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7">
        <v>43561</v>
      </c>
      <c r="C6" s="234">
        <v>7397.65</v>
      </c>
      <c r="D6" s="23" t="s">
        <v>250</v>
      </c>
      <c r="E6" s="29">
        <v>43561</v>
      </c>
      <c r="F6" s="233">
        <v>124885</v>
      </c>
      <c r="H6" s="24">
        <v>43561</v>
      </c>
      <c r="I6" s="235">
        <v>0</v>
      </c>
      <c r="J6" s="106"/>
      <c r="K6" s="127"/>
      <c r="L6" s="208"/>
      <c r="M6" s="237">
        <v>105500</v>
      </c>
      <c r="N6" s="238">
        <v>3428</v>
      </c>
      <c r="O6" s="277"/>
      <c r="P6" s="277">
        <f>C6+M6+N6+L12-R12</f>
        <v>124886.76</v>
      </c>
      <c r="Q6" s="167"/>
      <c r="S6" s="212"/>
      <c r="T6" s="229">
        <v>43575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7">
        <v>43562</v>
      </c>
      <c r="C7" s="234">
        <v>1005</v>
      </c>
      <c r="D7" s="28" t="s">
        <v>45</v>
      </c>
      <c r="E7" s="29">
        <v>43562</v>
      </c>
      <c r="F7" s="233">
        <v>82727</v>
      </c>
      <c r="H7" s="24">
        <v>43562</v>
      </c>
      <c r="I7" s="235">
        <v>0</v>
      </c>
      <c r="J7" s="31">
        <v>43566</v>
      </c>
      <c r="K7" s="127" t="s">
        <v>9</v>
      </c>
      <c r="L7" s="248">
        <v>549</v>
      </c>
      <c r="M7" s="237">
        <v>80464</v>
      </c>
      <c r="N7" s="238">
        <v>1258</v>
      </c>
      <c r="O7" s="277"/>
      <c r="P7" s="277">
        <f>C7+M7+N7</f>
        <v>82727</v>
      </c>
      <c r="R7" s="4"/>
      <c r="S7" s="4"/>
      <c r="T7" s="230">
        <v>43575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7">
        <v>43563</v>
      </c>
      <c r="C8" s="234">
        <v>0</v>
      </c>
      <c r="D8" s="43"/>
      <c r="E8" s="29">
        <v>43563</v>
      </c>
      <c r="F8" s="233">
        <v>151495</v>
      </c>
      <c r="H8" s="24">
        <v>43563</v>
      </c>
      <c r="I8" s="235">
        <v>0</v>
      </c>
      <c r="J8" s="34"/>
      <c r="K8" s="35" t="s">
        <v>10</v>
      </c>
      <c r="L8" s="250">
        <v>0</v>
      </c>
      <c r="M8" s="237">
        <f>115050+35000</f>
        <v>150050</v>
      </c>
      <c r="N8" s="238">
        <v>1443</v>
      </c>
      <c r="O8" s="277"/>
      <c r="P8" s="277">
        <f>M8+N8</f>
        <v>151493</v>
      </c>
      <c r="R8" s="4"/>
      <c r="S8" s="4"/>
      <c r="T8" s="228">
        <v>43579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7">
        <v>43564</v>
      </c>
      <c r="C9" s="234">
        <v>19842.55</v>
      </c>
      <c r="D9" s="38" t="s">
        <v>254</v>
      </c>
      <c r="E9" s="29">
        <v>43564</v>
      </c>
      <c r="F9" s="233">
        <v>128958</v>
      </c>
      <c r="H9" s="24">
        <v>43564</v>
      </c>
      <c r="I9" s="235">
        <v>100</v>
      </c>
      <c r="J9" s="96">
        <v>43584</v>
      </c>
      <c r="K9" s="102" t="s">
        <v>11</v>
      </c>
      <c r="L9" s="248">
        <v>20000</v>
      </c>
      <c r="M9" s="237">
        <v>109682</v>
      </c>
      <c r="N9" s="238">
        <v>564</v>
      </c>
      <c r="O9" s="277"/>
      <c r="P9" s="301">
        <f>C9+I9+M9+N9</f>
        <v>130188.55</v>
      </c>
      <c r="Q9" s="167"/>
      <c r="R9" s="4"/>
      <c r="S9" s="4"/>
      <c r="T9" s="230">
        <v>43579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7">
        <v>43565</v>
      </c>
      <c r="C10" s="234">
        <v>1287</v>
      </c>
      <c r="D10" s="23" t="s">
        <v>255</v>
      </c>
      <c r="E10" s="29">
        <v>43565</v>
      </c>
      <c r="F10" s="233">
        <v>70961</v>
      </c>
      <c r="H10" s="24">
        <v>43565</v>
      </c>
      <c r="I10" s="235">
        <v>1995.2</v>
      </c>
      <c r="J10" s="106"/>
      <c r="K10" s="126"/>
      <c r="L10" s="236">
        <v>0</v>
      </c>
      <c r="M10" s="237">
        <v>67078</v>
      </c>
      <c r="N10" s="238">
        <v>600</v>
      </c>
      <c r="O10" s="277"/>
      <c r="P10" s="277">
        <f>C10+I10+M10+N10</f>
        <v>70960.2</v>
      </c>
      <c r="S10" s="212"/>
      <c r="T10" s="228">
        <v>43588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7">
        <v>43566</v>
      </c>
      <c r="C11" s="234">
        <v>10807</v>
      </c>
      <c r="D11" s="23" t="s">
        <v>254</v>
      </c>
      <c r="E11" s="29">
        <v>43566</v>
      </c>
      <c r="F11" s="233">
        <v>58639</v>
      </c>
      <c r="H11" s="24">
        <v>43566</v>
      </c>
      <c r="I11" s="235">
        <v>225</v>
      </c>
      <c r="J11" s="106"/>
      <c r="K11" s="147"/>
      <c r="L11" s="236">
        <v>0</v>
      </c>
      <c r="M11" s="237">
        <f>42550+2955</f>
        <v>45505</v>
      </c>
      <c r="N11" s="238">
        <v>1555</v>
      </c>
      <c r="O11" s="277"/>
      <c r="P11" s="277">
        <f>C11+I11+M11+N11+L7</f>
        <v>58641</v>
      </c>
      <c r="R11" s="253"/>
      <c r="S11" s="212"/>
      <c r="T11" s="228">
        <v>43588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7">
        <v>43567</v>
      </c>
      <c r="C12" s="234">
        <v>330</v>
      </c>
      <c r="D12" s="23" t="s">
        <v>256</v>
      </c>
      <c r="E12" s="29">
        <v>43567</v>
      </c>
      <c r="F12" s="233">
        <v>99642</v>
      </c>
      <c r="H12" s="24">
        <v>43567</v>
      </c>
      <c r="I12" s="235">
        <v>13680</v>
      </c>
      <c r="J12" s="106">
        <v>43561</v>
      </c>
      <c r="K12" s="102" t="s">
        <v>181</v>
      </c>
      <c r="L12" s="236">
        <v>14179.75</v>
      </c>
      <c r="M12" s="237">
        <v>84337</v>
      </c>
      <c r="N12" s="238">
        <v>1295</v>
      </c>
      <c r="O12" s="277"/>
      <c r="P12" s="277">
        <f>C12+I12+M12+N12</f>
        <v>99642</v>
      </c>
      <c r="R12" s="254">
        <f>14179.75-8561.11</f>
        <v>5618.6399999999994</v>
      </c>
      <c r="S12" s="33" t="s">
        <v>185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7">
        <v>43568</v>
      </c>
      <c r="C13" s="234">
        <v>20680</v>
      </c>
      <c r="D13" s="43" t="s">
        <v>259</v>
      </c>
      <c r="E13" s="29">
        <v>43568</v>
      </c>
      <c r="F13" s="233">
        <v>147047</v>
      </c>
      <c r="H13" s="24">
        <v>43568</v>
      </c>
      <c r="I13" s="235">
        <v>0</v>
      </c>
      <c r="J13" s="106">
        <v>43568</v>
      </c>
      <c r="K13" s="102" t="s">
        <v>251</v>
      </c>
      <c r="L13" s="236">
        <v>14489.27</v>
      </c>
      <c r="M13" s="237">
        <v>115119</v>
      </c>
      <c r="N13" s="238">
        <v>2377</v>
      </c>
      <c r="O13" s="277"/>
      <c r="P13" s="277">
        <f>C13+L13+M13+N13-R13</f>
        <v>147046.63</v>
      </c>
      <c r="R13" s="254">
        <f>14489.27-8870.63</f>
        <v>5618.6400000000012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7">
        <v>43569</v>
      </c>
      <c r="C14" s="234">
        <v>0</v>
      </c>
      <c r="D14" s="28"/>
      <c r="E14" s="29">
        <v>43569</v>
      </c>
      <c r="F14" s="233">
        <v>119837</v>
      </c>
      <c r="H14" s="24">
        <v>43569</v>
      </c>
      <c r="I14" s="235">
        <v>0</v>
      </c>
      <c r="J14" s="106">
        <v>43575</v>
      </c>
      <c r="K14" s="102" t="s">
        <v>252</v>
      </c>
      <c r="L14" s="236">
        <v>15767.84</v>
      </c>
      <c r="M14" s="237">
        <v>117617</v>
      </c>
      <c r="N14" s="238">
        <v>2220</v>
      </c>
      <c r="O14" s="277"/>
      <c r="P14" s="277">
        <f>M14+N14</f>
        <v>119837</v>
      </c>
      <c r="R14" s="254">
        <v>5618.64</v>
      </c>
      <c r="S14" s="214" t="s">
        <v>185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7">
        <v>43570</v>
      </c>
      <c r="C15" s="234">
        <v>2795.9</v>
      </c>
      <c r="D15" s="23" t="s">
        <v>260</v>
      </c>
      <c r="E15" s="29">
        <v>43570</v>
      </c>
      <c r="F15" s="233">
        <v>78852</v>
      </c>
      <c r="H15" s="24">
        <v>43570</v>
      </c>
      <c r="I15" s="235">
        <v>818</v>
      </c>
      <c r="J15" s="106">
        <v>43582</v>
      </c>
      <c r="K15" s="102" t="s">
        <v>253</v>
      </c>
      <c r="L15" s="236">
        <f>14615.46</f>
        <v>14615.46</v>
      </c>
      <c r="M15" s="237">
        <v>71150</v>
      </c>
      <c r="N15" s="238">
        <v>4091</v>
      </c>
      <c r="O15" s="277"/>
      <c r="P15" s="277">
        <f>C15+I15+M15+N15</f>
        <v>78854.899999999994</v>
      </c>
      <c r="R15" s="254">
        <v>5618</v>
      </c>
      <c r="S15" s="214" t="s">
        <v>185</v>
      </c>
      <c r="T15" s="228"/>
      <c r="U15" s="133" t="s">
        <v>13</v>
      </c>
      <c r="V15" s="132">
        <f>SUM(V4:V14)</f>
        <v>40080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7">
        <v>43571</v>
      </c>
      <c r="C16" s="234">
        <v>1808</v>
      </c>
      <c r="D16" s="23" t="s">
        <v>272</v>
      </c>
      <c r="E16" s="29">
        <v>43571</v>
      </c>
      <c r="F16" s="233">
        <v>57065</v>
      </c>
      <c r="H16" s="24">
        <v>43571</v>
      </c>
      <c r="I16" s="235">
        <v>230</v>
      </c>
      <c r="J16" s="42">
        <v>43583</v>
      </c>
      <c r="K16" s="25" t="s">
        <v>253</v>
      </c>
      <c r="L16" s="4">
        <v>416</v>
      </c>
      <c r="M16" s="237">
        <f>52900+364</f>
        <v>53264</v>
      </c>
      <c r="N16" s="238">
        <v>1770</v>
      </c>
      <c r="O16" s="277"/>
      <c r="P16" s="277">
        <f>C16+I16+M16+N16</f>
        <v>57072</v>
      </c>
      <c r="Q16" s="295">
        <v>364</v>
      </c>
      <c r="R16" s="296">
        <v>5466.59</v>
      </c>
      <c r="S16" s="214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7">
        <v>43572</v>
      </c>
      <c r="C17" s="234">
        <v>19458</v>
      </c>
      <c r="D17" s="43" t="s">
        <v>273</v>
      </c>
      <c r="E17" s="29">
        <v>43572</v>
      </c>
      <c r="F17" s="233">
        <v>63421</v>
      </c>
      <c r="H17" s="24">
        <v>43572</v>
      </c>
      <c r="I17" s="240">
        <v>2000</v>
      </c>
      <c r="J17" s="96">
        <v>43589</v>
      </c>
      <c r="K17" s="148" t="s">
        <v>279</v>
      </c>
      <c r="L17" s="210">
        <v>15335.17</v>
      </c>
      <c r="M17" s="237">
        <v>40428</v>
      </c>
      <c r="N17" s="238">
        <v>1535</v>
      </c>
      <c r="O17" s="277"/>
      <c r="P17" s="277">
        <f>C17+I17+M17+N17</f>
        <v>63421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7">
        <v>43573</v>
      </c>
      <c r="C18" s="234">
        <v>6996</v>
      </c>
      <c r="D18" s="23" t="s">
        <v>274</v>
      </c>
      <c r="E18" s="29">
        <v>43573</v>
      </c>
      <c r="F18" s="233">
        <v>96774</v>
      </c>
      <c r="H18" s="24">
        <v>43573</v>
      </c>
      <c r="I18" s="235">
        <v>170</v>
      </c>
      <c r="J18" s="42"/>
      <c r="K18" s="299" t="s">
        <v>283</v>
      </c>
      <c r="L18" s="300">
        <v>80000</v>
      </c>
      <c r="M18" s="237">
        <f>69570+18197</f>
        <v>87767</v>
      </c>
      <c r="N18" s="238">
        <v>1841</v>
      </c>
      <c r="O18" s="277"/>
      <c r="P18" s="277">
        <f>C18+I18+M18+N18</f>
        <v>96774</v>
      </c>
      <c r="R18" s="4">
        <f>SUM(R12:R17)</f>
        <v>27940.510000000002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7">
        <v>43574</v>
      </c>
      <c r="C19" s="270">
        <v>0</v>
      </c>
      <c r="D19" s="275" t="s">
        <v>275</v>
      </c>
      <c r="E19" s="29">
        <v>43574</v>
      </c>
      <c r="F19" s="271">
        <v>0</v>
      </c>
      <c r="H19" s="24">
        <v>43574</v>
      </c>
      <c r="I19" s="272">
        <v>0</v>
      </c>
      <c r="J19" s="276" t="s">
        <v>275</v>
      </c>
      <c r="K19" s="150"/>
      <c r="L19" s="208">
        <v>0</v>
      </c>
      <c r="M19" s="273">
        <v>0</v>
      </c>
      <c r="N19" s="274">
        <v>0</v>
      </c>
      <c r="O19" s="277"/>
      <c r="P19" s="277">
        <v>0</v>
      </c>
      <c r="Q19" s="99" t="s">
        <v>275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7">
        <v>43575</v>
      </c>
      <c r="C20" s="234">
        <v>14349</v>
      </c>
      <c r="D20" s="23" t="s">
        <v>274</v>
      </c>
      <c r="E20" s="29">
        <v>43575</v>
      </c>
      <c r="F20" s="233">
        <v>211842</v>
      </c>
      <c r="H20" s="24">
        <v>43575</v>
      </c>
      <c r="I20" s="235">
        <v>11709</v>
      </c>
      <c r="J20" s="42"/>
      <c r="K20" s="149"/>
      <c r="L20" s="210">
        <v>0</v>
      </c>
      <c r="M20" s="237">
        <f>100000+34731+50</f>
        <v>134781</v>
      </c>
      <c r="N20" s="238">
        <v>40854</v>
      </c>
      <c r="O20" s="277"/>
      <c r="P20" s="277">
        <f>C20+I20+M20+N20+L14-R15</f>
        <v>211842.84</v>
      </c>
      <c r="S20" s="5"/>
      <c r="U20" s="390" t="s">
        <v>56</v>
      </c>
      <c r="V20" s="391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7">
        <v>43576</v>
      </c>
      <c r="C21" s="234">
        <v>0</v>
      </c>
      <c r="D21" s="23"/>
      <c r="E21" s="29">
        <v>43576</v>
      </c>
      <c r="F21" s="233">
        <v>103283</v>
      </c>
      <c r="H21" s="24">
        <v>43576</v>
      </c>
      <c r="I21" s="235">
        <v>252.48</v>
      </c>
      <c r="J21" s="44"/>
      <c r="K21" s="195"/>
      <c r="L21" s="210">
        <v>0</v>
      </c>
      <c r="M21" s="237">
        <v>101377</v>
      </c>
      <c r="N21" s="238">
        <v>1653</v>
      </c>
      <c r="O21" s="277"/>
      <c r="P21" s="277">
        <f>I21+M21+N21</f>
        <v>103282.48</v>
      </c>
      <c r="Q21" s="167"/>
      <c r="S21" s="5"/>
      <c r="T21" s="228">
        <v>43567</v>
      </c>
      <c r="U21" s="25" t="s">
        <v>39</v>
      </c>
      <c r="V21" s="125">
        <v>2000</v>
      </c>
      <c r="W21" t="s">
        <v>385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7">
        <v>43577</v>
      </c>
      <c r="C22" s="234">
        <v>1878</v>
      </c>
      <c r="D22" s="23" t="s">
        <v>197</v>
      </c>
      <c r="E22" s="29">
        <v>43577</v>
      </c>
      <c r="F22" s="233">
        <v>88681</v>
      </c>
      <c r="H22" s="24">
        <v>43577</v>
      </c>
      <c r="I22" s="235">
        <v>36</v>
      </c>
      <c r="J22" s="34"/>
      <c r="K22" s="153"/>
      <c r="L22" s="210">
        <v>0</v>
      </c>
      <c r="M22" s="237">
        <v>77067</v>
      </c>
      <c r="N22" s="238">
        <v>9700</v>
      </c>
      <c r="O22" s="277"/>
      <c r="P22" s="277">
        <f>C22+I22+M22+N22</f>
        <v>88681</v>
      </c>
      <c r="Q22" s="167"/>
      <c r="S22" s="5"/>
      <c r="T22" s="228">
        <v>43572</v>
      </c>
      <c r="U22" s="102" t="s">
        <v>39</v>
      </c>
      <c r="V22" s="103">
        <v>2000</v>
      </c>
      <c r="W22" t="s">
        <v>386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7">
        <v>43578</v>
      </c>
      <c r="C23" s="234">
        <v>0</v>
      </c>
      <c r="D23" s="23"/>
      <c r="E23" s="29">
        <v>43578</v>
      </c>
      <c r="F23" s="233">
        <v>79794</v>
      </c>
      <c r="H23" s="24">
        <v>43578</v>
      </c>
      <c r="I23" s="235">
        <v>107</v>
      </c>
      <c r="J23" s="95"/>
      <c r="K23" s="154"/>
      <c r="L23" s="210">
        <v>0</v>
      </c>
      <c r="M23" s="237">
        <v>77305</v>
      </c>
      <c r="N23" s="238">
        <v>2382</v>
      </c>
      <c r="O23" s="277"/>
      <c r="P23" s="277">
        <f>I23+M23+N23</f>
        <v>79794</v>
      </c>
      <c r="S23" s="5"/>
      <c r="T23" s="228">
        <v>43594</v>
      </c>
      <c r="U23" s="102" t="s">
        <v>39</v>
      </c>
      <c r="V23" s="103">
        <v>4000</v>
      </c>
      <c r="W23" t="s">
        <v>387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7">
        <v>43579</v>
      </c>
      <c r="C24" s="234">
        <v>18396</v>
      </c>
      <c r="D24" s="23" t="s">
        <v>276</v>
      </c>
      <c r="E24" s="29">
        <v>43579</v>
      </c>
      <c r="F24" s="233">
        <v>128245</v>
      </c>
      <c r="H24" s="24">
        <v>43579</v>
      </c>
      <c r="I24" s="235">
        <v>10020</v>
      </c>
      <c r="J24" s="46"/>
      <c r="K24" s="155"/>
      <c r="L24" s="135">
        <v>0</v>
      </c>
      <c r="M24" s="237">
        <v>99829</v>
      </c>
      <c r="N24" s="238">
        <v>0</v>
      </c>
      <c r="O24" s="277"/>
      <c r="P24" s="277">
        <f>C24+I24+M24</f>
        <v>128245</v>
      </c>
      <c r="S24" s="5"/>
      <c r="T24" s="228"/>
      <c r="U24" s="102" t="s">
        <v>39</v>
      </c>
      <c r="V24" s="104">
        <v>0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7">
        <v>43580</v>
      </c>
      <c r="C25" s="234">
        <v>25771</v>
      </c>
      <c r="D25" s="23" t="s">
        <v>43</v>
      </c>
      <c r="E25" s="29">
        <v>43580</v>
      </c>
      <c r="F25" s="233">
        <v>90956</v>
      </c>
      <c r="H25" s="24">
        <v>43580</v>
      </c>
      <c r="I25" s="235">
        <v>0</v>
      </c>
      <c r="J25" s="109"/>
      <c r="K25" s="155"/>
      <c r="L25" s="135">
        <v>0</v>
      </c>
      <c r="M25" s="237">
        <v>64401</v>
      </c>
      <c r="N25" s="238">
        <v>784</v>
      </c>
      <c r="O25" s="277"/>
      <c r="P25" s="277">
        <f>C25+M25+N25</f>
        <v>90956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7">
        <v>43581</v>
      </c>
      <c r="C26" s="234">
        <v>2114</v>
      </c>
      <c r="D26" s="242" t="s">
        <v>49</v>
      </c>
      <c r="E26" s="29">
        <v>43581</v>
      </c>
      <c r="F26" s="233">
        <v>188070</v>
      </c>
      <c r="H26" s="24">
        <v>43581</v>
      </c>
      <c r="I26" s="235">
        <v>2173</v>
      </c>
      <c r="J26" s="4"/>
      <c r="K26" s="148"/>
      <c r="L26" s="135">
        <v>0</v>
      </c>
      <c r="M26" s="237">
        <f>100000+81705</f>
        <v>181705</v>
      </c>
      <c r="N26" s="238">
        <v>2079</v>
      </c>
      <c r="O26" s="277"/>
      <c r="P26" s="277">
        <f>C26+I26+M26+N26</f>
        <v>188071</v>
      </c>
      <c r="T26" s="228"/>
      <c r="U26" s="127"/>
      <c r="V26" s="128">
        <v>0</v>
      </c>
    </row>
    <row r="27" spans="1:28" ht="15.75" thickBot="1" x14ac:dyDescent="0.3">
      <c r="A27" s="21"/>
      <c r="B27" s="27">
        <v>43582</v>
      </c>
      <c r="C27" s="234">
        <v>10054</v>
      </c>
      <c r="D27" s="43" t="s">
        <v>43</v>
      </c>
      <c r="E27" s="29">
        <v>43582</v>
      </c>
      <c r="F27" s="233">
        <v>170830</v>
      </c>
      <c r="H27" s="24">
        <v>43582</v>
      </c>
      <c r="I27" s="235">
        <v>290</v>
      </c>
      <c r="J27" s="4"/>
      <c r="K27" s="148"/>
      <c r="L27" s="135">
        <v>0</v>
      </c>
      <c r="M27" s="237">
        <f>111600+36229</f>
        <v>147829</v>
      </c>
      <c r="N27" s="238">
        <v>3660</v>
      </c>
      <c r="O27" s="277"/>
      <c r="P27" s="277">
        <f>C27+I27+M27+N27+L15-R15</f>
        <v>170830.46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7">
        <v>43583</v>
      </c>
      <c r="C28" s="234">
        <v>1129</v>
      </c>
      <c r="D28" s="23" t="s">
        <v>49</v>
      </c>
      <c r="E28" s="29">
        <v>43583</v>
      </c>
      <c r="F28" s="233">
        <v>90840</v>
      </c>
      <c r="H28" s="24">
        <v>43583</v>
      </c>
      <c r="I28" s="235">
        <v>0</v>
      </c>
      <c r="J28" s="4" t="s">
        <v>7</v>
      </c>
      <c r="K28" s="156"/>
      <c r="L28" s="135">
        <v>0</v>
      </c>
      <c r="M28" s="237">
        <v>88400</v>
      </c>
      <c r="N28" s="238">
        <v>895</v>
      </c>
      <c r="O28" s="277"/>
      <c r="P28" s="277">
        <f>C28+M28+N28+L16</f>
        <v>90840</v>
      </c>
      <c r="T28" s="228"/>
      <c r="U28" s="127"/>
      <c r="V28" s="129">
        <v>0</v>
      </c>
    </row>
    <row r="29" spans="1:28" ht="19.5" thickBot="1" x14ac:dyDescent="0.35">
      <c r="A29" s="21"/>
      <c r="B29" s="27">
        <v>43584</v>
      </c>
      <c r="C29" s="247">
        <v>1459</v>
      </c>
      <c r="D29" s="43" t="s">
        <v>49</v>
      </c>
      <c r="E29" s="29">
        <v>43584</v>
      </c>
      <c r="F29" s="245">
        <v>145137</v>
      </c>
      <c r="H29" s="24">
        <v>43584</v>
      </c>
      <c r="I29" s="246">
        <v>0</v>
      </c>
      <c r="J29" s="4"/>
      <c r="K29" s="157"/>
      <c r="L29" s="137">
        <v>0</v>
      </c>
      <c r="M29" s="237">
        <v>89175</v>
      </c>
      <c r="N29" s="238">
        <v>34503</v>
      </c>
      <c r="O29" s="277"/>
      <c r="P29" s="277">
        <f>C29+M29+N29+L9</f>
        <v>145137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7">
        <v>43585</v>
      </c>
      <c r="C30" s="249">
        <v>11048</v>
      </c>
      <c r="D30" s="43"/>
      <c r="E30" s="29">
        <v>43585</v>
      </c>
      <c r="F30" s="249">
        <v>99197</v>
      </c>
      <c r="H30" s="24">
        <v>43585</v>
      </c>
      <c r="I30" s="249">
        <v>204</v>
      </c>
      <c r="J30" s="4"/>
      <c r="K30" s="157"/>
      <c r="L30" s="158"/>
      <c r="M30" s="237">
        <v>87562</v>
      </c>
      <c r="N30" s="238">
        <v>383</v>
      </c>
      <c r="O30" s="277"/>
      <c r="P30" s="277">
        <f>C30+I30+M30+N30</f>
        <v>99197</v>
      </c>
      <c r="R30" s="251"/>
      <c r="S30" s="4"/>
      <c r="T30" s="25"/>
    </row>
    <row r="31" spans="1:28" ht="15.75" thickBot="1" x14ac:dyDescent="0.3">
      <c r="A31" s="21"/>
      <c r="B31" s="27">
        <v>43586</v>
      </c>
      <c r="C31" s="249">
        <v>2600</v>
      </c>
      <c r="D31" s="43" t="s">
        <v>277</v>
      </c>
      <c r="E31" s="29">
        <v>43586</v>
      </c>
      <c r="F31" s="249">
        <v>108380</v>
      </c>
      <c r="H31" s="24">
        <v>43586</v>
      </c>
      <c r="I31" s="249">
        <v>0</v>
      </c>
      <c r="J31" s="4"/>
      <c r="K31" s="215"/>
      <c r="L31" s="158"/>
      <c r="M31" s="237">
        <v>105258</v>
      </c>
      <c r="N31" s="238">
        <v>522</v>
      </c>
      <c r="O31" s="277"/>
      <c r="P31" s="277">
        <f>C31+M31+N31</f>
        <v>108380</v>
      </c>
      <c r="R31" s="4"/>
      <c r="S31" s="167"/>
      <c r="T31" s="25"/>
    </row>
    <row r="32" spans="1:28" ht="15.75" thickBot="1" x14ac:dyDescent="0.3">
      <c r="A32" s="21"/>
      <c r="B32" s="27">
        <v>43587</v>
      </c>
      <c r="C32" s="249">
        <v>1964</v>
      </c>
      <c r="D32" s="43" t="s">
        <v>49</v>
      </c>
      <c r="E32" s="29">
        <v>43587</v>
      </c>
      <c r="F32" s="249">
        <v>89805</v>
      </c>
      <c r="H32" s="24">
        <v>43587</v>
      </c>
      <c r="I32" s="249">
        <v>368</v>
      </c>
      <c r="J32" s="4"/>
      <c r="K32" s="215"/>
      <c r="L32" s="209"/>
      <c r="M32" s="249">
        <v>86100</v>
      </c>
      <c r="N32" s="249">
        <v>1378</v>
      </c>
      <c r="O32" s="277"/>
      <c r="P32" s="277">
        <f>C32+I32+M32+N32</f>
        <v>89810</v>
      </c>
      <c r="Q32" s="4">
        <v>5</v>
      </c>
      <c r="R32" s="4"/>
      <c r="S32" s="167"/>
      <c r="T32" s="25"/>
    </row>
    <row r="33" spans="1:20" ht="15.75" thickBot="1" x14ac:dyDescent="0.3">
      <c r="A33" s="21"/>
      <c r="B33" s="27">
        <v>43588</v>
      </c>
      <c r="C33" s="249">
        <v>17067.599999999999</v>
      </c>
      <c r="D33" s="43" t="s">
        <v>43</v>
      </c>
      <c r="E33" s="29">
        <v>43588</v>
      </c>
      <c r="F33" s="249">
        <v>172901</v>
      </c>
      <c r="H33" s="24">
        <v>43588</v>
      </c>
      <c r="I33" s="249">
        <v>10247</v>
      </c>
      <c r="J33" s="4"/>
      <c r="K33" s="278"/>
      <c r="L33" s="279"/>
      <c r="M33" s="249">
        <f>50000+91400</f>
        <v>141400</v>
      </c>
      <c r="N33" s="249">
        <v>4182</v>
      </c>
      <c r="O33" s="277"/>
      <c r="P33" s="277">
        <f>C33+I33+M33+N33</f>
        <v>172896.6</v>
      </c>
      <c r="Q33" s="167">
        <v>-4</v>
      </c>
      <c r="R33" s="4"/>
      <c r="S33" s="167"/>
      <c r="T33" s="25"/>
    </row>
    <row r="34" spans="1:20" ht="15.75" thickBot="1" x14ac:dyDescent="0.3">
      <c r="A34" s="21"/>
      <c r="B34" s="27">
        <v>43589</v>
      </c>
      <c r="C34" s="249">
        <v>2659</v>
      </c>
      <c r="D34" s="43" t="s">
        <v>255</v>
      </c>
      <c r="E34" s="29">
        <v>43589</v>
      </c>
      <c r="F34" s="249">
        <v>120401</v>
      </c>
      <c r="H34" s="24">
        <v>43589</v>
      </c>
      <c r="I34" s="249">
        <v>0</v>
      </c>
      <c r="J34" s="4"/>
      <c r="K34" s="278"/>
      <c r="L34" s="279"/>
      <c r="M34" s="249">
        <v>101753</v>
      </c>
      <c r="N34" s="249">
        <v>6120</v>
      </c>
      <c r="O34" s="277"/>
      <c r="P34" s="277">
        <f>C34+M34+N34+L17-R16</f>
        <v>120400.58</v>
      </c>
      <c r="R34" s="4"/>
      <c r="S34" s="167"/>
      <c r="T34" s="25"/>
    </row>
    <row r="35" spans="1:20" ht="15.75" thickBot="1" x14ac:dyDescent="0.3">
      <c r="A35" s="21"/>
      <c r="B35" s="27">
        <v>43590</v>
      </c>
      <c r="C35" s="249">
        <v>0</v>
      </c>
      <c r="D35" s="43"/>
      <c r="E35" s="29">
        <v>43590</v>
      </c>
      <c r="F35" s="249">
        <v>90602</v>
      </c>
      <c r="H35" s="24">
        <v>43590</v>
      </c>
      <c r="I35" s="249">
        <v>145</v>
      </c>
      <c r="J35" s="4"/>
      <c r="K35" s="278"/>
      <c r="L35" s="279"/>
      <c r="M35" s="249">
        <f>17308+71585</f>
        <v>88893</v>
      </c>
      <c r="N35" s="249">
        <v>1564</v>
      </c>
      <c r="O35" s="277"/>
      <c r="P35" s="277">
        <f>I35+M35+N35</f>
        <v>90602</v>
      </c>
      <c r="R35" s="4"/>
      <c r="S35" s="167"/>
      <c r="T35" s="25"/>
    </row>
    <row r="36" spans="1:20" ht="15.75" thickBot="1" x14ac:dyDescent="0.3">
      <c r="A36" s="21"/>
      <c r="B36" s="27">
        <v>43591</v>
      </c>
      <c r="C36" s="249">
        <v>3728.73</v>
      </c>
      <c r="D36" s="43" t="s">
        <v>280</v>
      </c>
      <c r="E36" s="29">
        <v>43591</v>
      </c>
      <c r="F36" s="249">
        <v>95180</v>
      </c>
      <c r="H36" s="24">
        <v>43591</v>
      </c>
      <c r="I36" s="249">
        <v>200</v>
      </c>
      <c r="J36" s="4"/>
      <c r="K36" s="278"/>
      <c r="L36" s="279"/>
      <c r="M36" s="249">
        <v>88086</v>
      </c>
      <c r="N36" s="249">
        <v>3165</v>
      </c>
      <c r="O36" s="277"/>
      <c r="P36" s="277">
        <f>C36+I36+M36+N36</f>
        <v>95179.73</v>
      </c>
      <c r="R36" s="4"/>
      <c r="S36" s="167"/>
      <c r="T36" s="25"/>
    </row>
    <row r="37" spans="1:20" ht="15.75" thickBot="1" x14ac:dyDescent="0.3">
      <c r="A37" s="21"/>
      <c r="B37" s="27">
        <v>43592</v>
      </c>
      <c r="C37" s="249">
        <v>480</v>
      </c>
      <c r="D37" s="43" t="s">
        <v>281</v>
      </c>
      <c r="E37" s="29">
        <v>43592</v>
      </c>
      <c r="F37" s="249">
        <v>72111</v>
      </c>
      <c r="H37" s="24">
        <v>43592</v>
      </c>
      <c r="I37" s="249">
        <v>870</v>
      </c>
      <c r="J37" s="4"/>
      <c r="K37" s="278"/>
      <c r="L37" s="279"/>
      <c r="M37" s="249">
        <v>69950</v>
      </c>
      <c r="N37" s="249">
        <v>810</v>
      </c>
      <c r="O37" s="277"/>
      <c r="P37" s="277">
        <f>C37+I37+M37+N37</f>
        <v>72110</v>
      </c>
      <c r="R37" s="4"/>
      <c r="S37" s="167"/>
      <c r="T37" s="25"/>
    </row>
    <row r="38" spans="1:20" ht="15.75" thickBot="1" x14ac:dyDescent="0.3">
      <c r="A38" s="21"/>
      <c r="B38" s="27">
        <v>43593</v>
      </c>
      <c r="C38" s="277">
        <v>10280.36</v>
      </c>
      <c r="D38" s="43" t="s">
        <v>282</v>
      </c>
      <c r="E38" s="29">
        <v>43593</v>
      </c>
      <c r="F38" s="277">
        <v>105128</v>
      </c>
      <c r="H38" s="24">
        <v>43593</v>
      </c>
      <c r="I38" s="249">
        <v>259.95</v>
      </c>
      <c r="J38" s="4"/>
      <c r="K38" s="278"/>
      <c r="L38" s="279"/>
      <c r="M38" s="249">
        <v>90321</v>
      </c>
      <c r="N38" s="249">
        <v>4266</v>
      </c>
      <c r="O38" s="277"/>
      <c r="P38" s="277">
        <f>C38+I38+M38+N38</f>
        <v>105127.31</v>
      </c>
      <c r="R38" s="4"/>
      <c r="S38" s="167"/>
      <c r="T38" s="25"/>
    </row>
    <row r="39" spans="1:20" ht="15.75" thickBot="1" x14ac:dyDescent="0.3">
      <c r="A39" s="21"/>
      <c r="B39" s="27">
        <v>43594</v>
      </c>
      <c r="C39" s="277">
        <v>13167.96</v>
      </c>
      <c r="D39" s="43" t="s">
        <v>43</v>
      </c>
      <c r="E39" s="298">
        <v>43594</v>
      </c>
      <c r="F39" s="249">
        <v>105030</v>
      </c>
      <c r="H39" s="24">
        <v>43594</v>
      </c>
      <c r="I39" s="249">
        <v>4627.5</v>
      </c>
      <c r="J39" s="4"/>
      <c r="K39" s="278"/>
      <c r="L39" s="279"/>
      <c r="M39" s="249">
        <v>86517</v>
      </c>
      <c r="N39" s="249">
        <v>717</v>
      </c>
      <c r="O39" s="277"/>
      <c r="P39" s="277">
        <f>C39+I39+M39+N39</f>
        <v>105029.45999999999</v>
      </c>
      <c r="R39" s="4"/>
      <c r="S39" s="167"/>
      <c r="T39" s="25"/>
    </row>
    <row r="40" spans="1:20" ht="16.5" thickBot="1" x14ac:dyDescent="0.3">
      <c r="A40" s="49"/>
      <c r="B40" s="27"/>
      <c r="C40" s="51">
        <v>0</v>
      </c>
      <c r="D40" s="19"/>
      <c r="E40" s="29"/>
      <c r="F40" s="53">
        <v>0</v>
      </c>
      <c r="H40" s="24"/>
      <c r="I40" s="117"/>
      <c r="K40" s="54"/>
      <c r="L40" s="55"/>
      <c r="M40" s="211">
        <f>SUM(M5:M39)</f>
        <v>3192677</v>
      </c>
      <c r="N40" s="211">
        <f>SUM(N5:N39)</f>
        <v>144967</v>
      </c>
      <c r="O40" s="302"/>
      <c r="P40" s="211">
        <f>SUM(P5:P39)</f>
        <v>3715382.62</v>
      </c>
      <c r="Q40" s="118">
        <f>SUM(Q5:Q31)</f>
        <v>364</v>
      </c>
      <c r="R40" s="5">
        <f>SUM(R28:R32)</f>
        <v>0</v>
      </c>
    </row>
    <row r="41" spans="1:20" ht="15.75" thickBot="1" x14ac:dyDescent="0.3">
      <c r="B41" s="56" t="s">
        <v>13</v>
      </c>
      <c r="C41" s="57">
        <f>SUM(C5:C40)</f>
        <v>249267.86999999997</v>
      </c>
      <c r="E41" s="58" t="s">
        <v>13</v>
      </c>
      <c r="F41" s="59">
        <f>SUM(F5:F40)</f>
        <v>3714142</v>
      </c>
      <c r="H41" s="6" t="s">
        <v>13</v>
      </c>
      <c r="I41" s="4">
        <f>SUM(I5:I40)</f>
        <v>61058.13</v>
      </c>
      <c r="J41" s="4"/>
      <c r="K41" s="60" t="s">
        <v>13</v>
      </c>
      <c r="L41" s="40">
        <f>SUM(L5:L40)</f>
        <v>175352.49</v>
      </c>
      <c r="O41" s="257"/>
      <c r="T41" s="5"/>
    </row>
    <row r="42" spans="1:20" ht="19.5" thickBot="1" x14ac:dyDescent="0.3">
      <c r="C42" s="5" t="s">
        <v>7</v>
      </c>
      <c r="M42" s="412">
        <f>N40+M40</f>
        <v>3337644</v>
      </c>
      <c r="N42" s="413"/>
      <c r="O42" s="303"/>
      <c r="P42" s="303"/>
      <c r="T42" s="5"/>
    </row>
    <row r="43" spans="1:20" ht="15.75" x14ac:dyDescent="0.25">
      <c r="A43" s="25"/>
      <c r="B43" s="61"/>
      <c r="C43" s="4"/>
      <c r="H43" s="384" t="s">
        <v>14</v>
      </c>
      <c r="I43" s="385"/>
      <c r="J43" s="232"/>
      <c r="K43" s="386">
        <f>I41+L41</f>
        <v>236410.62</v>
      </c>
      <c r="L43" s="387"/>
      <c r="R43" s="4"/>
      <c r="S43" s="41"/>
      <c r="T43" s="5"/>
    </row>
    <row r="44" spans="1:20" ht="15.75" x14ac:dyDescent="0.25">
      <c r="D44" s="393" t="s">
        <v>15</v>
      </c>
      <c r="E44" s="393"/>
      <c r="F44" s="205">
        <f>F41-K43-C41</f>
        <v>3228463.51</v>
      </c>
      <c r="I44" s="63"/>
      <c r="J44" s="63"/>
      <c r="T44" s="5"/>
    </row>
    <row r="45" spans="1:20" ht="18.75" x14ac:dyDescent="0.3">
      <c r="D45" s="394" t="s">
        <v>16</v>
      </c>
      <c r="E45" s="394"/>
      <c r="F45" s="110">
        <v>-3082071.81</v>
      </c>
      <c r="I45" s="395" t="s">
        <v>17</v>
      </c>
      <c r="J45" s="396"/>
      <c r="K45" s="397">
        <f>F50</f>
        <v>528010.19999999972</v>
      </c>
      <c r="L45" s="398"/>
      <c r="T45" s="5"/>
    </row>
    <row r="46" spans="1:20" ht="4.5" customHeight="1" thickBot="1" x14ac:dyDescent="0.35">
      <c r="D46" s="64"/>
      <c r="E46" s="65"/>
      <c r="F46" s="66"/>
      <c r="I46" s="67"/>
      <c r="J46" s="67"/>
      <c r="K46" s="68"/>
      <c r="L46" s="68"/>
      <c r="T46" s="5"/>
    </row>
    <row r="47" spans="1:20" ht="19.5" thickTop="1" x14ac:dyDescent="0.3">
      <c r="C47" s="3" t="s">
        <v>7</v>
      </c>
      <c r="E47" s="25" t="s">
        <v>19</v>
      </c>
      <c r="F47" s="4">
        <f>SUM(F44:F46)</f>
        <v>146391.69999999972</v>
      </c>
      <c r="I47" s="69" t="s">
        <v>20</v>
      </c>
      <c r="J47" s="70"/>
      <c r="K47" s="418">
        <f>-C4</f>
        <v>-382548.6</v>
      </c>
      <c r="L47" s="419"/>
      <c r="M47" s="5" t="s">
        <v>21</v>
      </c>
      <c r="T47" s="5"/>
    </row>
    <row r="48" spans="1:20" ht="15.75" thickBot="1" x14ac:dyDescent="0.3">
      <c r="D48" s="71" t="s">
        <v>22</v>
      </c>
      <c r="E48" s="25" t="s">
        <v>23</v>
      </c>
      <c r="F48" s="257">
        <v>11747.3</v>
      </c>
      <c r="T48" s="5"/>
    </row>
    <row r="49" spans="2:17" ht="20.25" thickTop="1" thickBot="1" x14ac:dyDescent="0.35">
      <c r="C49" s="231">
        <v>43594</v>
      </c>
      <c r="D49" s="400" t="s">
        <v>24</v>
      </c>
      <c r="E49" s="400"/>
      <c r="F49" s="72">
        <v>369871.2</v>
      </c>
      <c r="I49" s="414" t="s">
        <v>95</v>
      </c>
      <c r="J49" s="415"/>
      <c r="K49" s="416">
        <f>K45+K47</f>
        <v>145461.59999999974</v>
      </c>
      <c r="L49" s="417"/>
    </row>
    <row r="50" spans="2:17" ht="18.75" x14ac:dyDescent="0.3">
      <c r="C50" s="59"/>
      <c r="D50" s="58"/>
      <c r="E50" s="33" t="s">
        <v>25</v>
      </c>
      <c r="F50" s="73">
        <f>F47+F48+F49</f>
        <v>528010.19999999972</v>
      </c>
      <c r="J50" s="6"/>
      <c r="M50" s="74"/>
    </row>
    <row r="52" spans="2:17" x14ac:dyDescent="0.25">
      <c r="B52"/>
      <c r="C52"/>
      <c r="D52" s="392"/>
      <c r="E52" s="392"/>
      <c r="M52" s="75"/>
      <c r="N52" s="25"/>
      <c r="O52" s="25"/>
      <c r="P52" s="25"/>
      <c r="Q52" s="25"/>
    </row>
    <row r="53" spans="2:17" x14ac:dyDescent="0.25">
      <c r="B53"/>
      <c r="C53"/>
      <c r="M53" s="75"/>
      <c r="N53" s="25"/>
      <c r="O53" s="25"/>
      <c r="P53" s="25"/>
      <c r="Q53" s="25"/>
    </row>
    <row r="54" spans="2:17" x14ac:dyDescent="0.25">
      <c r="B54"/>
      <c r="C54"/>
      <c r="N54" s="25"/>
      <c r="O54" s="25"/>
      <c r="P54" s="25"/>
      <c r="Q54" s="25"/>
    </row>
    <row r="55" spans="2:17" x14ac:dyDescent="0.25">
      <c r="B55"/>
      <c r="C55"/>
      <c r="F55"/>
      <c r="I55"/>
      <c r="J55"/>
      <c r="M55"/>
      <c r="N55" s="25"/>
      <c r="O55" s="25"/>
      <c r="P55" s="25"/>
      <c r="Q55" s="25"/>
    </row>
    <row r="56" spans="2:17" x14ac:dyDescent="0.25">
      <c r="B56"/>
      <c r="C56"/>
      <c r="N56" s="25"/>
      <c r="O56" s="25"/>
      <c r="P56" s="25"/>
      <c r="Q56" s="25"/>
    </row>
    <row r="57" spans="2:17" x14ac:dyDescent="0.25">
      <c r="M57" s="4"/>
      <c r="N57" s="25"/>
      <c r="O57" s="25"/>
      <c r="P57" s="25"/>
      <c r="Q57" s="25"/>
    </row>
    <row r="58" spans="2:17" x14ac:dyDescent="0.25">
      <c r="M58" s="4"/>
      <c r="N58" s="25"/>
      <c r="O58" s="25"/>
      <c r="P58" s="25"/>
      <c r="Q58" s="25"/>
    </row>
    <row r="59" spans="2:17" x14ac:dyDescent="0.25">
      <c r="M59" s="4"/>
      <c r="N59" s="25"/>
      <c r="O59" s="25"/>
      <c r="P59" s="25"/>
      <c r="Q59" s="25"/>
    </row>
    <row r="60" spans="2:17" x14ac:dyDescent="0.25">
      <c r="M60" s="4"/>
      <c r="N60" s="25"/>
      <c r="O60" s="25"/>
      <c r="P60" s="25"/>
      <c r="Q60" s="25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</sheetData>
  <mergeCells count="17">
    <mergeCell ref="M42:N42"/>
    <mergeCell ref="C1:K1"/>
    <mergeCell ref="U3:V3"/>
    <mergeCell ref="E4:F4"/>
    <mergeCell ref="I4:L4"/>
    <mergeCell ref="U20:V20"/>
    <mergeCell ref="H43:I43"/>
    <mergeCell ref="K43:L43"/>
    <mergeCell ref="D44:E44"/>
    <mergeCell ref="D45:E45"/>
    <mergeCell ref="I45:J45"/>
    <mergeCell ref="K45:L45"/>
    <mergeCell ref="K47:L47"/>
    <mergeCell ref="D49:E49"/>
    <mergeCell ref="I49:J49"/>
    <mergeCell ref="K49:L49"/>
    <mergeCell ref="D52:E52"/>
  </mergeCells>
  <pageMargins left="0.31496062992125984" right="0.11811023622047245" top="0" bottom="0" header="0.31496062992125984" footer="0.31496062992125984"/>
  <pageSetup scale="73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AA5F-6DFE-4F34-902F-966C6091285A}">
  <sheetPr>
    <tabColor rgb="FF7030A0"/>
  </sheetPr>
  <dimension ref="A1:F94"/>
  <sheetViews>
    <sheetView topLeftCell="A45" workbookViewId="0">
      <selection activeCell="E56" sqref="E5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43560</v>
      </c>
      <c r="B3" s="256" t="s">
        <v>261</v>
      </c>
      <c r="C3" s="257">
        <v>1927.22</v>
      </c>
      <c r="D3" s="258"/>
      <c r="E3" s="257"/>
      <c r="F3" s="79">
        <f>C3-E3</f>
        <v>1927.22</v>
      </c>
    </row>
    <row r="4" spans="1:6" x14ac:dyDescent="0.25">
      <c r="A4" s="255">
        <v>43560</v>
      </c>
      <c r="B4" s="256" t="s">
        <v>262</v>
      </c>
      <c r="C4" s="257">
        <v>47305.67</v>
      </c>
      <c r="D4" s="258"/>
      <c r="E4" s="257"/>
      <c r="F4" s="79">
        <f>F3+C4-E4</f>
        <v>49232.89</v>
      </c>
    </row>
    <row r="5" spans="1:6" x14ac:dyDescent="0.25">
      <c r="A5" s="259">
        <v>43560</v>
      </c>
      <c r="B5" s="260" t="s">
        <v>263</v>
      </c>
      <c r="C5" s="257">
        <v>28618.5</v>
      </c>
      <c r="D5" s="258"/>
      <c r="E5" s="257"/>
      <c r="F5" s="79">
        <f t="shared" ref="F5:F57" si="0">F4+C5-E5</f>
        <v>77851.39</v>
      </c>
    </row>
    <row r="6" spans="1:6" x14ac:dyDescent="0.25">
      <c r="A6" s="259">
        <v>43561</v>
      </c>
      <c r="B6" s="260" t="s">
        <v>264</v>
      </c>
      <c r="C6" s="257">
        <v>891</v>
      </c>
      <c r="D6" s="258"/>
      <c r="E6" s="257"/>
      <c r="F6" s="79">
        <f t="shared" si="0"/>
        <v>78742.39</v>
      </c>
    </row>
    <row r="7" spans="1:6" x14ac:dyDescent="0.25">
      <c r="A7" s="259">
        <v>43561</v>
      </c>
      <c r="B7" s="260" t="s">
        <v>265</v>
      </c>
      <c r="C7" s="257">
        <v>40102.019999999997</v>
      </c>
      <c r="D7" s="258"/>
      <c r="E7" s="257"/>
      <c r="F7" s="79">
        <f t="shared" si="0"/>
        <v>118844.41</v>
      </c>
    </row>
    <row r="8" spans="1:6" x14ac:dyDescent="0.25">
      <c r="A8" s="259">
        <v>43561</v>
      </c>
      <c r="B8" s="260" t="s">
        <v>266</v>
      </c>
      <c r="C8" s="257">
        <v>56875.08</v>
      </c>
      <c r="D8" s="261"/>
      <c r="E8" s="257"/>
      <c r="F8" s="79">
        <f t="shared" si="0"/>
        <v>175719.49</v>
      </c>
    </row>
    <row r="9" spans="1:6" x14ac:dyDescent="0.25">
      <c r="A9" s="259">
        <v>43561</v>
      </c>
      <c r="B9" s="260" t="s">
        <v>267</v>
      </c>
      <c r="C9" s="257">
        <v>8670.6</v>
      </c>
      <c r="D9" s="258"/>
      <c r="E9" s="257"/>
      <c r="F9" s="79">
        <f t="shared" si="0"/>
        <v>184390.09</v>
      </c>
    </row>
    <row r="10" spans="1:6" x14ac:dyDescent="0.25">
      <c r="A10" s="259">
        <v>43561</v>
      </c>
      <c r="B10" s="260" t="s">
        <v>268</v>
      </c>
      <c r="C10" s="257">
        <v>711.9</v>
      </c>
      <c r="D10" s="258">
        <v>43563</v>
      </c>
      <c r="E10" s="257">
        <v>185101.99</v>
      </c>
      <c r="F10" s="79">
        <f t="shared" si="0"/>
        <v>0</v>
      </c>
    </row>
    <row r="11" spans="1:6" x14ac:dyDescent="0.25">
      <c r="A11" s="262">
        <v>43563</v>
      </c>
      <c r="B11" s="260" t="s">
        <v>269</v>
      </c>
      <c r="C11" s="257">
        <v>67044.03</v>
      </c>
      <c r="D11" s="258"/>
      <c r="E11" s="257"/>
      <c r="F11" s="79">
        <f t="shared" si="0"/>
        <v>67044.03</v>
      </c>
    </row>
    <row r="12" spans="1:6" x14ac:dyDescent="0.25">
      <c r="A12" s="259">
        <v>43564</v>
      </c>
      <c r="B12" s="260" t="s">
        <v>270</v>
      </c>
      <c r="C12" s="257">
        <v>187128.29</v>
      </c>
      <c r="D12" s="258"/>
      <c r="E12" s="257"/>
      <c r="F12" s="79">
        <f t="shared" si="0"/>
        <v>254172.32</v>
      </c>
    </row>
    <row r="13" spans="1:6" x14ac:dyDescent="0.25">
      <c r="A13" s="259">
        <v>43566</v>
      </c>
      <c r="B13" s="260" t="s">
        <v>271</v>
      </c>
      <c r="C13" s="257">
        <v>112926.52</v>
      </c>
      <c r="D13" s="258">
        <v>43566</v>
      </c>
      <c r="E13" s="257">
        <v>367098.84</v>
      </c>
      <c r="F13" s="79">
        <f t="shared" si="0"/>
        <v>0</v>
      </c>
    </row>
    <row r="14" spans="1:6" x14ac:dyDescent="0.25">
      <c r="A14" s="259">
        <v>43567</v>
      </c>
      <c r="B14" s="260" t="s">
        <v>284</v>
      </c>
      <c r="C14" s="257">
        <v>79049.399999999994</v>
      </c>
      <c r="D14" s="258"/>
      <c r="E14" s="257"/>
      <c r="F14" s="79">
        <f t="shared" si="0"/>
        <v>79049.399999999994</v>
      </c>
    </row>
    <row r="15" spans="1:6" x14ac:dyDescent="0.25">
      <c r="A15" s="259">
        <v>43567</v>
      </c>
      <c r="B15" s="260" t="s">
        <v>285</v>
      </c>
      <c r="C15" s="257">
        <v>13320</v>
      </c>
      <c r="D15" s="258"/>
      <c r="E15" s="257"/>
      <c r="F15" s="79">
        <f t="shared" si="0"/>
        <v>92369.4</v>
      </c>
    </row>
    <row r="16" spans="1:6" x14ac:dyDescent="0.25">
      <c r="A16" s="259">
        <v>43567</v>
      </c>
      <c r="B16" s="260" t="s">
        <v>286</v>
      </c>
      <c r="C16" s="257">
        <v>8580.6</v>
      </c>
      <c r="D16" s="258"/>
      <c r="E16" s="257"/>
      <c r="F16" s="79">
        <f t="shared" si="0"/>
        <v>100950</v>
      </c>
    </row>
    <row r="17" spans="1:6" x14ac:dyDescent="0.25">
      <c r="A17" s="259">
        <v>43567</v>
      </c>
      <c r="B17" s="260" t="s">
        <v>287</v>
      </c>
      <c r="C17" s="257">
        <v>8570</v>
      </c>
      <c r="D17" s="258"/>
      <c r="E17" s="257"/>
      <c r="F17" s="79">
        <f t="shared" si="0"/>
        <v>109520</v>
      </c>
    </row>
    <row r="18" spans="1:6" x14ac:dyDescent="0.25">
      <c r="A18" s="259">
        <v>43568</v>
      </c>
      <c r="B18" s="260" t="s">
        <v>288</v>
      </c>
      <c r="C18" s="257">
        <v>92315.94</v>
      </c>
      <c r="D18" s="258"/>
      <c r="E18" s="257"/>
      <c r="F18" s="79">
        <f t="shared" si="0"/>
        <v>201835.94</v>
      </c>
    </row>
    <row r="19" spans="1:6" x14ac:dyDescent="0.25">
      <c r="A19" s="259">
        <v>43570</v>
      </c>
      <c r="B19" s="260" t="s">
        <v>289</v>
      </c>
      <c r="C19" s="257">
        <v>79691.509999999995</v>
      </c>
      <c r="D19" s="261"/>
      <c r="E19" s="257"/>
      <c r="F19" s="79">
        <f t="shared" si="0"/>
        <v>281527.45</v>
      </c>
    </row>
    <row r="20" spans="1:6" x14ac:dyDescent="0.25">
      <c r="A20" s="259">
        <v>43571</v>
      </c>
      <c r="B20" s="260" t="s">
        <v>290</v>
      </c>
      <c r="C20" s="257">
        <v>85153.26</v>
      </c>
      <c r="D20" s="258"/>
      <c r="E20" s="257"/>
      <c r="F20" s="79">
        <f t="shared" si="0"/>
        <v>366680.71</v>
      </c>
    </row>
    <row r="21" spans="1:6" x14ac:dyDescent="0.25">
      <c r="A21" s="259">
        <v>43571</v>
      </c>
      <c r="B21" s="260" t="s">
        <v>291</v>
      </c>
      <c r="C21" s="257">
        <v>6871.5</v>
      </c>
      <c r="D21" s="258">
        <v>43572</v>
      </c>
      <c r="E21" s="257">
        <v>373552.21</v>
      </c>
      <c r="F21" s="79">
        <f t="shared" si="0"/>
        <v>0</v>
      </c>
    </row>
    <row r="22" spans="1:6" x14ac:dyDescent="0.25">
      <c r="A22" s="259">
        <v>43572</v>
      </c>
      <c r="B22" s="260" t="s">
        <v>292</v>
      </c>
      <c r="C22" s="257">
        <v>45684.27</v>
      </c>
      <c r="D22" s="258"/>
      <c r="E22" s="257"/>
      <c r="F22" s="79">
        <f t="shared" si="0"/>
        <v>45684.27</v>
      </c>
    </row>
    <row r="23" spans="1:6" x14ac:dyDescent="0.25">
      <c r="A23" s="259">
        <v>43572</v>
      </c>
      <c r="B23" s="260" t="s">
        <v>293</v>
      </c>
      <c r="C23" s="257">
        <v>17400</v>
      </c>
      <c r="D23" s="258"/>
      <c r="E23" s="257"/>
      <c r="F23" s="79">
        <f t="shared" si="0"/>
        <v>63084.27</v>
      </c>
    </row>
    <row r="24" spans="1:6" x14ac:dyDescent="0.25">
      <c r="A24" s="259">
        <v>43573</v>
      </c>
      <c r="B24" s="260" t="s">
        <v>294</v>
      </c>
      <c r="C24" s="257">
        <v>109456.87</v>
      </c>
      <c r="D24" s="258"/>
      <c r="E24" s="257"/>
      <c r="F24" s="79">
        <f t="shared" si="0"/>
        <v>172541.13999999998</v>
      </c>
    </row>
    <row r="25" spans="1:6" x14ac:dyDescent="0.25">
      <c r="A25" s="259">
        <v>43573</v>
      </c>
      <c r="B25" s="260" t="s">
        <v>295</v>
      </c>
      <c r="C25" s="257">
        <v>27972</v>
      </c>
      <c r="D25" s="258"/>
      <c r="E25" s="257"/>
      <c r="F25" s="79">
        <f t="shared" si="0"/>
        <v>200513.13999999998</v>
      </c>
    </row>
    <row r="26" spans="1:6" x14ac:dyDescent="0.25">
      <c r="A26" s="255">
        <v>43573</v>
      </c>
      <c r="B26" s="256" t="s">
        <v>296</v>
      </c>
      <c r="C26" s="257">
        <v>15300.88</v>
      </c>
      <c r="D26" s="258"/>
      <c r="E26" s="257"/>
      <c r="F26" s="79">
        <f t="shared" si="0"/>
        <v>215814.02</v>
      </c>
    </row>
    <row r="27" spans="1:6" x14ac:dyDescent="0.25">
      <c r="A27" s="255">
        <v>43575</v>
      </c>
      <c r="B27" s="256" t="s">
        <v>297</v>
      </c>
      <c r="C27" s="257">
        <v>102190</v>
      </c>
      <c r="D27" s="258"/>
      <c r="E27" s="257"/>
      <c r="F27" s="79">
        <f t="shared" si="0"/>
        <v>318004.02</v>
      </c>
    </row>
    <row r="28" spans="1:6" x14ac:dyDescent="0.25">
      <c r="A28" s="255">
        <v>43575</v>
      </c>
      <c r="B28" s="256" t="s">
        <v>298</v>
      </c>
      <c r="C28" s="257">
        <v>1500</v>
      </c>
      <c r="D28" s="258"/>
      <c r="E28" s="257"/>
      <c r="F28" s="79">
        <f t="shared" si="0"/>
        <v>319504.02</v>
      </c>
    </row>
    <row r="29" spans="1:6" x14ac:dyDescent="0.25">
      <c r="A29" s="255">
        <v>43576</v>
      </c>
      <c r="B29" s="256" t="s">
        <v>299</v>
      </c>
      <c r="C29" s="257">
        <v>80988.5</v>
      </c>
      <c r="D29" s="258">
        <v>43578</v>
      </c>
      <c r="E29" s="257">
        <v>400492.52</v>
      </c>
      <c r="F29" s="79">
        <f t="shared" si="0"/>
        <v>0</v>
      </c>
    </row>
    <row r="30" spans="1:6" x14ac:dyDescent="0.25">
      <c r="A30" s="255">
        <v>43578</v>
      </c>
      <c r="B30" s="256" t="s">
        <v>300</v>
      </c>
      <c r="C30" s="257">
        <v>94580.75</v>
      </c>
      <c r="D30" s="258"/>
      <c r="E30" s="257"/>
      <c r="F30" s="79">
        <f t="shared" si="0"/>
        <v>94580.75</v>
      </c>
    </row>
    <row r="31" spans="1:6" x14ac:dyDescent="0.25">
      <c r="A31" s="255">
        <v>43579</v>
      </c>
      <c r="B31" s="256" t="s">
        <v>301</v>
      </c>
      <c r="C31" s="257">
        <v>165141.45000000001</v>
      </c>
      <c r="D31" s="258"/>
      <c r="E31" s="257"/>
      <c r="F31" s="79">
        <f t="shared" si="0"/>
        <v>259722.2</v>
      </c>
    </row>
    <row r="32" spans="1:6" x14ac:dyDescent="0.25">
      <c r="A32" s="255">
        <v>43580</v>
      </c>
      <c r="B32" s="256" t="s">
        <v>302</v>
      </c>
      <c r="C32" s="257">
        <v>130122.48</v>
      </c>
      <c r="D32" s="258"/>
      <c r="E32" s="257"/>
      <c r="F32" s="79">
        <f t="shared" si="0"/>
        <v>389844.68</v>
      </c>
    </row>
    <row r="33" spans="1:6" x14ac:dyDescent="0.25">
      <c r="A33" s="255">
        <v>43580</v>
      </c>
      <c r="B33" s="256" t="s">
        <v>303</v>
      </c>
      <c r="C33" s="257">
        <v>5714</v>
      </c>
      <c r="D33" s="258">
        <v>43582</v>
      </c>
      <c r="E33" s="257">
        <v>395558.68</v>
      </c>
      <c r="F33" s="79">
        <f t="shared" si="0"/>
        <v>0</v>
      </c>
    </row>
    <row r="34" spans="1:6" x14ac:dyDescent="0.25">
      <c r="A34" s="255">
        <v>43582</v>
      </c>
      <c r="B34" s="256" t="s">
        <v>304</v>
      </c>
      <c r="C34" s="257">
        <v>1135.02</v>
      </c>
      <c r="D34" s="258"/>
      <c r="E34" s="257"/>
      <c r="F34" s="79">
        <f t="shared" si="0"/>
        <v>1135.02</v>
      </c>
    </row>
    <row r="35" spans="1:6" x14ac:dyDescent="0.25">
      <c r="A35" s="255">
        <v>43582</v>
      </c>
      <c r="B35" s="256" t="s">
        <v>305</v>
      </c>
      <c r="C35" s="257">
        <v>155316.62</v>
      </c>
      <c r="D35" s="258"/>
      <c r="E35" s="257"/>
      <c r="F35" s="79">
        <f t="shared" si="0"/>
        <v>156451.63999999998</v>
      </c>
    </row>
    <row r="36" spans="1:6" x14ac:dyDescent="0.25">
      <c r="A36" s="255">
        <v>43583</v>
      </c>
      <c r="B36" s="256" t="s">
        <v>306</v>
      </c>
      <c r="C36" s="257">
        <v>116138.7</v>
      </c>
      <c r="D36" s="258"/>
      <c r="E36" s="257"/>
      <c r="F36" s="79">
        <f t="shared" si="0"/>
        <v>272590.33999999997</v>
      </c>
    </row>
    <row r="37" spans="1:6" x14ac:dyDescent="0.25">
      <c r="A37" s="255">
        <v>43584</v>
      </c>
      <c r="B37" s="256" t="s">
        <v>307</v>
      </c>
      <c r="C37" s="257">
        <v>96044.6</v>
      </c>
      <c r="D37" s="258">
        <v>43585</v>
      </c>
      <c r="E37" s="257">
        <v>368634.94</v>
      </c>
      <c r="F37" s="79">
        <f t="shared" si="0"/>
        <v>0</v>
      </c>
    </row>
    <row r="38" spans="1:6" x14ac:dyDescent="0.25">
      <c r="A38" s="255">
        <v>43585</v>
      </c>
      <c r="B38" s="256" t="s">
        <v>308</v>
      </c>
      <c r="C38" s="257">
        <v>136279.70000000001</v>
      </c>
      <c r="D38" s="258"/>
      <c r="E38" s="257"/>
      <c r="F38" s="79">
        <f t="shared" si="0"/>
        <v>136279.70000000001</v>
      </c>
    </row>
    <row r="39" spans="1:6" x14ac:dyDescent="0.25">
      <c r="A39" s="255">
        <v>43586</v>
      </c>
      <c r="B39" s="256" t="s">
        <v>309</v>
      </c>
      <c r="C39" s="257">
        <v>132663.4</v>
      </c>
      <c r="D39" s="258"/>
      <c r="E39" s="257"/>
      <c r="F39" s="79">
        <f t="shared" si="0"/>
        <v>268943.09999999998</v>
      </c>
    </row>
    <row r="40" spans="1:6" x14ac:dyDescent="0.25">
      <c r="A40" s="255">
        <v>43587</v>
      </c>
      <c r="B40" s="256" t="s">
        <v>310</v>
      </c>
      <c r="C40" s="257">
        <v>5475.14</v>
      </c>
      <c r="D40" s="258"/>
      <c r="E40" s="257"/>
      <c r="F40" s="79">
        <f t="shared" si="0"/>
        <v>274418.24</v>
      </c>
    </row>
    <row r="41" spans="1:6" x14ac:dyDescent="0.25">
      <c r="A41" s="255">
        <v>43587</v>
      </c>
      <c r="B41" s="256" t="s">
        <v>311</v>
      </c>
      <c r="C41" s="257">
        <v>76421.440000000002</v>
      </c>
      <c r="D41" s="258"/>
      <c r="E41" s="257"/>
      <c r="F41" s="79">
        <f t="shared" si="0"/>
        <v>350839.68</v>
      </c>
    </row>
    <row r="42" spans="1:6" x14ac:dyDescent="0.25">
      <c r="A42" s="255">
        <v>43588</v>
      </c>
      <c r="B42" s="256" t="s">
        <v>312</v>
      </c>
      <c r="C42" s="257">
        <v>42859.4</v>
      </c>
      <c r="D42" s="258">
        <v>43589</v>
      </c>
      <c r="E42" s="257">
        <v>393699.08</v>
      </c>
      <c r="F42" s="79">
        <f t="shared" si="0"/>
        <v>0</v>
      </c>
    </row>
    <row r="43" spans="1:6" x14ac:dyDescent="0.25">
      <c r="A43" s="255">
        <v>43588</v>
      </c>
      <c r="B43" s="256" t="s">
        <v>313</v>
      </c>
      <c r="C43" s="257">
        <v>42291</v>
      </c>
      <c r="D43" s="258"/>
      <c r="E43" s="257"/>
      <c r="F43" s="79">
        <f t="shared" si="0"/>
        <v>42291</v>
      </c>
    </row>
    <row r="44" spans="1:6" x14ac:dyDescent="0.25">
      <c r="A44" s="255">
        <v>43588</v>
      </c>
      <c r="B44" s="256" t="s">
        <v>314</v>
      </c>
      <c r="C44" s="257">
        <v>40599</v>
      </c>
      <c r="D44" s="258"/>
      <c r="E44" s="257"/>
      <c r="F44" s="79">
        <f t="shared" si="0"/>
        <v>82890</v>
      </c>
    </row>
    <row r="45" spans="1:6" x14ac:dyDescent="0.25">
      <c r="A45" s="255">
        <v>43588</v>
      </c>
      <c r="B45" s="256" t="s">
        <v>315</v>
      </c>
      <c r="C45" s="257">
        <v>39190.5</v>
      </c>
      <c r="D45" s="258"/>
      <c r="E45" s="257"/>
      <c r="F45" s="79">
        <f t="shared" si="0"/>
        <v>122080.5</v>
      </c>
    </row>
    <row r="46" spans="1:6" x14ac:dyDescent="0.25">
      <c r="A46" s="255">
        <v>43589</v>
      </c>
      <c r="B46" s="256" t="s">
        <v>316</v>
      </c>
      <c r="C46" s="257">
        <v>72288</v>
      </c>
      <c r="D46" s="258"/>
      <c r="E46" s="257"/>
      <c r="F46" s="79">
        <f t="shared" si="0"/>
        <v>194368.5</v>
      </c>
    </row>
    <row r="47" spans="1:6" x14ac:dyDescent="0.25">
      <c r="A47" s="255">
        <v>43589</v>
      </c>
      <c r="B47" s="256" t="s">
        <v>317</v>
      </c>
      <c r="C47" s="257">
        <v>2070.1999999999998</v>
      </c>
      <c r="D47" s="258"/>
      <c r="E47" s="257"/>
      <c r="F47" s="79">
        <f t="shared" si="0"/>
        <v>196438.7</v>
      </c>
    </row>
    <row r="48" spans="1:6" x14ac:dyDescent="0.25">
      <c r="A48" s="255">
        <v>43590</v>
      </c>
      <c r="B48" s="256" t="s">
        <v>318</v>
      </c>
      <c r="C48" s="257">
        <v>10790.4</v>
      </c>
      <c r="D48" s="258"/>
      <c r="E48" s="257"/>
      <c r="F48" s="79">
        <f t="shared" si="0"/>
        <v>207229.1</v>
      </c>
    </row>
    <row r="49" spans="1:6" x14ac:dyDescent="0.25">
      <c r="A49" s="255">
        <v>43590</v>
      </c>
      <c r="B49" s="256" t="s">
        <v>319</v>
      </c>
      <c r="C49" s="257">
        <v>104848.45</v>
      </c>
      <c r="D49" s="258"/>
      <c r="E49" s="257"/>
      <c r="F49" s="79">
        <f t="shared" si="0"/>
        <v>312077.55</v>
      </c>
    </row>
    <row r="50" spans="1:6" x14ac:dyDescent="0.25">
      <c r="A50" s="255">
        <v>43591</v>
      </c>
      <c r="B50" s="256" t="s">
        <v>320</v>
      </c>
      <c r="C50" s="257">
        <v>1971.5</v>
      </c>
      <c r="D50" s="258">
        <v>43591</v>
      </c>
      <c r="E50" s="257">
        <v>314049.05</v>
      </c>
      <c r="F50" s="79">
        <f t="shared" si="0"/>
        <v>0</v>
      </c>
    </row>
    <row r="51" spans="1:6" x14ac:dyDescent="0.25">
      <c r="A51" s="255">
        <v>43592</v>
      </c>
      <c r="B51" s="256" t="s">
        <v>321</v>
      </c>
      <c r="C51" s="257">
        <v>3745.8</v>
      </c>
      <c r="D51" s="258"/>
      <c r="E51" s="257"/>
      <c r="F51" s="79">
        <f t="shared" si="0"/>
        <v>3745.8</v>
      </c>
    </row>
    <row r="52" spans="1:6" x14ac:dyDescent="0.25">
      <c r="A52" s="255">
        <v>43592</v>
      </c>
      <c r="B52" s="256" t="s">
        <v>322</v>
      </c>
      <c r="C52" s="257">
        <v>24404.9</v>
      </c>
      <c r="D52" s="258"/>
      <c r="E52" s="257"/>
      <c r="F52" s="79">
        <f t="shared" si="0"/>
        <v>28150.7</v>
      </c>
    </row>
    <row r="53" spans="1:6" x14ac:dyDescent="0.25">
      <c r="A53" s="255">
        <v>43593</v>
      </c>
      <c r="B53" s="256" t="s">
        <v>323</v>
      </c>
      <c r="C53" s="257">
        <v>109599.8</v>
      </c>
      <c r="D53" s="258">
        <v>43593</v>
      </c>
      <c r="E53" s="257">
        <v>137750.5</v>
      </c>
      <c r="F53" s="79">
        <f t="shared" si="0"/>
        <v>0</v>
      </c>
    </row>
    <row r="54" spans="1:6" x14ac:dyDescent="0.25">
      <c r="A54" s="307">
        <v>43594</v>
      </c>
      <c r="B54" s="308" t="s">
        <v>324</v>
      </c>
      <c r="C54" s="309">
        <v>132918.16</v>
      </c>
      <c r="D54" s="258"/>
      <c r="E54" s="257"/>
      <c r="F54" s="79">
        <f t="shared" si="0"/>
        <v>132918.16</v>
      </c>
    </row>
    <row r="55" spans="1:6" x14ac:dyDescent="0.25">
      <c r="A55" s="307">
        <v>43594</v>
      </c>
      <c r="B55" s="308" t="s">
        <v>325</v>
      </c>
      <c r="C55" s="309">
        <v>13218</v>
      </c>
      <c r="D55" s="258">
        <v>43599</v>
      </c>
      <c r="E55" s="257">
        <v>146136.16</v>
      </c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3082073.9699999997</v>
      </c>
      <c r="D58" s="1"/>
      <c r="E58" s="5">
        <f>SUM(E3:E57)</f>
        <v>3082073.9699999997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260F-1E91-4580-90F7-8A0B3EAC1460}">
  <sheetPr>
    <tabColor rgb="FFFF9900"/>
  </sheetPr>
  <dimension ref="A1:AB72"/>
  <sheetViews>
    <sheetView topLeftCell="O4" workbookViewId="0">
      <selection activeCell="T21" sqref="T2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78" t="s">
        <v>330</v>
      </c>
      <c r="D1" s="378"/>
      <c r="E1" s="378"/>
      <c r="F1" s="378"/>
      <c r="G1" s="378"/>
      <c r="H1" s="378"/>
      <c r="I1" s="378"/>
      <c r="J1" s="378"/>
      <c r="K1" s="378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388" t="s">
        <v>56</v>
      </c>
      <c r="V3" s="389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369871.2</v>
      </c>
      <c r="D4" s="213">
        <v>43594</v>
      </c>
      <c r="E4" s="380" t="s">
        <v>6</v>
      </c>
      <c r="F4" s="381"/>
      <c r="I4" s="382" t="s">
        <v>7</v>
      </c>
      <c r="J4" s="383"/>
      <c r="K4" s="383"/>
      <c r="L4" s="383"/>
      <c r="M4" s="306" t="s">
        <v>8</v>
      </c>
      <c r="N4" s="305" t="s">
        <v>36</v>
      </c>
      <c r="O4" s="304"/>
      <c r="P4" s="304"/>
      <c r="Q4" s="7"/>
      <c r="T4" s="228">
        <v>43596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43595</v>
      </c>
      <c r="C5" s="234">
        <v>1544</v>
      </c>
      <c r="D5" s="311" t="s">
        <v>49</v>
      </c>
      <c r="E5" s="312">
        <v>43595</v>
      </c>
      <c r="F5" s="233">
        <v>146064</v>
      </c>
      <c r="G5" s="244"/>
      <c r="H5" s="313">
        <v>43595</v>
      </c>
      <c r="I5" s="235">
        <v>72</v>
      </c>
      <c r="J5" s="106"/>
      <c r="L5" s="4"/>
      <c r="M5" s="237">
        <f>100000+43645</f>
        <v>143645</v>
      </c>
      <c r="N5" s="238">
        <v>2844</v>
      </c>
      <c r="O5" s="319"/>
      <c r="P5" s="277">
        <f>C5+I5+M5+N5</f>
        <v>148105</v>
      </c>
      <c r="S5" s="212"/>
      <c r="T5" s="228">
        <v>43596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43596</v>
      </c>
      <c r="C6" s="234">
        <v>560</v>
      </c>
      <c r="D6" s="242" t="s">
        <v>51</v>
      </c>
      <c r="E6" s="312">
        <v>43596</v>
      </c>
      <c r="F6" s="233">
        <v>147338</v>
      </c>
      <c r="G6" s="244"/>
      <c r="H6" s="313">
        <v>43596</v>
      </c>
      <c r="I6" s="235">
        <v>10020</v>
      </c>
      <c r="J6" s="106"/>
      <c r="K6" s="127"/>
      <c r="L6" s="208"/>
      <c r="M6" s="237">
        <v>124111</v>
      </c>
      <c r="N6" s="238">
        <v>4541</v>
      </c>
      <c r="O6" s="277"/>
      <c r="P6" s="277">
        <f>N6+M6+I6+C6+L12-R12</f>
        <v>147338</v>
      </c>
      <c r="Q6" s="167"/>
      <c r="S6" s="212"/>
      <c r="T6" s="229">
        <v>43602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43597</v>
      </c>
      <c r="C7" s="234">
        <v>1633</v>
      </c>
      <c r="D7" s="314" t="s">
        <v>49</v>
      </c>
      <c r="E7" s="312">
        <v>43597</v>
      </c>
      <c r="F7" s="233">
        <v>85691</v>
      </c>
      <c r="G7" s="244"/>
      <c r="H7" s="313">
        <v>43597</v>
      </c>
      <c r="I7" s="235">
        <v>0</v>
      </c>
      <c r="J7" s="31"/>
      <c r="K7" s="127" t="s">
        <v>9</v>
      </c>
      <c r="L7" s="248">
        <v>549</v>
      </c>
      <c r="M7" s="237">
        <v>80831</v>
      </c>
      <c r="N7" s="238">
        <v>3227</v>
      </c>
      <c r="O7" s="277"/>
      <c r="P7" s="277">
        <f>C7+M7+N7</f>
        <v>85691</v>
      </c>
      <c r="R7" s="4"/>
      <c r="S7" s="4"/>
      <c r="T7" s="230">
        <v>43602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43598</v>
      </c>
      <c r="C8" s="234">
        <v>15431</v>
      </c>
      <c r="D8" s="315" t="s">
        <v>43</v>
      </c>
      <c r="E8" s="312">
        <v>43598</v>
      </c>
      <c r="F8" s="233">
        <v>99006</v>
      </c>
      <c r="G8" s="244"/>
      <c r="H8" s="313">
        <v>43598</v>
      </c>
      <c r="I8" s="235">
        <v>0</v>
      </c>
      <c r="J8" s="34">
        <v>43612</v>
      </c>
      <c r="K8" s="35" t="s">
        <v>10</v>
      </c>
      <c r="L8" s="250">
        <v>27988</v>
      </c>
      <c r="M8" s="237">
        <v>80229</v>
      </c>
      <c r="N8" s="238">
        <v>3046</v>
      </c>
      <c r="O8" s="277"/>
      <c r="P8" s="277">
        <f>M8+N8+C8+L13</f>
        <v>99006</v>
      </c>
      <c r="R8" s="4"/>
      <c r="S8" s="4"/>
      <c r="T8" s="228">
        <v>43609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43599</v>
      </c>
      <c r="C9" s="234">
        <v>2719</v>
      </c>
      <c r="D9" s="316" t="s">
        <v>332</v>
      </c>
      <c r="E9" s="312">
        <v>43599</v>
      </c>
      <c r="F9" s="233">
        <v>95468</v>
      </c>
      <c r="G9" s="244"/>
      <c r="H9" s="313">
        <v>43599</v>
      </c>
      <c r="I9" s="235">
        <v>371</v>
      </c>
      <c r="J9" s="96">
        <v>43616</v>
      </c>
      <c r="K9" s="102" t="s">
        <v>11</v>
      </c>
      <c r="L9" s="248">
        <v>20000</v>
      </c>
      <c r="M9" s="237">
        <v>87856</v>
      </c>
      <c r="N9" s="238">
        <v>4522</v>
      </c>
      <c r="O9" s="277"/>
      <c r="P9" s="277">
        <f>C9+I9+M9+N9</f>
        <v>95468</v>
      </c>
      <c r="Q9" s="167"/>
      <c r="R9" s="4"/>
      <c r="S9" s="4"/>
      <c r="T9" s="230">
        <v>43609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43600</v>
      </c>
      <c r="C10" s="234">
        <v>1178</v>
      </c>
      <c r="D10" s="242" t="s">
        <v>334</v>
      </c>
      <c r="E10" s="312">
        <v>43600</v>
      </c>
      <c r="F10" s="233">
        <v>63842</v>
      </c>
      <c r="G10" s="244"/>
      <c r="H10" s="313">
        <v>43600</v>
      </c>
      <c r="I10" s="235">
        <v>400</v>
      </c>
      <c r="J10" s="106">
        <v>43600</v>
      </c>
      <c r="K10" s="126" t="s">
        <v>333</v>
      </c>
      <c r="L10" s="236">
        <v>11200</v>
      </c>
      <c r="M10" s="237">
        <v>49610</v>
      </c>
      <c r="N10" s="238">
        <v>1455</v>
      </c>
      <c r="O10" s="277"/>
      <c r="P10" s="277">
        <f>C10+I10+M10+N10+L10</f>
        <v>63843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43601</v>
      </c>
      <c r="C11" s="234">
        <v>1015</v>
      </c>
      <c r="D11" s="242" t="s">
        <v>335</v>
      </c>
      <c r="E11" s="312">
        <v>43601</v>
      </c>
      <c r="F11" s="233">
        <v>73436</v>
      </c>
      <c r="G11" s="244"/>
      <c r="H11" s="313">
        <v>43601</v>
      </c>
      <c r="I11" s="235">
        <v>0</v>
      </c>
      <c r="J11" s="106"/>
      <c r="K11" s="147"/>
      <c r="L11" s="236">
        <v>0</v>
      </c>
      <c r="M11" s="237">
        <v>68850</v>
      </c>
      <c r="N11" s="238">
        <v>3573</v>
      </c>
      <c r="O11" s="277"/>
      <c r="P11" s="277">
        <f>C11+I11+M11+N11</f>
        <v>73438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43602</v>
      </c>
      <c r="C12" s="234">
        <v>1985</v>
      </c>
      <c r="D12" s="242" t="s">
        <v>49</v>
      </c>
      <c r="E12" s="312">
        <v>43602</v>
      </c>
      <c r="F12" s="233">
        <v>112619</v>
      </c>
      <c r="G12" s="244"/>
      <c r="H12" s="313">
        <v>43602</v>
      </c>
      <c r="I12" s="235">
        <v>10056</v>
      </c>
      <c r="J12" s="106">
        <v>43596</v>
      </c>
      <c r="K12" s="102" t="s">
        <v>326</v>
      </c>
      <c r="L12" s="236">
        <v>12523.45</v>
      </c>
      <c r="M12" s="237">
        <f>50000+48501</f>
        <v>98501</v>
      </c>
      <c r="N12" s="238">
        <v>2077</v>
      </c>
      <c r="O12" s="277"/>
      <c r="P12" s="277">
        <f>C12+I12+M12+N12</f>
        <v>112619</v>
      </c>
      <c r="R12" s="254">
        <v>4417.45</v>
      </c>
      <c r="S12" s="33" t="s">
        <v>331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43603</v>
      </c>
      <c r="C13" s="234">
        <v>2300</v>
      </c>
      <c r="D13" s="315" t="s">
        <v>184</v>
      </c>
      <c r="E13" s="312">
        <v>43603</v>
      </c>
      <c r="F13" s="233">
        <v>135705</v>
      </c>
      <c r="G13" s="244"/>
      <c r="H13" s="313">
        <v>43603</v>
      </c>
      <c r="I13" s="235">
        <v>250</v>
      </c>
      <c r="J13" s="106">
        <v>43598</v>
      </c>
      <c r="K13" s="102" t="s">
        <v>279</v>
      </c>
      <c r="L13" s="236">
        <v>300</v>
      </c>
      <c r="M13" s="237">
        <v>121165</v>
      </c>
      <c r="N13" s="238">
        <v>2884</v>
      </c>
      <c r="O13" s="277"/>
      <c r="P13" s="277">
        <f>C13+M13+N13-R13+L14-R14+I13</f>
        <v>135705.34000000003</v>
      </c>
      <c r="R13" s="254">
        <v>0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43604</v>
      </c>
      <c r="C14" s="234">
        <v>0</v>
      </c>
      <c r="D14" s="314"/>
      <c r="E14" s="312">
        <v>43604</v>
      </c>
      <c r="F14" s="233">
        <v>85591</v>
      </c>
      <c r="G14" s="244"/>
      <c r="H14" s="313">
        <v>43604</v>
      </c>
      <c r="I14" s="235">
        <v>0</v>
      </c>
      <c r="J14" s="106">
        <v>43603</v>
      </c>
      <c r="K14" s="102" t="s">
        <v>336</v>
      </c>
      <c r="L14" s="236">
        <v>13718.64</v>
      </c>
      <c r="M14" s="237">
        <v>83188</v>
      </c>
      <c r="N14" s="238">
        <v>2403</v>
      </c>
      <c r="O14" s="277"/>
      <c r="P14" s="277">
        <f>M14+N14</f>
        <v>85591</v>
      </c>
      <c r="R14" s="254">
        <v>4612.3</v>
      </c>
      <c r="S14" s="214" t="s">
        <v>337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43605</v>
      </c>
      <c r="C15" s="234">
        <v>12855</v>
      </c>
      <c r="D15" s="242" t="s">
        <v>338</v>
      </c>
      <c r="E15" s="312">
        <v>43605</v>
      </c>
      <c r="F15" s="233">
        <v>77010</v>
      </c>
      <c r="G15" s="244"/>
      <c r="H15" s="313">
        <v>43605</v>
      </c>
      <c r="I15" s="235">
        <v>0</v>
      </c>
      <c r="J15" s="106">
        <v>43610</v>
      </c>
      <c r="K15" s="102" t="s">
        <v>327</v>
      </c>
      <c r="L15" s="236">
        <v>14635.17</v>
      </c>
      <c r="M15" s="237">
        <v>63962</v>
      </c>
      <c r="N15" s="238">
        <v>192</v>
      </c>
      <c r="O15" s="277"/>
      <c r="P15" s="277">
        <f>C15+I15+M15+N15</f>
        <v>77009</v>
      </c>
      <c r="R15" s="254">
        <v>5314.54</v>
      </c>
      <c r="S15" s="214" t="s">
        <v>341</v>
      </c>
      <c r="T15" s="228"/>
      <c r="U15" s="133" t="s">
        <v>13</v>
      </c>
      <c r="V15" s="132">
        <f>SUM(V4:V14)</f>
        <v>30060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41">
        <v>43606</v>
      </c>
      <c r="C16" s="234">
        <v>1604</v>
      </c>
      <c r="D16" s="242" t="s">
        <v>49</v>
      </c>
      <c r="E16" s="312">
        <v>43606</v>
      </c>
      <c r="F16" s="233">
        <v>57341</v>
      </c>
      <c r="G16" s="244"/>
      <c r="H16" s="313">
        <v>43606</v>
      </c>
      <c r="I16" s="235">
        <v>570.52</v>
      </c>
      <c r="J16" s="42">
        <v>43617</v>
      </c>
      <c r="K16" s="25" t="s">
        <v>328</v>
      </c>
      <c r="L16" s="4">
        <v>15539.27</v>
      </c>
      <c r="M16" s="237">
        <v>52128</v>
      </c>
      <c r="N16" s="238">
        <v>3035</v>
      </c>
      <c r="O16" s="277"/>
      <c r="P16" s="277">
        <f>C16+I16+M16+N16</f>
        <v>57337.52</v>
      </c>
      <c r="Q16" s="318"/>
      <c r="R16" s="296">
        <v>5618.64</v>
      </c>
      <c r="S16" s="214" t="s">
        <v>344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43607</v>
      </c>
      <c r="C17" s="234">
        <v>4125</v>
      </c>
      <c r="D17" s="315" t="s">
        <v>339</v>
      </c>
      <c r="E17" s="312">
        <v>43607</v>
      </c>
      <c r="F17" s="233">
        <v>82649</v>
      </c>
      <c r="G17" s="244"/>
      <c r="H17" s="313">
        <v>43607</v>
      </c>
      <c r="I17" s="240">
        <v>0</v>
      </c>
      <c r="J17" s="96"/>
      <c r="K17" s="148" t="s">
        <v>329</v>
      </c>
      <c r="L17" s="210">
        <v>0</v>
      </c>
      <c r="M17" s="237">
        <v>77868</v>
      </c>
      <c r="N17" s="238">
        <v>656</v>
      </c>
      <c r="O17" s="277"/>
      <c r="P17" s="277">
        <f>C17+I17+M17+N17</f>
        <v>82649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43608</v>
      </c>
      <c r="C18" s="234">
        <v>17564</v>
      </c>
      <c r="D18" s="242" t="s">
        <v>340</v>
      </c>
      <c r="E18" s="312">
        <v>43608</v>
      </c>
      <c r="F18" s="233">
        <v>77174</v>
      </c>
      <c r="G18" s="244"/>
      <c r="H18" s="313">
        <v>43608</v>
      </c>
      <c r="I18" s="235">
        <v>0</v>
      </c>
      <c r="J18" s="42"/>
      <c r="K18" s="317"/>
      <c r="L18" s="236">
        <v>0</v>
      </c>
      <c r="M18" s="237">
        <v>55689</v>
      </c>
      <c r="N18" s="238">
        <v>3921</v>
      </c>
      <c r="O18" s="277"/>
      <c r="P18" s="277">
        <f>C18+I18+M18+N18</f>
        <v>77174</v>
      </c>
      <c r="R18" s="4">
        <f>SUM(R12:R17)</f>
        <v>19962.93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41">
        <v>43609</v>
      </c>
      <c r="C19" s="234">
        <v>514</v>
      </c>
      <c r="D19" s="316" t="s">
        <v>104</v>
      </c>
      <c r="E19" s="312">
        <v>43609</v>
      </c>
      <c r="F19" s="233">
        <v>107121</v>
      </c>
      <c r="G19" s="244"/>
      <c r="H19" s="313">
        <v>43609</v>
      </c>
      <c r="I19" s="235">
        <v>14688</v>
      </c>
      <c r="J19" s="276"/>
      <c r="K19" s="150"/>
      <c r="L19" s="208">
        <v>0</v>
      </c>
      <c r="M19" s="237">
        <v>89637</v>
      </c>
      <c r="N19" s="238">
        <v>2282</v>
      </c>
      <c r="O19" s="277"/>
      <c r="P19" s="277">
        <f>C19+I19+M19+N19</f>
        <v>107121</v>
      </c>
      <c r="Q19" s="99"/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43610</v>
      </c>
      <c r="C20" s="234">
        <v>280</v>
      </c>
      <c r="D20" s="242" t="s">
        <v>51</v>
      </c>
      <c r="E20" s="312">
        <v>43610</v>
      </c>
      <c r="F20" s="233">
        <v>150902</v>
      </c>
      <c r="G20" s="244"/>
      <c r="H20" s="313">
        <v>43610</v>
      </c>
      <c r="I20" s="235">
        <v>0</v>
      </c>
      <c r="J20" s="42"/>
      <c r="K20" s="149"/>
      <c r="L20" s="210">
        <v>0</v>
      </c>
      <c r="M20" s="237">
        <f>100150+40000</f>
        <v>140150</v>
      </c>
      <c r="N20" s="238">
        <v>1151</v>
      </c>
      <c r="O20" s="277"/>
      <c r="P20" s="277">
        <f>C20+I20+M20+N20+L15-R15</f>
        <v>150901.63</v>
      </c>
      <c r="S20" s="5"/>
      <c r="U20" s="390" t="s">
        <v>56</v>
      </c>
      <c r="V20" s="391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43611</v>
      </c>
      <c r="C21" s="234">
        <v>120</v>
      </c>
      <c r="D21" s="242" t="s">
        <v>48</v>
      </c>
      <c r="E21" s="312">
        <v>43611</v>
      </c>
      <c r="F21" s="233">
        <v>117199</v>
      </c>
      <c r="G21" s="244"/>
      <c r="H21" s="313">
        <v>43611</v>
      </c>
      <c r="I21" s="235">
        <v>750</v>
      </c>
      <c r="J21" s="44"/>
      <c r="K21" s="195"/>
      <c r="L21" s="210">
        <v>0</v>
      </c>
      <c r="M21" s="237">
        <f>111123+200</f>
        <v>111323</v>
      </c>
      <c r="N21" s="238">
        <v>5005</v>
      </c>
      <c r="O21" s="277"/>
      <c r="P21" s="277">
        <f>I21+M21+N21+C21</f>
        <v>117198</v>
      </c>
      <c r="Q21" s="320"/>
      <c r="S21" s="5"/>
      <c r="T21" s="228">
        <v>43594</v>
      </c>
      <c r="U21" s="102" t="s">
        <v>39</v>
      </c>
      <c r="V21" s="103">
        <v>4000</v>
      </c>
      <c r="W21" t="s">
        <v>654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43612</v>
      </c>
      <c r="C22" s="234">
        <v>13292.6</v>
      </c>
      <c r="D22" s="242" t="s">
        <v>274</v>
      </c>
      <c r="E22" s="312">
        <v>43612</v>
      </c>
      <c r="F22" s="233">
        <v>84146</v>
      </c>
      <c r="G22" s="244"/>
      <c r="H22" s="313">
        <v>43612</v>
      </c>
      <c r="I22" s="235">
        <v>0</v>
      </c>
      <c r="J22" s="34"/>
      <c r="K22" s="153"/>
      <c r="L22" s="210">
        <v>0</v>
      </c>
      <c r="M22" s="237">
        <v>41859</v>
      </c>
      <c r="N22" s="238">
        <v>1006</v>
      </c>
      <c r="O22" s="277"/>
      <c r="P22" s="277">
        <f>C22+I22+M22+N22+L8</f>
        <v>84145.600000000006</v>
      </c>
      <c r="Q22" s="167"/>
      <c r="S22" s="5"/>
      <c r="T22" s="228">
        <v>43609</v>
      </c>
      <c r="U22" s="102" t="s">
        <v>39</v>
      </c>
      <c r="V22" s="104">
        <v>4000</v>
      </c>
      <c r="W22" t="s">
        <v>391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41">
        <v>43613</v>
      </c>
      <c r="C23" s="234">
        <v>2386</v>
      </c>
      <c r="D23" s="242" t="s">
        <v>342</v>
      </c>
      <c r="E23" s="312">
        <v>43613</v>
      </c>
      <c r="F23" s="233">
        <v>89258</v>
      </c>
      <c r="G23" s="244"/>
      <c r="H23" s="313">
        <v>43613</v>
      </c>
      <c r="I23" s="235">
        <v>66</v>
      </c>
      <c r="J23" s="95"/>
      <c r="K23" s="154"/>
      <c r="L23" s="210">
        <v>0</v>
      </c>
      <c r="M23" s="237">
        <f>85700+1106</f>
        <v>86806</v>
      </c>
      <c r="N23" s="238">
        <v>0</v>
      </c>
      <c r="O23" s="277"/>
      <c r="P23" s="277">
        <f>I23+M23+N23+C23</f>
        <v>89258</v>
      </c>
      <c r="S23" s="5"/>
      <c r="T23" s="228"/>
      <c r="U23" s="102" t="s">
        <v>39</v>
      </c>
      <c r="V23" s="103">
        <v>0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41">
        <v>43614</v>
      </c>
      <c r="C24" s="234">
        <v>11126</v>
      </c>
      <c r="D24" s="242" t="s">
        <v>343</v>
      </c>
      <c r="E24" s="312">
        <v>43614</v>
      </c>
      <c r="F24" s="233">
        <v>73362</v>
      </c>
      <c r="G24" s="244"/>
      <c r="H24" s="313">
        <v>43614</v>
      </c>
      <c r="I24" s="235">
        <v>0</v>
      </c>
      <c r="J24" s="46"/>
      <c r="K24" s="155"/>
      <c r="L24" s="135">
        <v>0</v>
      </c>
      <c r="M24" s="237">
        <v>54165</v>
      </c>
      <c r="N24" s="238">
        <v>8071</v>
      </c>
      <c r="O24" s="277"/>
      <c r="P24" s="277">
        <f>I24+M24+N24+C24</f>
        <v>73362</v>
      </c>
      <c r="S24" s="5"/>
      <c r="T24" s="228"/>
      <c r="U24" s="102" t="s">
        <v>39</v>
      </c>
      <c r="V24" s="104">
        <v>0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41">
        <v>43615</v>
      </c>
      <c r="C25" s="234">
        <v>1299</v>
      </c>
      <c r="D25" s="242" t="s">
        <v>49</v>
      </c>
      <c r="E25" s="312">
        <v>43615</v>
      </c>
      <c r="F25" s="233">
        <v>70012</v>
      </c>
      <c r="G25" s="244"/>
      <c r="H25" s="313">
        <v>43615</v>
      </c>
      <c r="I25" s="235">
        <v>0</v>
      </c>
      <c r="J25" s="109"/>
      <c r="K25" s="155"/>
      <c r="L25" s="135">
        <v>0</v>
      </c>
      <c r="M25" s="237">
        <v>67623</v>
      </c>
      <c r="N25" s="238">
        <v>1090</v>
      </c>
      <c r="O25" s="277"/>
      <c r="P25" s="277">
        <f t="shared" ref="P25:P32" si="0">I25+M25+N25+C25</f>
        <v>70012</v>
      </c>
      <c r="T25" s="228"/>
      <c r="U25" s="102" t="s">
        <v>39</v>
      </c>
      <c r="V25" s="104">
        <v>0</v>
      </c>
      <c r="Z25" s="25" t="s">
        <v>39</v>
      </c>
      <c r="AA25" s="125">
        <v>2000</v>
      </c>
      <c r="AB25" t="s">
        <v>388</v>
      </c>
    </row>
    <row r="26" spans="1:28" ht="15.75" thickBot="1" x14ac:dyDescent="0.3">
      <c r="A26" s="21"/>
      <c r="B26" s="241">
        <v>43616</v>
      </c>
      <c r="C26" s="234">
        <v>1577</v>
      </c>
      <c r="D26" s="242" t="s">
        <v>49</v>
      </c>
      <c r="E26" s="312">
        <v>43616</v>
      </c>
      <c r="F26" s="233">
        <v>144970</v>
      </c>
      <c r="G26" s="244"/>
      <c r="H26" s="313">
        <v>43616</v>
      </c>
      <c r="I26" s="235">
        <v>10020</v>
      </c>
      <c r="J26" s="4"/>
      <c r="K26" s="148"/>
      <c r="L26" s="135">
        <v>0</v>
      </c>
      <c r="M26" s="237">
        <f>89915+27943</f>
        <v>117858</v>
      </c>
      <c r="N26" s="238">
        <v>5230</v>
      </c>
      <c r="O26" s="319"/>
      <c r="P26" s="277">
        <f>I26+M26+N26+C26+L9</f>
        <v>154685</v>
      </c>
      <c r="T26" s="228"/>
      <c r="U26" s="127"/>
      <c r="V26" s="128">
        <v>0</v>
      </c>
      <c r="Z26" s="102" t="s">
        <v>39</v>
      </c>
      <c r="AA26" s="103">
        <v>2000</v>
      </c>
      <c r="AB26" t="s">
        <v>389</v>
      </c>
    </row>
    <row r="27" spans="1:28" ht="15.75" thickBot="1" x14ac:dyDescent="0.3">
      <c r="A27" s="21"/>
      <c r="B27" s="241">
        <v>43617</v>
      </c>
      <c r="C27" s="234">
        <v>560</v>
      </c>
      <c r="D27" s="315" t="s">
        <v>51</v>
      </c>
      <c r="E27" s="312">
        <v>43617</v>
      </c>
      <c r="F27" s="233">
        <v>128500</v>
      </c>
      <c r="G27" s="244"/>
      <c r="H27" s="313">
        <v>43617</v>
      </c>
      <c r="I27" s="235">
        <v>503</v>
      </c>
      <c r="J27" s="4"/>
      <c r="K27" s="148"/>
      <c r="L27" s="135">
        <v>0</v>
      </c>
      <c r="M27" s="237">
        <v>114550</v>
      </c>
      <c r="N27" s="238">
        <v>2967</v>
      </c>
      <c r="O27" s="277"/>
      <c r="P27" s="277">
        <f>I27+M27+N27+C27+L16-R16</f>
        <v>128500.62999999999</v>
      </c>
      <c r="S27" s="244"/>
      <c r="T27" s="228"/>
      <c r="U27" s="127"/>
      <c r="V27" s="128">
        <v>0</v>
      </c>
      <c r="Z27" s="102" t="s">
        <v>39</v>
      </c>
      <c r="AA27" s="103">
        <v>4000</v>
      </c>
      <c r="AB27" t="s">
        <v>390</v>
      </c>
    </row>
    <row r="28" spans="1:28" ht="15.75" thickBot="1" x14ac:dyDescent="0.3">
      <c r="A28" s="21"/>
      <c r="B28" s="241">
        <v>43618</v>
      </c>
      <c r="C28" s="234">
        <v>1129</v>
      </c>
      <c r="D28" s="242" t="s">
        <v>49</v>
      </c>
      <c r="E28" s="312">
        <v>43618</v>
      </c>
      <c r="F28" s="233">
        <v>134897</v>
      </c>
      <c r="G28" s="244"/>
      <c r="H28" s="313">
        <v>43618</v>
      </c>
      <c r="I28" s="235">
        <v>0</v>
      </c>
      <c r="J28" s="4" t="s">
        <v>7</v>
      </c>
      <c r="K28" s="156"/>
      <c r="L28" s="135">
        <v>0</v>
      </c>
      <c r="M28" s="237">
        <v>132589</v>
      </c>
      <c r="N28" s="238">
        <v>1179</v>
      </c>
      <c r="O28" s="277"/>
      <c r="P28" s="277">
        <f t="shared" si="0"/>
        <v>134897</v>
      </c>
      <c r="T28" s="228"/>
      <c r="U28" s="127"/>
      <c r="V28" s="129">
        <v>0</v>
      </c>
      <c r="Z28" s="102" t="s">
        <v>39</v>
      </c>
      <c r="AA28" s="104">
        <v>4000</v>
      </c>
      <c r="AB28" t="s">
        <v>391</v>
      </c>
    </row>
    <row r="29" spans="1:28" ht="19.5" thickBot="1" x14ac:dyDescent="0.35">
      <c r="A29" s="21"/>
      <c r="B29" s="241">
        <v>43619</v>
      </c>
      <c r="C29" s="247">
        <v>0</v>
      </c>
      <c r="D29" s="315"/>
      <c r="E29" s="312">
        <v>43619</v>
      </c>
      <c r="F29" s="245">
        <v>93313</v>
      </c>
      <c r="G29" s="244"/>
      <c r="H29" s="313">
        <v>43619</v>
      </c>
      <c r="I29" s="246">
        <v>0</v>
      </c>
      <c r="J29" s="4"/>
      <c r="K29" s="157"/>
      <c r="L29" s="137">
        <v>0</v>
      </c>
      <c r="M29" s="237">
        <v>93003</v>
      </c>
      <c r="N29" s="238">
        <v>310</v>
      </c>
      <c r="O29" s="277"/>
      <c r="P29" s="277">
        <f t="shared" si="0"/>
        <v>93313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41">
        <v>43620</v>
      </c>
      <c r="C30" s="249">
        <v>19936</v>
      </c>
      <c r="D30" s="315" t="s">
        <v>194</v>
      </c>
      <c r="E30" s="312">
        <v>43620</v>
      </c>
      <c r="F30" s="249">
        <v>114855</v>
      </c>
      <c r="G30" s="244"/>
      <c r="H30" s="313">
        <v>43620</v>
      </c>
      <c r="I30" s="249">
        <v>72</v>
      </c>
      <c r="J30" s="34">
        <v>43620</v>
      </c>
      <c r="K30" s="157" t="s">
        <v>345</v>
      </c>
      <c r="L30" s="158">
        <v>870</v>
      </c>
      <c r="M30" s="237">
        <v>91150</v>
      </c>
      <c r="N30" s="238">
        <v>2826</v>
      </c>
      <c r="O30" s="277"/>
      <c r="P30" s="277">
        <f>I30+M30+N30+C30+L30</f>
        <v>114854</v>
      </c>
      <c r="R30" s="251"/>
      <c r="S30" s="4"/>
      <c r="T30" s="25"/>
    </row>
    <row r="31" spans="1:28" ht="15.75" thickBot="1" x14ac:dyDescent="0.3">
      <c r="A31" s="21"/>
      <c r="B31" s="241">
        <v>43621</v>
      </c>
      <c r="C31" s="249">
        <v>1061</v>
      </c>
      <c r="D31" s="315" t="s">
        <v>49</v>
      </c>
      <c r="E31" s="312">
        <v>43621</v>
      </c>
      <c r="F31" s="249">
        <v>62947</v>
      </c>
      <c r="G31" s="244"/>
      <c r="H31" s="313">
        <v>43621</v>
      </c>
      <c r="I31" s="249">
        <v>0</v>
      </c>
      <c r="J31" s="4"/>
      <c r="K31" s="215"/>
      <c r="L31" s="158"/>
      <c r="M31" s="237">
        <v>61567</v>
      </c>
      <c r="N31" s="238">
        <v>317</v>
      </c>
      <c r="O31" s="277"/>
      <c r="P31" s="277">
        <f t="shared" si="0"/>
        <v>62945</v>
      </c>
      <c r="R31" s="4"/>
      <c r="S31" s="167"/>
      <c r="T31" s="25"/>
    </row>
    <row r="32" spans="1:28" ht="15.75" thickBot="1" x14ac:dyDescent="0.3">
      <c r="A32" s="21"/>
      <c r="B32" s="241">
        <v>43622</v>
      </c>
      <c r="C32" s="249">
        <v>1075</v>
      </c>
      <c r="D32" s="315" t="s">
        <v>49</v>
      </c>
      <c r="E32" s="312">
        <v>43622</v>
      </c>
      <c r="F32" s="249">
        <v>56752</v>
      </c>
      <c r="G32" s="244"/>
      <c r="H32" s="313">
        <v>43622</v>
      </c>
      <c r="I32" s="249">
        <v>0</v>
      </c>
      <c r="J32" s="4"/>
      <c r="K32" s="215"/>
      <c r="L32" s="209"/>
      <c r="M32" s="237">
        <v>53000</v>
      </c>
      <c r="N32" s="238">
        <v>2680</v>
      </c>
      <c r="O32" s="277" t="s">
        <v>7</v>
      </c>
      <c r="P32" s="277">
        <f t="shared" si="0"/>
        <v>56755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2442913</v>
      </c>
      <c r="N33" s="211">
        <f>SUM(N5:N32)</f>
        <v>72490</v>
      </c>
      <c r="O33" s="302"/>
      <c r="P33" s="211">
        <f>SUM(P5:P32)</f>
        <v>2778921.72</v>
      </c>
      <c r="Q33" s="118">
        <f>SUM(Q5:Q31)</f>
        <v>0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118868.6</v>
      </c>
      <c r="E34" s="58" t="s">
        <v>13</v>
      </c>
      <c r="F34" s="59">
        <f>SUM(F5:F33)</f>
        <v>2767168</v>
      </c>
      <c r="H34" s="6" t="s">
        <v>13</v>
      </c>
      <c r="I34" s="4">
        <f>SUM(I5:I33)</f>
        <v>47838.520000000004</v>
      </c>
      <c r="J34" s="4"/>
      <c r="K34" s="60" t="s">
        <v>13</v>
      </c>
      <c r="L34" s="40">
        <f>SUM(L5:L33)</f>
        <v>117323.53</v>
      </c>
      <c r="O34" s="257"/>
      <c r="T34" s="5"/>
    </row>
    <row r="35" spans="1:20" ht="19.5" thickBot="1" x14ac:dyDescent="0.3">
      <c r="C35" s="5" t="s">
        <v>7</v>
      </c>
      <c r="M35" s="412">
        <f>N33+M33</f>
        <v>2515403</v>
      </c>
      <c r="N35" s="413"/>
      <c r="O35" s="303"/>
      <c r="P35" s="303"/>
      <c r="T35" s="5"/>
    </row>
    <row r="36" spans="1:20" ht="15.75" x14ac:dyDescent="0.25">
      <c r="A36" s="25"/>
      <c r="B36" s="61"/>
      <c r="C36" s="4"/>
      <c r="H36" s="384" t="s">
        <v>14</v>
      </c>
      <c r="I36" s="385"/>
      <c r="J36" s="310"/>
      <c r="K36" s="386">
        <f>I34+L34</f>
        <v>165162.04999999999</v>
      </c>
      <c r="L36" s="387"/>
      <c r="R36" s="4"/>
      <c r="S36" s="41"/>
      <c r="T36" s="5"/>
    </row>
    <row r="37" spans="1:20" ht="15.75" x14ac:dyDescent="0.25">
      <c r="D37" s="393" t="s">
        <v>15</v>
      </c>
      <c r="E37" s="393"/>
      <c r="F37" s="205">
        <f>F34-K36-C34</f>
        <v>2483137.35</v>
      </c>
      <c r="I37" s="63"/>
      <c r="J37" s="63"/>
      <c r="T37" s="5"/>
    </row>
    <row r="38" spans="1:20" ht="18.75" x14ac:dyDescent="0.3">
      <c r="D38" s="394" t="s">
        <v>16</v>
      </c>
      <c r="E38" s="394"/>
      <c r="F38" s="110">
        <v>-2308176.36</v>
      </c>
      <c r="I38" s="395" t="s">
        <v>17</v>
      </c>
      <c r="J38" s="396"/>
      <c r="K38" s="397">
        <f>F43</f>
        <v>465089.93000000023</v>
      </c>
      <c r="L38" s="398"/>
      <c r="T38" s="5"/>
    </row>
    <row r="39" spans="1:20" ht="4.5" customHeight="1" thickBot="1" x14ac:dyDescent="0.35">
      <c r="D39" s="64"/>
      <c r="E39" s="65"/>
      <c r="F39" s="66"/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174960.99000000022</v>
      </c>
      <c r="I40" s="69" t="s">
        <v>20</v>
      </c>
      <c r="J40" s="70"/>
      <c r="K40" s="418">
        <f>-C4</f>
        <v>-369871.2</v>
      </c>
      <c r="L40" s="419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8360.93</v>
      </c>
      <c r="T41" s="5"/>
    </row>
    <row r="42" spans="1:20" ht="20.25" thickTop="1" thickBot="1" x14ac:dyDescent="0.35">
      <c r="C42" s="321" t="s">
        <v>378</v>
      </c>
      <c r="D42" s="420" t="s">
        <v>24</v>
      </c>
      <c r="E42" s="421"/>
      <c r="F42" s="72">
        <v>281768.01</v>
      </c>
      <c r="I42" s="414" t="s">
        <v>95</v>
      </c>
      <c r="J42" s="415"/>
      <c r="K42" s="416">
        <f>K38+K40</f>
        <v>95218.730000000214</v>
      </c>
      <c r="L42" s="417"/>
    </row>
    <row r="43" spans="1:20" ht="18.75" x14ac:dyDescent="0.3">
      <c r="C43" s="59"/>
      <c r="D43" s="58"/>
      <c r="E43" s="33" t="s">
        <v>25</v>
      </c>
      <c r="F43" s="73">
        <f>F40+F41+F42</f>
        <v>465089.93000000023</v>
      </c>
      <c r="J43" s="6"/>
      <c r="M43" s="74"/>
    </row>
    <row r="45" spans="1:20" x14ac:dyDescent="0.25">
      <c r="B45"/>
      <c r="C45"/>
      <c r="D45" s="392"/>
      <c r="E45" s="392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U3:V3"/>
    <mergeCell ref="E4:F4"/>
    <mergeCell ref="I4:L4"/>
    <mergeCell ref="U20:V20"/>
  </mergeCells>
  <pageMargins left="0.19685039370078741" right="0.15748031496062992" top="0.35433070866141736" bottom="0.35433070866141736" header="0.31496062992125984" footer="0.31496062992125984"/>
  <pageSetup scale="8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 4 CARNES   7 ENERO   2019    </vt:lpstr>
      <vt:lpstr>REMISIONES  7 ENERO 2019   </vt:lpstr>
      <vt:lpstr>4 CARNES 9 FEBRERO</vt:lpstr>
      <vt:lpstr>REMISIONES  FEBRERO  2019</vt:lpstr>
      <vt:lpstr>4 CARNES   8 MARZO  2019  </vt:lpstr>
      <vt:lpstr>REMISIONES  MARZO  2019   </vt:lpstr>
      <vt:lpstr>4 CARNES  5 DE ABRIL  2019  </vt:lpstr>
      <vt:lpstr>REMISIONES ABRIL 2019</vt:lpstr>
      <vt:lpstr>4 CARNES   MAYO    2019</vt:lpstr>
      <vt:lpstr>REMISIONES  MAYO    2019   </vt:lpstr>
      <vt:lpstr>4 CARNES  JUNIO   2019   </vt:lpstr>
      <vt:lpstr>REMISIONES  JUNIO   2019   </vt:lpstr>
      <vt:lpstr>4 CARNES  J U L I O  2019</vt:lpstr>
      <vt:lpstr>REMISIONES   JULIO   2019   </vt:lpstr>
      <vt:lpstr>4 CARNES AGOSTO 2019  </vt:lpstr>
      <vt:lpstr>REMISIONES  AGOSTO  2019   </vt:lpstr>
      <vt:lpstr>4 CARNES SEPTIEMBRE 2019      </vt:lpstr>
      <vt:lpstr>REMISIONES  SEPTIEMBRE  2019  </vt:lpstr>
      <vt:lpstr>Hoja2</vt:lpstr>
      <vt:lpstr>Hoja5</vt:lpstr>
      <vt:lpstr>Hoja3</vt:lpstr>
      <vt:lpstr>Hoja4</vt:lpstr>
      <vt:lpstr>D A N I E L A   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2019-10-05T18:52:06Z</cp:lastPrinted>
  <dcterms:created xsi:type="dcterms:W3CDTF">2019-01-22T15:35:16Z</dcterms:created>
  <dcterms:modified xsi:type="dcterms:W3CDTF">2019-10-05T18:53:19Z</dcterms:modified>
</cp:coreProperties>
</file>