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01 DOCUEMENTOS\CENTRAL  # 09 SEPTIEMBRE 2019\"/>
    </mc:Choice>
  </mc:AlternateContent>
  <xr:revisionPtr revIDLastSave="0" documentId="13_ncr:1_{EA352F4E-F7E0-41F7-B073-F9337392295F}" xr6:coauthVersionLast="45" xr6:coauthVersionMax="45" xr10:uidLastSave="{00000000-0000-0000-0000-000000000000}"/>
  <bookViews>
    <workbookView xWindow="-120" yWindow="-120" windowWidth="24240" windowHeight="13140" firstSheet="14" activeTab="16" xr2:uid="{00000000-000D-0000-FFFF-FFFF00000000}"/>
  </bookViews>
  <sheets>
    <sheet name="E N E R O   2019   " sheetId="1" r:id="rId1"/>
    <sheet name="SALIDAS  ENERO  2019  " sheetId="2" r:id="rId2"/>
    <sheet name="F E B R E R O     2019   " sheetId="3" r:id="rId3"/>
    <sheet name="SALIDAS  FEBRERO  2019   " sheetId="4" r:id="rId4"/>
    <sheet name="M A R Z O    2019    " sheetId="5" r:id="rId5"/>
    <sheet name="SALIDAS  MARZO   2019   " sheetId="6" r:id="rId6"/>
    <sheet name="ABRIL    2019      " sheetId="7" r:id="rId7"/>
    <sheet name="SALIDAS  ABRIL   2019   " sheetId="8" r:id="rId8"/>
    <sheet name="M A Y O    2019     " sheetId="13" r:id="rId9"/>
    <sheet name="SALIDAS   M A Y O   2019  " sheetId="14" r:id="rId10"/>
    <sheet name="J U N I O     2019     " sheetId="15" r:id="rId11"/>
    <sheet name="SALIDAS   J U N I O    2019   " sheetId="16" r:id="rId12"/>
    <sheet name="J U L I O     2019    " sheetId="19" r:id="rId13"/>
    <sheet name="SALIDAS  J U L I O     2019   " sheetId="20" r:id="rId14"/>
    <sheet name="A G O S T O     2019     " sheetId="23" r:id="rId15"/>
    <sheet name="SALIDAS AGOSTO  2019   " sheetId="24" r:id="rId16"/>
    <sheet name="SEPTIEMBRE   2 0 1 9    " sheetId="21" r:id="rId17"/>
    <sheet name="SALIDAS SEPTIEMBRE  2019   " sheetId="22" r:id="rId18"/>
    <sheet name="Hoja1" sheetId="25" r:id="rId19"/>
    <sheet name="Hoja2" sheetId="26" r:id="rId20"/>
    <sheet name="Hoja3" sheetId="27" r:id="rId21"/>
    <sheet name="Hoja4" sheetId="28" r:id="rId2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3" i="21" l="1"/>
  <c r="L29" i="21" l="1"/>
  <c r="L27" i="21" l="1"/>
  <c r="L24" i="21" l="1"/>
  <c r="L22" i="21" l="1"/>
  <c r="L21" i="21"/>
  <c r="L17" i="21"/>
  <c r="L15" i="21" l="1"/>
  <c r="L13" i="21"/>
  <c r="N10" i="21" l="1"/>
  <c r="N11" i="21"/>
  <c r="N12" i="21"/>
  <c r="N13" i="21"/>
  <c r="N14" i="21"/>
  <c r="N15" i="21"/>
  <c r="N16" i="21"/>
  <c r="N17" i="21"/>
  <c r="N18" i="21"/>
  <c r="N19" i="21"/>
  <c r="L8" i="21"/>
  <c r="E41" i="22" l="1"/>
  <c r="C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N5" i="21"/>
  <c r="N6" i="21"/>
  <c r="N7" i="21"/>
  <c r="N8" i="21"/>
  <c r="J40" i="21"/>
  <c r="H35" i="21"/>
  <c r="E35" i="21"/>
  <c r="B35" i="21"/>
  <c r="N33" i="21"/>
  <c r="N32" i="21"/>
  <c r="N31" i="21"/>
  <c r="N30" i="21"/>
  <c r="N29" i="21"/>
  <c r="N28" i="21"/>
  <c r="N27" i="21"/>
  <c r="N26" i="21"/>
  <c r="N25" i="21"/>
  <c r="N24" i="21"/>
  <c r="N23" i="21"/>
  <c r="N22" i="21"/>
  <c r="N21" i="21"/>
  <c r="N20" i="21"/>
  <c r="N9" i="21"/>
  <c r="K8" i="21"/>
  <c r="K35" i="21" s="1"/>
  <c r="L34" i="21"/>
  <c r="F41" i="22" l="1"/>
  <c r="J37" i="21"/>
  <c r="E38" i="21" s="1"/>
  <c r="E41" i="21" s="1"/>
  <c r="E43" i="21" s="1"/>
  <c r="J39" i="21" s="1"/>
  <c r="J41" i="21" s="1"/>
  <c r="N34" i="21"/>
  <c r="L34" i="23"/>
  <c r="N6" i="23"/>
  <c r="N7" i="23"/>
  <c r="E35" i="23" l="1"/>
  <c r="C41" i="24" l="1"/>
  <c r="L32" i="23" l="1"/>
  <c r="N33" i="23"/>
  <c r="L29" i="23" l="1"/>
  <c r="L23" i="23"/>
  <c r="L21" i="23" l="1"/>
  <c r="L16" i="23"/>
  <c r="L13" i="23"/>
  <c r="N12" i="23" l="1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11" i="23"/>
  <c r="L11" i="23"/>
  <c r="N8" i="23"/>
  <c r="L7" i="23"/>
  <c r="L5" i="23"/>
  <c r="N5" i="23" s="1"/>
  <c r="E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J40" i="23"/>
  <c r="H35" i="23"/>
  <c r="B35" i="23"/>
  <c r="N10" i="23"/>
  <c r="N9" i="23"/>
  <c r="K8" i="23"/>
  <c r="K35" i="23" s="1"/>
  <c r="N34" i="23" l="1"/>
  <c r="F41" i="24"/>
  <c r="J37" i="23"/>
  <c r="E38" i="23" s="1"/>
  <c r="E41" i="23" s="1"/>
  <c r="E43" i="23" s="1"/>
  <c r="J39" i="23" s="1"/>
  <c r="J41" i="23" s="1"/>
  <c r="N34" i="19" l="1"/>
  <c r="L32" i="19" l="1"/>
  <c r="L16" i="19" l="1"/>
  <c r="L26" i="19"/>
  <c r="L25" i="19"/>
  <c r="L22" i="19" l="1"/>
  <c r="L21" i="19"/>
  <c r="L20" i="19"/>
  <c r="N19" i="19"/>
  <c r="L19" i="19"/>
  <c r="L18" i="19"/>
  <c r="L17" i="19"/>
  <c r="L14" i="19"/>
  <c r="N13" i="19" l="1"/>
  <c r="N14" i="19"/>
  <c r="N15" i="19"/>
  <c r="N16" i="19"/>
  <c r="N17" i="19"/>
  <c r="N18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5" i="19"/>
  <c r="N36" i="19"/>
  <c r="N12" i="19"/>
  <c r="N9" i="19"/>
  <c r="N8" i="19"/>
  <c r="L11" i="19"/>
  <c r="N11" i="19" s="1"/>
  <c r="L10" i="19" l="1"/>
  <c r="N6" i="19" l="1"/>
  <c r="L5" i="19" l="1"/>
  <c r="N37" i="19" l="1"/>
  <c r="E41" i="20"/>
  <c r="C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J44" i="19"/>
  <c r="H39" i="19"/>
  <c r="E39" i="19"/>
  <c r="B39" i="19"/>
  <c r="N10" i="19"/>
  <c r="K8" i="19"/>
  <c r="K39" i="19" s="1"/>
  <c r="N7" i="19"/>
  <c r="N5" i="19"/>
  <c r="L38" i="19"/>
  <c r="F41" i="20" l="1"/>
  <c r="J41" i="19"/>
  <c r="E42" i="19" s="1"/>
  <c r="E45" i="19" s="1"/>
  <c r="E47" i="19" s="1"/>
  <c r="J43" i="19" s="1"/>
  <c r="J45" i="19" s="1"/>
  <c r="F39" i="16"/>
  <c r="N6" i="15" l="1"/>
  <c r="N25" i="15"/>
  <c r="N24" i="15"/>
  <c r="N21" i="15"/>
  <c r="N19" i="15"/>
  <c r="N17" i="15"/>
  <c r="N13" i="15"/>
  <c r="N11" i="15"/>
  <c r="N10" i="15"/>
  <c r="N7" i="15" l="1"/>
  <c r="N31" i="15"/>
  <c r="L30" i="15" l="1"/>
  <c r="L27" i="15" l="1"/>
  <c r="L26" i="15" l="1"/>
  <c r="N26" i="15" s="1"/>
  <c r="L18" i="15" l="1"/>
  <c r="N18" i="15" s="1"/>
  <c r="L23" i="15" l="1"/>
  <c r="N23" i="15" s="1"/>
  <c r="L22" i="15"/>
  <c r="N22" i="15" s="1"/>
  <c r="L20" i="15"/>
  <c r="N20" i="15" s="1"/>
  <c r="N27" i="15" l="1"/>
  <c r="N28" i="15"/>
  <c r="N29" i="15"/>
  <c r="N30" i="15"/>
  <c r="N32" i="15"/>
  <c r="L16" i="15"/>
  <c r="N16" i="15" s="1"/>
  <c r="L15" i="15"/>
  <c r="N15" i="15" s="1"/>
  <c r="L14" i="15"/>
  <c r="N14" i="15" s="1"/>
  <c r="L12" i="15"/>
  <c r="N12" i="15" s="1"/>
  <c r="L9" i="15" l="1"/>
  <c r="N9" i="15" s="1"/>
  <c r="L8" i="15" l="1"/>
  <c r="N8" i="15" s="1"/>
  <c r="L5" i="15"/>
  <c r="E41" i="16"/>
  <c r="C41" i="16"/>
  <c r="F40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J39" i="15"/>
  <c r="H34" i="15"/>
  <c r="E34" i="15"/>
  <c r="B34" i="15"/>
  <c r="K8" i="15"/>
  <c r="K34" i="15" s="1"/>
  <c r="N5" i="15"/>
  <c r="N33" i="15" s="1"/>
  <c r="J36" i="15" l="1"/>
  <c r="E37" i="15" s="1"/>
  <c r="E40" i="15" s="1"/>
  <c r="E42" i="15" s="1"/>
  <c r="J38" i="15" s="1"/>
  <c r="J40" i="15" s="1"/>
  <c r="F41" i="16"/>
  <c r="L33" i="15"/>
  <c r="L34" i="13" l="1"/>
  <c r="E35" i="13"/>
  <c r="N9" i="13" l="1"/>
  <c r="N11" i="13" s="1"/>
  <c r="N6" i="13"/>
  <c r="N7" i="13"/>
  <c r="N8" i="13"/>
  <c r="N10" i="13"/>
  <c r="N5" i="13"/>
  <c r="H35" i="13"/>
  <c r="L26" i="13" l="1"/>
  <c r="L22" i="13" l="1"/>
  <c r="L21" i="13"/>
  <c r="L18" i="13"/>
  <c r="L10" i="13"/>
  <c r="E10" i="13"/>
  <c r="L14" i="13"/>
  <c r="L9" i="13"/>
  <c r="L7" i="13"/>
  <c r="L5" i="13"/>
  <c r="E40" i="14" l="1"/>
  <c r="C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J40" i="13"/>
  <c r="K35" i="13"/>
  <c r="B35" i="13"/>
  <c r="K8" i="13"/>
  <c r="F40" i="14" l="1"/>
  <c r="J37" i="13"/>
  <c r="E38" i="13" s="1"/>
  <c r="E41" i="13" s="1"/>
  <c r="E43" i="13" s="1"/>
  <c r="J39" i="13" s="1"/>
  <c r="J41" i="13" s="1"/>
  <c r="E41" i="7"/>
  <c r="H41" i="7"/>
  <c r="L40" i="7" l="1"/>
  <c r="L39" i="7" l="1"/>
  <c r="L36" i="7"/>
  <c r="L35" i="7"/>
  <c r="F42" i="8" l="1"/>
  <c r="F43" i="8"/>
  <c r="F44" i="8"/>
  <c r="F45" i="8"/>
  <c r="F46" i="8"/>
  <c r="F47" i="8"/>
  <c r="F48" i="8"/>
  <c r="L31" i="7" l="1"/>
  <c r="L30" i="7"/>
  <c r="L27" i="7"/>
  <c r="L23" i="7"/>
  <c r="F29" i="8" l="1"/>
  <c r="F30" i="8"/>
  <c r="F31" i="8"/>
  <c r="F32" i="8"/>
  <c r="F33" i="8"/>
  <c r="F34" i="8"/>
  <c r="F35" i="8"/>
  <c r="F36" i="8"/>
  <c r="F37" i="8"/>
  <c r="F38" i="8"/>
  <c r="F39" i="8"/>
  <c r="F40" i="8"/>
  <c r="F41" i="8"/>
  <c r="L21" i="7"/>
  <c r="L17" i="7"/>
  <c r="L15" i="7" l="1"/>
  <c r="L10" i="7"/>
  <c r="L5" i="7"/>
  <c r="E51" i="8" l="1"/>
  <c r="C51" i="8"/>
  <c r="F50" i="8"/>
  <c r="F4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J46" i="7"/>
  <c r="B41" i="7"/>
  <c r="K8" i="7"/>
  <c r="K41" i="7" s="1"/>
  <c r="J43" i="7" l="1"/>
  <c r="E44" i="7" s="1"/>
  <c r="E47" i="7" s="1"/>
  <c r="E49" i="7" s="1"/>
  <c r="J45" i="7" s="1"/>
  <c r="J47" i="7" s="1"/>
  <c r="F51" i="8"/>
  <c r="L21" i="5" l="1"/>
  <c r="L18" i="5" l="1"/>
  <c r="L14" i="5"/>
  <c r="L8" i="5" l="1"/>
  <c r="L5" i="5" l="1"/>
  <c r="L31" i="5" s="1"/>
  <c r="J37" i="5"/>
  <c r="E31" i="6"/>
  <c r="C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H32" i="5"/>
  <c r="E32" i="5"/>
  <c r="B32" i="5"/>
  <c r="K8" i="5"/>
  <c r="K32" i="5" s="1"/>
  <c r="J34" i="5" l="1"/>
  <c r="E35" i="5" s="1"/>
  <c r="E38" i="5" s="1"/>
  <c r="E40" i="5" s="1"/>
  <c r="J36" i="5" s="1"/>
  <c r="J38" i="5" s="1"/>
  <c r="F31" i="6"/>
  <c r="L6" i="3" l="1"/>
  <c r="L27" i="3" l="1"/>
  <c r="L25" i="3"/>
  <c r="L22" i="3"/>
  <c r="L20" i="3"/>
  <c r="L19" i="3"/>
  <c r="L18" i="3" l="1"/>
  <c r="L15" i="3"/>
  <c r="L13" i="3"/>
  <c r="L11" i="3" l="1"/>
  <c r="L8" i="3"/>
  <c r="L7" i="3"/>
  <c r="L32" i="3" s="1"/>
  <c r="E31" i="4" l="1"/>
  <c r="C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38" i="3"/>
  <c r="H33" i="3"/>
  <c r="E33" i="3"/>
  <c r="B33" i="3"/>
  <c r="K8" i="3"/>
  <c r="K33" i="3" s="1"/>
  <c r="J35" i="3" l="1"/>
  <c r="E36" i="3" s="1"/>
  <c r="F31" i="4"/>
  <c r="E39" i="3"/>
  <c r="E41" i="3" s="1"/>
  <c r="J37" i="3" s="1"/>
  <c r="J39" i="3" s="1"/>
  <c r="L37" i="1" l="1"/>
  <c r="F26" i="2" l="1"/>
  <c r="L34" i="1"/>
  <c r="L32" i="1"/>
  <c r="L30" i="1" l="1"/>
  <c r="L25" i="1"/>
  <c r="L23" i="1" l="1"/>
  <c r="L18" i="1" l="1"/>
  <c r="L17" i="1"/>
  <c r="L11" i="1" l="1"/>
  <c r="L10" i="1"/>
  <c r="L9" i="1"/>
  <c r="L7" i="1"/>
  <c r="L45" i="1" s="1"/>
  <c r="E44" i="2" l="1"/>
  <c r="C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J51" i="1"/>
  <c r="H46" i="1"/>
  <c r="E46" i="1"/>
  <c r="B46" i="1"/>
  <c r="K8" i="1"/>
  <c r="K46" i="1" s="1"/>
  <c r="F44" i="2" l="1"/>
  <c r="J48" i="1"/>
  <c r="E49" i="1" s="1"/>
  <c r="E52" i="1" s="1"/>
  <c r="E54" i="1" s="1"/>
  <c r="J50" i="1" s="1"/>
  <c r="J52" i="1" s="1"/>
</calcChain>
</file>

<file path=xl/sharedStrings.xml><?xml version="1.0" encoding="utf-8"?>
<sst xmlns="http://schemas.openxmlformats.org/spreadsheetml/2006/main" count="746" uniqueCount="401">
  <si>
    <t># 1</t>
  </si>
  <si>
    <t>INVENTARIO INICIAL</t>
  </si>
  <si>
    <t>FONDO DE CAJA FIJO  Ene-2017</t>
  </si>
  <si>
    <t xml:space="preserve">VENTAS  </t>
  </si>
  <si>
    <t>G  A  S   T  O  S</t>
  </si>
  <si>
    <t>BANCO</t>
  </si>
  <si>
    <t>TELEFONOS</t>
  </si>
  <si>
    <t>LUZ</t>
  </si>
  <si>
    <t>RENTA</t>
  </si>
  <si>
    <t>VACACIONES</t>
  </si>
  <si>
    <t>.</t>
  </si>
  <si>
    <t xml:space="preserve"> </t>
  </si>
  <si>
    <t>Mantenimiento</t>
  </si>
  <si>
    <t>Camara Comer</t>
  </si>
  <si>
    <t>Rev Basculas</t>
  </si>
  <si>
    <t>TOTAL</t>
  </si>
  <si>
    <t>GRAN TOTAL GASTOS</t>
  </si>
  <si>
    <t>VENTAS NETAS</t>
  </si>
  <si>
    <t>CREDITOS</t>
  </si>
  <si>
    <t>SUB TOTAL 2</t>
  </si>
  <si>
    <t>REMISION OBRADOR</t>
  </si>
  <si>
    <t>Sub Total 1</t>
  </si>
  <si>
    <t>INVENTARIO FINAL</t>
  </si>
  <si>
    <t xml:space="preserve">Sub Total </t>
  </si>
  <si>
    <t>NOMINA 01</t>
  </si>
  <si>
    <t>NOMINA 02</t>
  </si>
  <si>
    <t>NOMINA 03</t>
  </si>
  <si>
    <t>NOMINA 04</t>
  </si>
  <si>
    <t xml:space="preserve">BALANCE       DE      E N E R O            2 0 1 9     HERRADURA </t>
  </si>
  <si>
    <t>S A  L I D A S        HERRADURA</t>
  </si>
  <si>
    <t>FECHA</t>
  </si>
  <si>
    <t>#</t>
  </si>
  <si>
    <t>IMPORTE</t>
  </si>
  <si>
    <t>PAGO</t>
  </si>
  <si>
    <t>SALDO</t>
  </si>
  <si>
    <t>LA LUZ SE VENCE LOS        6 DE CADA BIMESTRE  ESTE ES         05-AGOSTO 2018</t>
  </si>
  <si>
    <t xml:space="preserve">SALIDAS PARA OBRADOR </t>
  </si>
  <si>
    <t>9-Ene,.29</t>
  </si>
  <si>
    <t>DIC--Ene</t>
  </si>
  <si>
    <t>238 B</t>
  </si>
  <si>
    <t>241 B</t>
  </si>
  <si>
    <t>248 B</t>
  </si>
  <si>
    <t>252 B</t>
  </si>
  <si>
    <t>261 B</t>
  </si>
  <si>
    <t>269 B</t>
  </si>
  <si>
    <t>263 B</t>
  </si>
  <si>
    <t>273 B</t>
  </si>
  <si>
    <t>279 B</t>
  </si>
  <si>
    <t>288 B</t>
  </si>
  <si>
    <t>292 B</t>
  </si>
  <si>
    <t>301 B</t>
  </si>
  <si>
    <t>302 B</t>
  </si>
  <si>
    <t>306 B</t>
  </si>
  <si>
    <t>307 B</t>
  </si>
  <si>
    <t>313 B</t>
  </si>
  <si>
    <t>318 B</t>
  </si>
  <si>
    <t>324 B</t>
  </si>
  <si>
    <t>325 B</t>
  </si>
  <si>
    <t>328 B</t>
  </si>
  <si>
    <t>336 B</t>
  </si>
  <si>
    <t>340 B</t>
  </si>
  <si>
    <t>341 B</t>
  </si>
  <si>
    <t>346 B</t>
  </si>
  <si>
    <t>348 B</t>
  </si>
  <si>
    <t>353 B</t>
  </si>
  <si>
    <t>356 B</t>
  </si>
  <si>
    <t>363 B</t>
  </si>
  <si>
    <t>367 B</t>
  </si>
  <si>
    <t>P</t>
  </si>
  <si>
    <t>372 B</t>
  </si>
  <si>
    <t>375 B</t>
  </si>
  <si>
    <t>382 B</t>
  </si>
  <si>
    <t>384 B</t>
  </si>
  <si>
    <t>388 B</t>
  </si>
  <si>
    <t>392 B</t>
  </si>
  <si>
    <t>399 B</t>
  </si>
  <si>
    <t>402 B</t>
  </si>
  <si>
    <t>406 B</t>
  </si>
  <si>
    <t>412 B</t>
  </si>
  <si>
    <t>Fumigacion</t>
  </si>
  <si>
    <t>NOMINA  05</t>
  </si>
  <si>
    <t xml:space="preserve">BALANCE       DE      F E B R E R O             2 0 1 9     HERRADURA </t>
  </si>
  <si>
    <t>NOMINA 06</t>
  </si>
  <si>
    <t>NOMINA 07</t>
  </si>
  <si>
    <t>NOMINA 08</t>
  </si>
  <si>
    <t>NOMINA 09</t>
  </si>
  <si>
    <t>NOMINA  10</t>
  </si>
  <si>
    <t>COMPRAS</t>
  </si>
  <si>
    <t>GANANCIA</t>
  </si>
  <si>
    <t>415 B</t>
  </si>
  <si>
    <t>427 B</t>
  </si>
  <si>
    <t>434 B</t>
  </si>
  <si>
    <t>437 B</t>
  </si>
  <si>
    <t>439 B</t>
  </si>
  <si>
    <t>441 B</t>
  </si>
  <si>
    <t>449 B</t>
  </si>
  <si>
    <t>456 B</t>
  </si>
  <si>
    <t>458 B</t>
  </si>
  <si>
    <t>467 B</t>
  </si>
  <si>
    <t>472 B</t>
  </si>
  <si>
    <t>478 B</t>
  </si>
  <si>
    <t>484 B</t>
  </si>
  <si>
    <t>485 B</t>
  </si>
  <si>
    <t>488 B</t>
  </si>
  <si>
    <t>492 B</t>
  </si>
  <si>
    <t>500 B</t>
  </si>
  <si>
    <t>504 B</t>
  </si>
  <si>
    <t>507 B</t>
  </si>
  <si>
    <t>512 B</t>
  </si>
  <si>
    <t>523 B</t>
  </si>
  <si>
    <t>526 B</t>
  </si>
  <si>
    <t>533 B</t>
  </si>
  <si>
    <t xml:space="preserve">INVENTARIO FINAL  8 Marzo </t>
  </si>
  <si>
    <t>542 B</t>
  </si>
  <si>
    <t>548 B</t>
  </si>
  <si>
    <t>553 B</t>
  </si>
  <si>
    <t>FUMIGACION</t>
  </si>
  <si>
    <t>SOBRANTE</t>
  </si>
  <si>
    <t>FALTANTE</t>
  </si>
  <si>
    <t xml:space="preserve">BALANCE       DE      M A R Z O               2 0 1 9     HERRADURA </t>
  </si>
  <si>
    <t>NOMINA 10</t>
  </si>
  <si>
    <t>NOMINA 11</t>
  </si>
  <si>
    <t>NOMINA 12</t>
  </si>
  <si>
    <t>NOMINA 13</t>
  </si>
  <si>
    <t xml:space="preserve">INVENTARIO FINAL  </t>
  </si>
  <si>
    <t>567 B</t>
  </si>
  <si>
    <t>569 B</t>
  </si>
  <si>
    <t>572 B</t>
  </si>
  <si>
    <t>582 B</t>
  </si>
  <si>
    <t>585 B</t>
  </si>
  <si>
    <t>590 B</t>
  </si>
  <si>
    <t>602 B</t>
  </si>
  <si>
    <t>603 B</t>
  </si>
  <si>
    <t>608 B</t>
  </si>
  <si>
    <t>620 B</t>
  </si>
  <si>
    <t>624 B</t>
  </si>
  <si>
    <t>633 B</t>
  </si>
  <si>
    <t>637 B</t>
  </si>
  <si>
    <t>641 B</t>
  </si>
  <si>
    <t>649 B</t>
  </si>
  <si>
    <t>665 B</t>
  </si>
  <si>
    <t>672 B</t>
  </si>
  <si>
    <t>679 B</t>
  </si>
  <si>
    <t>684 B</t>
  </si>
  <si>
    <t>703 B</t>
  </si>
  <si>
    <t>705 B</t>
  </si>
  <si>
    <t>698 B</t>
  </si>
  <si>
    <t>718 B</t>
  </si>
  <si>
    <t xml:space="preserve">NOMINA  </t>
  </si>
  <si>
    <t>NOMINA 14</t>
  </si>
  <si>
    <t>NOMINA 15</t>
  </si>
  <si>
    <t>NOMINA 16</t>
  </si>
  <si>
    <t>NOMINA 17</t>
  </si>
  <si>
    <t xml:space="preserve">BALANCE       DE      A B R  I L                2 0 1 9     HERRADURA </t>
  </si>
  <si>
    <t>715 B</t>
  </si>
  <si>
    <t>733 B</t>
  </si>
  <si>
    <t>736 B</t>
  </si>
  <si>
    <t>742 B</t>
  </si>
  <si>
    <t>745 B</t>
  </si>
  <si>
    <t>746 B</t>
  </si>
  <si>
    <t>754 B</t>
  </si>
  <si>
    <t>755 B</t>
  </si>
  <si>
    <t>763 B</t>
  </si>
  <si>
    <t>780 B</t>
  </si>
  <si>
    <t>786B</t>
  </si>
  <si>
    <t>788 B</t>
  </si>
  <si>
    <t>798 B</t>
  </si>
  <si>
    <t>799 B</t>
  </si>
  <si>
    <t>804 B</t>
  </si>
  <si>
    <t>806B</t>
  </si>
  <si>
    <t>v.santo</t>
  </si>
  <si>
    <t>Viernes.Santo</t>
  </si>
  <si>
    <t>810 B</t>
  </si>
  <si>
    <t>811 B</t>
  </si>
  <si>
    <t>815 B</t>
  </si>
  <si>
    <t>820 B</t>
  </si>
  <si>
    <t>827 B</t>
  </si>
  <si>
    <t>835 B</t>
  </si>
  <si>
    <t>841 B</t>
  </si>
  <si>
    <t>855 B</t>
  </si>
  <si>
    <t>860 B</t>
  </si>
  <si>
    <t>870 B</t>
  </si>
  <si>
    <t>883 B</t>
  </si>
  <si>
    <t>894 B</t>
  </si>
  <si>
    <t>907 B</t>
  </si>
  <si>
    <t>917 B</t>
  </si>
  <si>
    <t>931 B</t>
  </si>
  <si>
    <t>918 B</t>
  </si>
  <si>
    <t>933 B</t>
  </si>
  <si>
    <t>941 B</t>
  </si>
  <si>
    <t>947 B</t>
  </si>
  <si>
    <t>962 B</t>
  </si>
  <si>
    <t>964 B</t>
  </si>
  <si>
    <t>972 B</t>
  </si>
  <si>
    <t>973 B</t>
  </si>
  <si>
    <t>404 B</t>
  </si>
  <si>
    <t>CENTRAL</t>
  </si>
  <si>
    <t xml:space="preserve">     2,Mayo</t>
  </si>
  <si>
    <t>NOMINA  18</t>
  </si>
  <si>
    <t>982 B</t>
  </si>
  <si>
    <t>PERDIDA</t>
  </si>
  <si>
    <t xml:space="preserve">BALANCE       DE      M A Y O                 2 0 1 9     HERRADURA </t>
  </si>
  <si>
    <t>NOMINA 19</t>
  </si>
  <si>
    <t>NOMINA 20</t>
  </si>
  <si>
    <t>NOMINA 21</t>
  </si>
  <si>
    <t>NOMINA 22</t>
  </si>
  <si>
    <t>993 B</t>
  </si>
  <si>
    <t>998 B</t>
  </si>
  <si>
    <t>1004 C</t>
  </si>
  <si>
    <t>1011 C</t>
  </si>
  <si>
    <t>1026 C</t>
  </si>
  <si>
    <t>1029 C</t>
  </si>
  <si>
    <t>1035 C</t>
  </si>
  <si>
    <t>1042 C</t>
  </si>
  <si>
    <t>1043 C</t>
  </si>
  <si>
    <t>1051 C</t>
  </si>
  <si>
    <t>1056 C</t>
  </si>
  <si>
    <t>1060 C</t>
  </si>
  <si>
    <t>1066 C</t>
  </si>
  <si>
    <t>1079 C</t>
  </si>
  <si>
    <t>1080 C</t>
  </si>
  <si>
    <t>1092 C</t>
  </si>
  <si>
    <t>1093 C</t>
  </si>
  <si>
    <t>1094 C</t>
  </si>
  <si>
    <t>1100 C</t>
  </si>
  <si>
    <t>1105 C</t>
  </si>
  <si>
    <t>1109 C</t>
  </si>
  <si>
    <t>1110  C</t>
  </si>
  <si>
    <t>1120 C</t>
  </si>
  <si>
    <t>1131 C</t>
  </si>
  <si>
    <t>1135 C</t>
  </si>
  <si>
    <t>1138 C</t>
  </si>
  <si>
    <t>1150 C</t>
  </si>
  <si>
    <t>-</t>
  </si>
  <si>
    <t>1155 C</t>
  </si>
  <si>
    <t>1159 C</t>
  </si>
  <si>
    <t>1160 C</t>
  </si>
  <si>
    <t>1168 C</t>
  </si>
  <si>
    <t>1167 C</t>
  </si>
  <si>
    <t>******</t>
  </si>
  <si>
    <t>DEPOSITOS</t>
  </si>
  <si>
    <r>
      <rPr>
        <b/>
        <sz val="13"/>
        <color theme="4" tint="-0.249977111117893"/>
        <rFont val="Calibri"/>
        <family val="2"/>
        <scheme val="minor"/>
      </rPr>
      <t xml:space="preserve">*** </t>
    </r>
    <r>
      <rPr>
        <b/>
        <sz val="13"/>
        <color theme="1"/>
        <rFont val="Calibri"/>
        <family val="2"/>
        <scheme val="minor"/>
      </rPr>
      <t>NO SALEN SUS GASTOS DEL MES QUE SON      $  79,666.69</t>
    </r>
  </si>
  <si>
    <t>NOMINA 23</t>
  </si>
  <si>
    <t>NOMINA 24.</t>
  </si>
  <si>
    <t>NOMINA 25.</t>
  </si>
  <si>
    <t>NOMINA 26</t>
  </si>
  <si>
    <t xml:space="preserve">BALANCE       DE      J U N I O                  2 0 1 9     HERRADURA </t>
  </si>
  <si>
    <t>Ma Luisa</t>
  </si>
  <si>
    <t>OK</t>
  </si>
  <si>
    <t>m</t>
  </si>
  <si>
    <t>1178 C</t>
  </si>
  <si>
    <t>1179 C</t>
  </si>
  <si>
    <t>1183 C</t>
  </si>
  <si>
    <t>1192 C</t>
  </si>
  <si>
    <t>1188 C</t>
  </si>
  <si>
    <t>1197 C</t>
  </si>
  <si>
    <t>1202 C</t>
  </si>
  <si>
    <t>1203 C</t>
  </si>
  <si>
    <t>1218 C</t>
  </si>
  <si>
    <t>1219 C</t>
  </si>
  <si>
    <t>1226 C</t>
  </si>
  <si>
    <t>1227 C</t>
  </si>
  <si>
    <t>1232 C</t>
  </si>
  <si>
    <t>1233 C</t>
  </si>
  <si>
    <t>1235 C</t>
  </si>
  <si>
    <t>1251 C</t>
  </si>
  <si>
    <t>1257 C</t>
  </si>
  <si>
    <t>1264 C</t>
  </si>
  <si>
    <t>1265 C</t>
  </si>
  <si>
    <t>1266 C</t>
  </si>
  <si>
    <t>1272 C</t>
  </si>
  <si>
    <t>1280 C</t>
  </si>
  <si>
    <t>1284 C</t>
  </si>
  <si>
    <t>1296 C</t>
  </si>
  <si>
    <t>1297 C</t>
  </si>
  <si>
    <t>1304 C</t>
  </si>
  <si>
    <t>1311 C</t>
  </si>
  <si>
    <t>1317 C</t>
  </si>
  <si>
    <t>1322 C</t>
  </si>
  <si>
    <t>1323 C</t>
  </si>
  <si>
    <t>1329 C</t>
  </si>
  <si>
    <t>1330 C</t>
  </si>
  <si>
    <t>1335 C</t>
  </si>
  <si>
    <t>1342 C</t>
  </si>
  <si>
    <t>1343 C</t>
  </si>
  <si>
    <t>1348 C</t>
  </si>
  <si>
    <t>751 B</t>
  </si>
  <si>
    <t xml:space="preserve">CENTRAL </t>
  </si>
  <si>
    <r>
      <t xml:space="preserve">INVENTARIO FINAL     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03 Julio </t>
    </r>
  </si>
  <si>
    <t xml:space="preserve">BALANCE       DE      J U L I O                  2 0 1 9     HERRADURA </t>
  </si>
  <si>
    <t>NOMINA 27</t>
  </si>
  <si>
    <t>NOMINA 28</t>
  </si>
  <si>
    <t>NOMINA 29</t>
  </si>
  <si>
    <t>NOMINA 30</t>
  </si>
  <si>
    <t>NOMINA  31</t>
  </si>
  <si>
    <t>MARISOL</t>
  </si>
  <si>
    <t>1361 C</t>
  </si>
  <si>
    <t>1363 C</t>
  </si>
  <si>
    <t>1371 C</t>
  </si>
  <si>
    <t>1376 C</t>
  </si>
  <si>
    <t>1378 C</t>
  </si>
  <si>
    <t>1386 C</t>
  </si>
  <si>
    <t>1387 C</t>
  </si>
  <si>
    <t>1394 C</t>
  </si>
  <si>
    <t>1397 C</t>
  </si>
  <si>
    <t>1405 C</t>
  </si>
  <si>
    <t>1411 C</t>
  </si>
  <si>
    <t>1419 C</t>
  </si>
  <si>
    <t>1423 C</t>
  </si>
  <si>
    <t>1426 C</t>
  </si>
  <si>
    <t>1431 C</t>
  </si>
  <si>
    <t>1432 C</t>
  </si>
  <si>
    <t>1439 C</t>
  </si>
  <si>
    <t>1444 C</t>
  </si>
  <si>
    <t>1451 C</t>
  </si>
  <si>
    <t>1452 C</t>
  </si>
  <si>
    <t>1464 C</t>
  </si>
  <si>
    <t>1465 C</t>
  </si>
  <si>
    <t>1476 C</t>
  </si>
  <si>
    <t>1490 C</t>
  </si>
  <si>
    <t>1493 C</t>
  </si>
  <si>
    <t>1500 C</t>
  </si>
  <si>
    <t>1510 C</t>
  </si>
  <si>
    <t>1518 C</t>
  </si>
  <si>
    <t>1527 C</t>
  </si>
  <si>
    <t>1535 C</t>
  </si>
  <si>
    <t>1536 C</t>
  </si>
  <si>
    <t>1540 C</t>
  </si>
  <si>
    <t xml:space="preserve">BALANCE       DE      A G O S T O                   2 0 1 9     HERRADURA </t>
  </si>
  <si>
    <t>NOMINA 32</t>
  </si>
  <si>
    <t>NOMINA 33</t>
  </si>
  <si>
    <t>NOMINA 34</t>
  </si>
  <si>
    <t>NOMINA 35</t>
  </si>
  <si>
    <t>sobrante</t>
  </si>
  <si>
    <t>26-Ago,</t>
  </si>
  <si>
    <t>1554 C</t>
  </si>
  <si>
    <t>1559 C</t>
  </si>
  <si>
    <t>1569 C</t>
  </si>
  <si>
    <t>1575 C</t>
  </si>
  <si>
    <t>1578 C</t>
  </si>
  <si>
    <t>1581 C</t>
  </si>
  <si>
    <t>1586 C</t>
  </si>
  <si>
    <t>1590 C</t>
  </si>
  <si>
    <t>1595 C</t>
  </si>
  <si>
    <t>1596 C</t>
  </si>
  <si>
    <t>1616 C</t>
  </si>
  <si>
    <t>1628 C</t>
  </si>
  <si>
    <t>1630 C</t>
  </si>
  <si>
    <t>1632 C</t>
  </si>
  <si>
    <t>1642 C</t>
  </si>
  <si>
    <t>1643 C</t>
  </si>
  <si>
    <t>1649 C</t>
  </si>
  <si>
    <t>1651 C</t>
  </si>
  <si>
    <t>1658 C</t>
  </si>
  <si>
    <t>1674 C</t>
  </si>
  <si>
    <t>1681 C</t>
  </si>
  <si>
    <t>1688 C</t>
  </si>
  <si>
    <t>1689 C</t>
  </si>
  <si>
    <t>1693 C</t>
  </si>
  <si>
    <t>1694 C</t>
  </si>
  <si>
    <t>1698 C</t>
  </si>
  <si>
    <t>1699 C</t>
  </si>
  <si>
    <t>1704 C</t>
  </si>
  <si>
    <t>1712 C</t>
  </si>
  <si>
    <t>1715 C</t>
  </si>
  <si>
    <t>CAMARA Com</t>
  </si>
  <si>
    <t>aplica sobrante</t>
  </si>
  <si>
    <t>junio</t>
  </si>
  <si>
    <t xml:space="preserve">BALANCE       DE    S E P T I E M B R E            2 0 1 9     HERRADURA </t>
  </si>
  <si>
    <t>**NO HUBO UTILIDAD PARA PAGAR SUS GASTOS ***</t>
  </si>
  <si>
    <t>1716 C</t>
  </si>
  <si>
    <t>1719 C</t>
  </si>
  <si>
    <t>1724 C</t>
  </si>
  <si>
    <t>1736 C</t>
  </si>
  <si>
    <t>1748 C</t>
  </si>
  <si>
    <t>1755 C</t>
  </si>
  <si>
    <t>1756 C</t>
  </si>
  <si>
    <t>1767 C</t>
  </si>
  <si>
    <t>1768 C</t>
  </si>
  <si>
    <t>1769 C</t>
  </si>
  <si>
    <t>1773 C</t>
  </si>
  <si>
    <t>1782 C</t>
  </si>
  <si>
    <t>1787 C</t>
  </si>
  <si>
    <t>1790 C</t>
  </si>
  <si>
    <t>1795 C</t>
  </si>
  <si>
    <t>1804 C</t>
  </si>
  <si>
    <t>1812 C</t>
  </si>
  <si>
    <t>1818 C</t>
  </si>
  <si>
    <t>1838 C</t>
  </si>
  <si>
    <t>1839 C</t>
  </si>
  <si>
    <t>1842 C</t>
  </si>
  <si>
    <t>1830 C</t>
  </si>
  <si>
    <t>1858 C</t>
  </si>
  <si>
    <t>1864 C</t>
  </si>
  <si>
    <t>1865 C</t>
  </si>
  <si>
    <t>1871 C</t>
  </si>
  <si>
    <t>NOMINA 36</t>
  </si>
  <si>
    <t>NOMINA 37</t>
  </si>
  <si>
    <t>NOMINA 38</t>
  </si>
  <si>
    <t>NOMINA 39</t>
  </si>
  <si>
    <t xml:space="preserve">GANANCIA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</si>
</sst>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theme="1"/>
      <name val="Calibri Light"/>
      <family val="2"/>
      <scheme val="major"/>
    </font>
    <font>
      <b/>
      <sz val="10"/>
      <color theme="5" tint="-0.249977111117893"/>
      <name val="Calibri"/>
      <family val="2"/>
      <scheme val="minor"/>
    </font>
    <font>
      <b/>
      <sz val="11"/>
      <color theme="1"/>
      <name val="Wingdings 2"/>
      <family val="1"/>
      <charset val="2"/>
    </font>
    <font>
      <b/>
      <sz val="10"/>
      <color rgb="FFC00000"/>
      <name val="Calibri"/>
      <family val="2"/>
      <scheme val="minor"/>
    </font>
    <font>
      <b/>
      <i/>
      <u/>
      <sz val="11"/>
      <color rgb="FF0000FF"/>
      <name val="Calibri Light"/>
      <family val="2"/>
      <scheme val="major"/>
    </font>
    <font>
      <b/>
      <sz val="11"/>
      <color rgb="FF0000FF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2"/>
      <color rgb="FFFF0000"/>
      <name val="Calibri Light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8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44" fontId="4" fillId="2" borderId="0" xfId="1" applyFont="1" applyFill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44" fontId="5" fillId="0" borderId="2" xfId="1" applyFont="1" applyBorder="1"/>
    <xf numFmtId="165" fontId="5" fillId="0" borderId="0" xfId="0" applyNumberFormat="1" applyFont="1"/>
    <xf numFmtId="44" fontId="9" fillId="0" borderId="7" xfId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8" xfId="0" applyNumberFormat="1" applyFont="1" applyBorder="1" applyAlignment="1">
      <alignment horizontal="center"/>
    </xf>
    <xf numFmtId="44" fontId="2" fillId="0" borderId="9" xfId="1" applyFont="1" applyBorder="1"/>
    <xf numFmtId="15" fontId="2" fillId="0" borderId="10" xfId="0" applyNumberFormat="1" applyFont="1" applyBorder="1" applyAlignment="1">
      <alignment horizontal="center"/>
    </xf>
    <xf numFmtId="44" fontId="2" fillId="0" borderId="11" xfId="1" applyFont="1" applyBorder="1"/>
    <xf numFmtId="0" fontId="1" fillId="0" borderId="0" xfId="0" applyFont="1"/>
    <xf numFmtId="15" fontId="2" fillId="0" borderId="12" xfId="0" applyNumberFormat="1" applyFont="1" applyBorder="1" applyAlignment="1">
      <alignment horizontal="center"/>
    </xf>
    <xf numFmtId="44" fontId="2" fillId="0" borderId="14" xfId="1" applyFont="1" applyBorder="1"/>
    <xf numFmtId="0" fontId="2" fillId="0" borderId="14" xfId="0" applyFont="1" applyBorder="1"/>
    <xf numFmtId="44" fontId="7" fillId="0" borderId="15" xfId="1" applyFont="1" applyBorder="1" applyAlignment="1">
      <alignment horizontal="center"/>
    </xf>
    <xf numFmtId="0" fontId="2" fillId="0" borderId="0" xfId="0" applyFont="1" applyAlignment="1">
      <alignment horizontal="left"/>
    </xf>
    <xf numFmtId="164" fontId="2" fillId="0" borderId="16" xfId="0" applyNumberFormat="1" applyFont="1" applyBorder="1" applyAlignment="1">
      <alignment horizontal="center"/>
    </xf>
    <xf numFmtId="165" fontId="0" fillId="0" borderId="0" xfId="0" applyNumberFormat="1"/>
    <xf numFmtId="44" fontId="2" fillId="0" borderId="17" xfId="1" applyFont="1" applyBorder="1"/>
    <xf numFmtId="44" fontId="2" fillId="0" borderId="0" xfId="1" applyFont="1"/>
    <xf numFmtId="165" fontId="2" fillId="0" borderId="0" xfId="0" applyNumberFormat="1" applyFont="1"/>
    <xf numFmtId="15" fontId="10" fillId="0" borderId="0" xfId="1" applyNumberFormat="1" applyFont="1"/>
    <xf numFmtId="0" fontId="2" fillId="4" borderId="0" xfId="0" applyFont="1" applyFill="1"/>
    <xf numFmtId="165" fontId="2" fillId="5" borderId="0" xfId="0" applyNumberFormat="1" applyFont="1" applyFill="1"/>
    <xf numFmtId="44" fontId="2" fillId="0" borderId="0" xfId="1" applyFont="1" applyAlignment="1">
      <alignment horizontal="left"/>
    </xf>
    <xf numFmtId="165" fontId="11" fillId="0" borderId="0" xfId="0" applyNumberFormat="1" applyFont="1"/>
    <xf numFmtId="165" fontId="2" fillId="6" borderId="0" xfId="0" applyNumberFormat="1" applyFont="1" applyFill="1"/>
    <xf numFmtId="165" fontId="12" fillId="0" borderId="0" xfId="0" applyNumberFormat="1" applyFont="1"/>
    <xf numFmtId="17" fontId="13" fillId="0" borderId="0" xfId="1" applyNumberFormat="1" applyFont="1" applyAlignment="1">
      <alignment horizontal="center"/>
    </xf>
    <xf numFmtId="44" fontId="10" fillId="0" borderId="0" xfId="1" applyFont="1" applyAlignment="1">
      <alignment horizontal="left"/>
    </xf>
    <xf numFmtId="44" fontId="14" fillId="0" borderId="0" xfId="1" applyFont="1" applyAlignment="1">
      <alignment horizontal="left"/>
    </xf>
    <xf numFmtId="16" fontId="2" fillId="0" borderId="0" xfId="1" applyNumberFormat="1" applyFont="1"/>
    <xf numFmtId="0" fontId="10" fillId="0" borderId="0" xfId="0" applyFont="1"/>
    <xf numFmtId="16" fontId="15" fillId="0" borderId="0" xfId="0" applyNumberFormat="1" applyFont="1" applyAlignment="1">
      <alignment horizontal="center"/>
    </xf>
    <xf numFmtId="0" fontId="14" fillId="0" borderId="0" xfId="0" applyFont="1"/>
    <xf numFmtId="44" fontId="2" fillId="0" borderId="18" xfId="1" applyFont="1" applyBorder="1"/>
    <xf numFmtId="44" fontId="7" fillId="0" borderId="0" xfId="1" applyFont="1" applyAlignment="1">
      <alignment horizontal="left"/>
    </xf>
    <xf numFmtId="165" fontId="16" fillId="0" borderId="0" xfId="0" applyNumberFormat="1" applyFont="1"/>
    <xf numFmtId="44" fontId="14" fillId="0" borderId="0" xfId="1" applyFont="1"/>
    <xf numFmtId="16" fontId="14" fillId="0" borderId="0" xfId="0" applyNumberFormat="1" applyFont="1"/>
    <xf numFmtId="16" fontId="12" fillId="0" borderId="19" xfId="0" applyNumberFormat="1" applyFont="1" applyBorder="1"/>
    <xf numFmtId="16" fontId="5" fillId="0" borderId="19" xfId="0" applyNumberFormat="1" applyFont="1" applyBorder="1"/>
    <xf numFmtId="16" fontId="2" fillId="0" borderId="19" xfId="0" applyNumberFormat="1" applyFont="1" applyBorder="1" applyAlignment="1">
      <alignment horizontal="left"/>
    </xf>
    <xf numFmtId="16" fontId="2" fillId="0" borderId="19" xfId="0" applyNumberFormat="1" applyFont="1" applyBorder="1"/>
    <xf numFmtId="0" fontId="14" fillId="0" borderId="19" xfId="0" applyFont="1" applyBorder="1"/>
    <xf numFmtId="164" fontId="2" fillId="0" borderId="19" xfId="0" applyNumberFormat="1" applyFont="1" applyBorder="1"/>
    <xf numFmtId="0" fontId="10" fillId="0" borderId="19" xfId="0" applyFont="1" applyBorder="1"/>
    <xf numFmtId="0" fontId="2" fillId="0" borderId="19" xfId="0" applyFont="1" applyBorder="1"/>
    <xf numFmtId="16" fontId="13" fillId="0" borderId="19" xfId="0" applyNumberFormat="1" applyFont="1" applyBorder="1"/>
    <xf numFmtId="164" fontId="13" fillId="0" borderId="20" xfId="0" applyNumberFormat="1" applyFont="1" applyBorder="1" applyAlignment="1">
      <alignment horizontal="center"/>
    </xf>
    <xf numFmtId="165" fontId="2" fillId="0" borderId="23" xfId="0" applyNumberFormat="1" applyFont="1" applyBorder="1"/>
    <xf numFmtId="44" fontId="7" fillId="0" borderId="0" xfId="1" applyFont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7" fillId="0" borderId="0" xfId="0" applyFont="1" applyAlignment="1">
      <alignment horizontal="center"/>
    </xf>
    <xf numFmtId="44" fontId="17" fillId="0" borderId="0" xfId="1" applyFont="1"/>
    <xf numFmtId="165" fontId="2" fillId="0" borderId="0" xfId="0" applyNumberFormat="1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44" fontId="19" fillId="0" borderId="0" xfId="1" applyFont="1"/>
    <xf numFmtId="44" fontId="19" fillId="0" borderId="0" xfId="1" applyFont="1" applyAlignment="1">
      <alignment horizontal="left"/>
    </xf>
    <xf numFmtId="44" fontId="0" fillId="0" borderId="28" xfId="1" applyFont="1" applyBorder="1"/>
    <xf numFmtId="44" fontId="2" fillId="0" borderId="29" xfId="1" applyFont="1" applyBorder="1"/>
    <xf numFmtId="0" fontId="0" fillId="0" borderId="29" xfId="0" applyBorder="1"/>
    <xf numFmtId="44" fontId="18" fillId="0" borderId="29" xfId="1" applyFont="1" applyBorder="1" applyAlignment="1">
      <alignment horizontal="center" vertical="center" wrapText="1"/>
    </xf>
    <xf numFmtId="0" fontId="2" fillId="0" borderId="29" xfId="0" applyFont="1" applyBorder="1"/>
    <xf numFmtId="0" fontId="2" fillId="0" borderId="30" xfId="0" applyFont="1" applyBorder="1"/>
    <xf numFmtId="44" fontId="0" fillId="0" borderId="18" xfId="1" applyFont="1" applyBorder="1"/>
    <xf numFmtId="44" fontId="2" fillId="0" borderId="31" xfId="1" applyFont="1" applyBorder="1"/>
    <xf numFmtId="0" fontId="6" fillId="0" borderId="0" xfId="0" applyFont="1" applyAlignment="1">
      <alignment horizontal="center"/>
    </xf>
    <xf numFmtId="44" fontId="20" fillId="0" borderId="1" xfId="1" applyFont="1" applyBorder="1"/>
    <xf numFmtId="44" fontId="0" fillId="0" borderId="24" xfId="1" applyFont="1" applyBorder="1"/>
    <xf numFmtId="0" fontId="5" fillId="0" borderId="1" xfId="0" applyFont="1" applyBorder="1"/>
    <xf numFmtId="44" fontId="5" fillId="0" borderId="1" xfId="1" applyFont="1" applyBorder="1"/>
    <xf numFmtId="0" fontId="0" fillId="0" borderId="1" xfId="0" applyBorder="1"/>
    <xf numFmtId="44" fontId="0" fillId="0" borderId="1" xfId="1" applyFont="1" applyBorder="1"/>
    <xf numFmtId="0" fontId="8" fillId="0" borderId="1" xfId="0" applyFont="1" applyBorder="1" applyAlignment="1">
      <alignment vertical="center"/>
    </xf>
    <xf numFmtId="1" fontId="2" fillId="0" borderId="0" xfId="0" applyNumberFormat="1" applyFont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44" fontId="7" fillId="0" borderId="20" xfId="1" applyFont="1" applyBorder="1" applyAlignment="1">
      <alignment horizontal="center"/>
    </xf>
    <xf numFmtId="44" fontId="7" fillId="0" borderId="4" xfId="1" applyFont="1" applyBorder="1" applyAlignment="1">
      <alignment horizontal="center"/>
    </xf>
    <xf numFmtId="164" fontId="2" fillId="0" borderId="33" xfId="0" applyNumberFormat="1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44" fontId="19" fillId="0" borderId="34" xfId="1" applyFont="1" applyBorder="1"/>
    <xf numFmtId="164" fontId="2" fillId="0" borderId="0" xfId="0" applyNumberFormat="1" applyFont="1"/>
    <xf numFmtId="44" fontId="22" fillId="0" borderId="35" xfId="1" applyFont="1" applyBorder="1"/>
    <xf numFmtId="44" fontId="19" fillId="0" borderId="36" xfId="1" applyFont="1" applyBorder="1"/>
    <xf numFmtId="44" fontId="2" fillId="0" borderId="37" xfId="1" applyFont="1" applyBorder="1"/>
    <xf numFmtId="164" fontId="2" fillId="0" borderId="15" xfId="0" applyNumberFormat="1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44" fontId="22" fillId="0" borderId="37" xfId="1" applyFont="1" applyBorder="1"/>
    <xf numFmtId="0" fontId="21" fillId="0" borderId="36" xfId="0" applyFont="1" applyBorder="1" applyAlignment="1">
      <alignment horizontal="center" wrapText="1"/>
    </xf>
    <xf numFmtId="164" fontId="2" fillId="0" borderId="38" xfId="0" applyNumberFormat="1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164" fontId="7" fillId="4" borderId="39" xfId="0" applyNumberFormat="1" applyFont="1" applyFill="1" applyBorder="1"/>
    <xf numFmtId="164" fontId="7" fillId="4" borderId="40" xfId="0" applyNumberFormat="1" applyFont="1" applyFill="1" applyBorder="1"/>
    <xf numFmtId="44" fontId="2" fillId="4" borderId="38" xfId="1" applyFont="1" applyFill="1" applyBorder="1"/>
    <xf numFmtId="0" fontId="0" fillId="4" borderId="38" xfId="0" applyFill="1" applyBorder="1"/>
    <xf numFmtId="44" fontId="7" fillId="4" borderId="38" xfId="1" applyFont="1" applyFill="1" applyBorder="1"/>
    <xf numFmtId="44" fontId="7" fillId="0" borderId="38" xfId="0" applyNumberFormat="1" applyFont="1" applyBorder="1"/>
    <xf numFmtId="0" fontId="7" fillId="0" borderId="41" xfId="0" applyFont="1" applyBorder="1"/>
    <xf numFmtId="0" fontId="7" fillId="0" borderId="42" xfId="0" applyFont="1" applyBorder="1"/>
    <xf numFmtId="44" fontId="7" fillId="0" borderId="42" xfId="0" applyNumberFormat="1" applyFont="1" applyBorder="1"/>
    <xf numFmtId="44" fontId="8" fillId="0" borderId="42" xfId="0" applyNumberFormat="1" applyFont="1" applyBorder="1"/>
    <xf numFmtId="0" fontId="7" fillId="0" borderId="0" xfId="0" applyFont="1"/>
    <xf numFmtId="44" fontId="2" fillId="8" borderId="11" xfId="1" applyFont="1" applyFill="1" applyBorder="1"/>
    <xf numFmtId="44" fontId="2" fillId="8" borderId="13" xfId="1" applyFont="1" applyFill="1" applyBorder="1"/>
    <xf numFmtId="44" fontId="7" fillId="8" borderId="15" xfId="1" applyFont="1" applyFill="1" applyBorder="1" applyAlignment="1">
      <alignment horizontal="center"/>
    </xf>
    <xf numFmtId="164" fontId="25" fillId="0" borderId="0" xfId="0" applyNumberFormat="1" applyFont="1"/>
    <xf numFmtId="44" fontId="2" fillId="0" borderId="43" xfId="1" applyFont="1" applyBorder="1"/>
    <xf numFmtId="44" fontId="2" fillId="0" borderId="22" xfId="1" applyFont="1" applyBorder="1"/>
    <xf numFmtId="164" fontId="24" fillId="0" borderId="1" xfId="0" applyNumberFormat="1" applyFont="1" applyBorder="1" applyAlignment="1">
      <alignment wrapText="1"/>
    </xf>
    <xf numFmtId="15" fontId="5" fillId="9" borderId="10" xfId="0" applyNumberFormat="1" applyFont="1" applyFill="1" applyBorder="1" applyAlignment="1">
      <alignment horizontal="center"/>
    </xf>
    <xf numFmtId="15" fontId="5" fillId="9" borderId="12" xfId="0" applyNumberFormat="1" applyFont="1" applyFill="1" applyBorder="1" applyAlignment="1">
      <alignment horizontal="center"/>
    </xf>
    <xf numFmtId="0" fontId="27" fillId="0" borderId="26" xfId="0" applyFont="1" applyBorder="1" applyAlignment="1">
      <alignment horizontal="center"/>
    </xf>
    <xf numFmtId="44" fontId="28" fillId="0" borderId="36" xfId="1" applyFont="1" applyBorder="1"/>
    <xf numFmtId="164" fontId="5" fillId="9" borderId="38" xfId="0" applyNumberFormat="1" applyFont="1" applyFill="1" applyBorder="1" applyAlignment="1">
      <alignment horizontal="center"/>
    </xf>
    <xf numFmtId="16" fontId="13" fillId="0" borderId="0" xfId="1" applyNumberFormat="1" applyFont="1" applyAlignment="1">
      <alignment horizontal="center"/>
    </xf>
    <xf numFmtId="16" fontId="13" fillId="0" borderId="0" xfId="1" applyNumberFormat="1" applyFont="1"/>
    <xf numFmtId="15" fontId="5" fillId="9" borderId="44" xfId="0" applyNumberFormat="1" applyFont="1" applyFill="1" applyBorder="1" applyAlignment="1">
      <alignment horizontal="center"/>
    </xf>
    <xf numFmtId="15" fontId="0" fillId="0" borderId="15" xfId="0" applyNumberFormat="1" applyBorder="1"/>
    <xf numFmtId="0" fontId="2" fillId="0" borderId="36" xfId="0" applyFont="1" applyBorder="1"/>
    <xf numFmtId="0" fontId="0" fillId="0" borderId="37" xfId="0" applyBorder="1"/>
    <xf numFmtId="44" fontId="2" fillId="0" borderId="45" xfId="1" applyFont="1" applyBorder="1"/>
    <xf numFmtId="44" fontId="0" fillId="0" borderId="38" xfId="1" applyFont="1" applyBorder="1"/>
    <xf numFmtId="44" fontId="2" fillId="0" borderId="13" xfId="1" applyFont="1" applyBorder="1"/>
    <xf numFmtId="15" fontId="2" fillId="5" borderId="10" xfId="0" applyNumberFormat="1" applyFont="1" applyFill="1" applyBorder="1" applyAlignment="1">
      <alignment horizontal="center"/>
    </xf>
    <xf numFmtId="15" fontId="2" fillId="5" borderId="12" xfId="0" applyNumberFormat="1" applyFont="1" applyFill="1" applyBorder="1" applyAlignment="1">
      <alignment horizontal="center"/>
    </xf>
    <xf numFmtId="44" fontId="8" fillId="0" borderId="45" xfId="1" applyFont="1" applyBorder="1" applyAlignment="1">
      <alignment horizontal="center"/>
    </xf>
    <xf numFmtId="44" fontId="7" fillId="9" borderId="0" xfId="1" applyFont="1" applyFill="1" applyAlignment="1">
      <alignment horizontal="left"/>
    </xf>
    <xf numFmtId="44" fontId="30" fillId="0" borderId="0" xfId="1" applyFont="1" applyAlignment="1">
      <alignment horizontal="left"/>
    </xf>
    <xf numFmtId="44" fontId="5" fillId="0" borderId="0" xfId="1" applyFont="1" applyAlignment="1">
      <alignment horizontal="left"/>
    </xf>
    <xf numFmtId="166" fontId="5" fillId="0" borderId="0" xfId="0" applyNumberFormat="1" applyFont="1"/>
    <xf numFmtId="44" fontId="7" fillId="0" borderId="15" xfId="1" applyFont="1" applyFill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0" fontId="21" fillId="0" borderId="36" xfId="0" applyFont="1" applyFill="1" applyBorder="1" applyAlignment="1">
      <alignment horizontal="center" wrapText="1"/>
    </xf>
    <xf numFmtId="0" fontId="23" fillId="0" borderId="2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44" fontId="7" fillId="5" borderId="15" xfId="1" applyFont="1" applyFill="1" applyBorder="1" applyAlignment="1">
      <alignment horizontal="center"/>
    </xf>
    <xf numFmtId="44" fontId="0" fillId="0" borderId="0" xfId="1" applyFont="1" applyFill="1"/>
    <xf numFmtId="0" fontId="0" fillId="0" borderId="0" xfId="0" applyFill="1"/>
    <xf numFmtId="44" fontId="2" fillId="0" borderId="0" xfId="1" applyFont="1" applyFill="1"/>
    <xf numFmtId="44" fontId="0" fillId="0" borderId="0" xfId="1" applyFont="1" applyFill="1" applyBorder="1"/>
    <xf numFmtId="44" fontId="0" fillId="0" borderId="46" xfId="1" applyFont="1" applyBorder="1"/>
    <xf numFmtId="44" fontId="2" fillId="0" borderId="48" xfId="1" applyFont="1" applyBorder="1"/>
    <xf numFmtId="44" fontId="2" fillId="0" borderId="47" xfId="1" applyFont="1" applyBorder="1"/>
    <xf numFmtId="16" fontId="21" fillId="0" borderId="34" xfId="0" applyNumberFormat="1" applyFont="1" applyBorder="1" applyAlignment="1">
      <alignment horizontal="center"/>
    </xf>
    <xf numFmtId="44" fontId="7" fillId="11" borderId="15" xfId="1" applyFont="1" applyFill="1" applyBorder="1" applyAlignment="1">
      <alignment horizontal="center"/>
    </xf>
    <xf numFmtId="44" fontId="2" fillId="11" borderId="11" xfId="1" applyFont="1" applyFill="1" applyBorder="1"/>
    <xf numFmtId="44" fontId="2" fillId="11" borderId="17" xfId="1" applyFont="1" applyFill="1" applyBorder="1"/>
    <xf numFmtId="44" fontId="2" fillId="0" borderId="17" xfId="1" applyFont="1" applyFill="1" applyBorder="1"/>
    <xf numFmtId="0" fontId="31" fillId="0" borderId="0" xfId="0" applyFont="1"/>
    <xf numFmtId="44" fontId="31" fillId="0" borderId="0" xfId="1" applyFont="1"/>
    <xf numFmtId="44" fontId="19" fillId="0" borderId="36" xfId="1" applyFont="1" applyFill="1" applyBorder="1"/>
    <xf numFmtId="164" fontId="2" fillId="12" borderId="0" xfId="0" applyNumberFormat="1" applyFont="1" applyFill="1"/>
    <xf numFmtId="44" fontId="8" fillId="9" borderId="45" xfId="1" applyFont="1" applyFill="1" applyBorder="1" applyAlignment="1">
      <alignment horizontal="center"/>
    </xf>
    <xf numFmtId="16" fontId="2" fillId="0" borderId="18" xfId="1" applyNumberFormat="1" applyFont="1" applyBorder="1"/>
    <xf numFmtId="0" fontId="13" fillId="0" borderId="0" xfId="0" applyFont="1"/>
    <xf numFmtId="44" fontId="0" fillId="0" borderId="0" xfId="1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44" fontId="5" fillId="0" borderId="0" xfId="1" applyFont="1" applyFill="1" applyAlignment="1">
      <alignment horizontal="left"/>
    </xf>
    <xf numFmtId="44" fontId="2" fillId="0" borderId="0" xfId="1" applyFont="1" applyFill="1" applyAlignment="1">
      <alignment horizontal="left"/>
    </xf>
    <xf numFmtId="44" fontId="10" fillId="0" borderId="0" xfId="1" applyFont="1" applyFill="1" applyAlignment="1">
      <alignment horizontal="left"/>
    </xf>
    <xf numFmtId="44" fontId="14" fillId="0" borderId="0" xfId="1" applyFont="1" applyFill="1" applyAlignment="1">
      <alignment horizontal="left"/>
    </xf>
    <xf numFmtId="44" fontId="7" fillId="0" borderId="0" xfId="1" applyFont="1" applyFill="1" applyAlignment="1">
      <alignment horizontal="left"/>
    </xf>
    <xf numFmtId="44" fontId="19" fillId="0" borderId="0" xfId="1" applyFont="1" applyFill="1" applyAlignment="1">
      <alignment horizontal="left"/>
    </xf>
    <xf numFmtId="44" fontId="7" fillId="0" borderId="0" xfId="1" applyFont="1" applyFill="1" applyBorder="1" applyAlignment="1">
      <alignment horizontal="center"/>
    </xf>
    <xf numFmtId="44" fontId="2" fillId="0" borderId="11" xfId="1" applyFont="1" applyFill="1" applyBorder="1"/>
    <xf numFmtId="165" fontId="18" fillId="0" borderId="2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10" xfId="0" applyNumberFormat="1" applyFont="1" applyFill="1" applyBorder="1" applyAlignment="1">
      <alignment horizontal="center"/>
    </xf>
    <xf numFmtId="0" fontId="1" fillId="0" borderId="0" xfId="0" applyFont="1" applyFill="1"/>
    <xf numFmtId="15" fontId="2" fillId="0" borderId="12" xfId="0" applyNumberFormat="1" applyFont="1" applyFill="1" applyBorder="1" applyAlignment="1">
      <alignment horizontal="center"/>
    </xf>
    <xf numFmtId="44" fontId="2" fillId="0" borderId="13" xfId="1" applyFont="1" applyFill="1" applyBorder="1"/>
    <xf numFmtId="165" fontId="0" fillId="0" borderId="0" xfId="0" applyNumberFormat="1" applyFill="1"/>
    <xf numFmtId="0" fontId="31" fillId="0" borderId="0" xfId="0" applyFont="1" applyFill="1"/>
    <xf numFmtId="44" fontId="2" fillId="0" borderId="45" xfId="1" applyFont="1" applyFill="1" applyBorder="1"/>
    <xf numFmtId="44" fontId="2" fillId="0" borderId="48" xfId="1" applyFont="1" applyFill="1" applyBorder="1"/>
    <xf numFmtId="44" fontId="2" fillId="0" borderId="47" xfId="1" applyFont="1" applyFill="1" applyBorder="1"/>
    <xf numFmtId="164" fontId="2" fillId="0" borderId="38" xfId="0" applyNumberFormat="1" applyFont="1" applyFill="1" applyBorder="1" applyAlignment="1">
      <alignment horizontal="center"/>
    </xf>
    <xf numFmtId="16" fontId="2" fillId="0" borderId="0" xfId="0" applyNumberFormat="1" applyFont="1"/>
    <xf numFmtId="44" fontId="2" fillId="0" borderId="0" xfId="0" applyNumberFormat="1" applyFont="1" applyFill="1" applyAlignment="1">
      <alignment horizontal="left"/>
    </xf>
    <xf numFmtId="44" fontId="19" fillId="5" borderId="36" xfId="1" applyFont="1" applyFill="1" applyBorder="1"/>
    <xf numFmtId="44" fontId="0" fillId="0" borderId="0" xfId="1" applyFont="1" applyFill="1" applyAlignment="1">
      <alignment horizontal="center"/>
    </xf>
    <xf numFmtId="44" fontId="9" fillId="0" borderId="0" xfId="1" applyFont="1" applyFill="1" applyBorder="1" applyAlignment="1">
      <alignment horizontal="center"/>
    </xf>
    <xf numFmtId="0" fontId="8" fillId="0" borderId="3" xfId="0" applyFont="1" applyBorder="1" applyAlignment="1">
      <alignment vertical="center"/>
    </xf>
    <xf numFmtId="44" fontId="7" fillId="0" borderId="20" xfId="1" applyFont="1" applyBorder="1" applyAlignment="1">
      <alignment vertical="center"/>
    </xf>
    <xf numFmtId="44" fontId="7" fillId="0" borderId="4" xfId="1" applyFont="1" applyBorder="1" applyAlignment="1">
      <alignment vertical="center"/>
    </xf>
    <xf numFmtId="44" fontId="19" fillId="0" borderId="4" xfId="1" applyFont="1" applyBorder="1"/>
    <xf numFmtId="16" fontId="32" fillId="0" borderId="0" xfId="1" applyNumberFormat="1" applyFont="1" applyAlignment="1">
      <alignment horizontal="center"/>
    </xf>
    <xf numFmtId="44" fontId="8" fillId="0" borderId="0" xfId="1" applyFont="1" applyFill="1" applyBorder="1" applyAlignment="1">
      <alignment horizontal="center"/>
    </xf>
    <xf numFmtId="44" fontId="33" fillId="0" borderId="3" xfId="1" applyFont="1" applyBorder="1"/>
    <xf numFmtId="0" fontId="2" fillId="0" borderId="0" xfId="0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164" fontId="2" fillId="0" borderId="33" xfId="0" applyNumberFormat="1" applyFont="1" applyFill="1" applyBorder="1" applyAlignment="1">
      <alignment horizontal="center"/>
    </xf>
    <xf numFmtId="0" fontId="21" fillId="0" borderId="34" xfId="0" applyFont="1" applyFill="1" applyBorder="1" applyAlignment="1">
      <alignment horizontal="center"/>
    </xf>
    <xf numFmtId="44" fontId="19" fillId="0" borderId="34" xfId="1" applyFont="1" applyFill="1" applyBorder="1"/>
    <xf numFmtId="16" fontId="21" fillId="0" borderId="34" xfId="0" applyNumberFormat="1" applyFont="1" applyFill="1" applyBorder="1" applyAlignment="1">
      <alignment horizontal="center"/>
    </xf>
    <xf numFmtId="164" fontId="2" fillId="0" borderId="15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44" fontId="2" fillId="13" borderId="0" xfId="0" applyNumberFormat="1" applyFont="1" applyFill="1" applyAlignment="1">
      <alignment horizontal="left"/>
    </xf>
    <xf numFmtId="44" fontId="30" fillId="0" borderId="0" xfId="1" applyFont="1" applyFill="1" applyBorder="1" applyAlignment="1">
      <alignment horizontal="center"/>
    </xf>
    <xf numFmtId="165" fontId="2" fillId="13" borderId="0" xfId="0" applyNumberFormat="1" applyFont="1" applyFill="1"/>
    <xf numFmtId="16" fontId="13" fillId="13" borderId="0" xfId="1" applyNumberFormat="1" applyFont="1" applyFill="1" applyAlignment="1">
      <alignment horizontal="center"/>
    </xf>
    <xf numFmtId="0" fontId="10" fillId="13" borderId="0" xfId="0" applyFont="1" applyFill="1"/>
    <xf numFmtId="16" fontId="2" fillId="0" borderId="0" xfId="1" applyNumberFormat="1" applyFont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44" fontId="19" fillId="0" borderId="26" xfId="1" applyFont="1" applyBorder="1"/>
    <xf numFmtId="44" fontId="22" fillId="0" borderId="49" xfId="1" applyFont="1" applyBorder="1"/>
    <xf numFmtId="44" fontId="33" fillId="0" borderId="3" xfId="1" applyFont="1" applyFill="1" applyBorder="1"/>
    <xf numFmtId="0" fontId="8" fillId="0" borderId="3" xfId="0" applyFont="1" applyFill="1" applyBorder="1" applyAlignment="1">
      <alignment vertical="center"/>
    </xf>
    <xf numFmtId="44" fontId="7" fillId="0" borderId="20" xfId="1" applyFont="1" applyFill="1" applyBorder="1" applyAlignment="1">
      <alignment vertical="center"/>
    </xf>
    <xf numFmtId="44" fontId="7" fillId="0" borderId="4" xfId="1" applyFont="1" applyFill="1" applyBorder="1" applyAlignment="1">
      <alignment vertical="center"/>
    </xf>
    <xf numFmtId="44" fontId="19" fillId="0" borderId="4" xfId="1" applyFont="1" applyFill="1" applyBorder="1"/>
    <xf numFmtId="44" fontId="8" fillId="10" borderId="45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16" fontId="7" fillId="0" borderId="0" xfId="0" applyNumberFormat="1" applyFont="1" applyAlignment="1">
      <alignment horizontal="left"/>
    </xf>
    <xf numFmtId="166" fontId="18" fillId="0" borderId="0" xfId="0" applyNumberFormat="1" applyFont="1" applyAlignment="1">
      <alignment horizontal="left"/>
    </xf>
    <xf numFmtId="0" fontId="2" fillId="0" borderId="50" xfId="0" applyFont="1" applyBorder="1"/>
    <xf numFmtId="165" fontId="2" fillId="0" borderId="32" xfId="0" applyNumberFormat="1" applyFont="1" applyBorder="1"/>
    <xf numFmtId="44" fontId="4" fillId="0" borderId="0" xfId="1" applyFont="1" applyFill="1" applyAlignment="1">
      <alignment horizontal="center"/>
    </xf>
    <xf numFmtId="16" fontId="6" fillId="0" borderId="0" xfId="0" applyNumberFormat="1" applyFont="1" applyAlignment="1">
      <alignment horizontal="center"/>
    </xf>
    <xf numFmtId="44" fontId="2" fillId="5" borderId="0" xfId="0" applyNumberFormat="1" applyFont="1" applyFill="1" applyAlignment="1">
      <alignment horizontal="left"/>
    </xf>
    <xf numFmtId="44" fontId="7" fillId="0" borderId="15" xfId="1" applyFont="1" applyFill="1" applyBorder="1" applyAlignment="1">
      <alignment horizontal="right"/>
    </xf>
    <xf numFmtId="44" fontId="35" fillId="0" borderId="0" xfId="1" applyFont="1" applyFill="1" applyAlignment="1">
      <alignment horizontal="left"/>
    </xf>
    <xf numFmtId="0" fontId="2" fillId="0" borderId="0" xfId="0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44" fontId="2" fillId="0" borderId="51" xfId="1" applyFont="1" applyFill="1" applyBorder="1"/>
    <xf numFmtId="44" fontId="2" fillId="0" borderId="15" xfId="1" applyFont="1" applyBorder="1"/>
    <xf numFmtId="0" fontId="2" fillId="0" borderId="15" xfId="0" applyFont="1" applyBorder="1"/>
    <xf numFmtId="165" fontId="2" fillId="0" borderId="15" xfId="0" applyNumberFormat="1" applyFont="1" applyBorder="1"/>
    <xf numFmtId="15" fontId="10" fillId="0" borderId="15" xfId="1" applyNumberFormat="1" applyFont="1" applyBorder="1"/>
    <xf numFmtId="0" fontId="2" fillId="4" borderId="15" xfId="0" applyFont="1" applyFill="1" applyBorder="1"/>
    <xf numFmtId="165" fontId="2" fillId="5" borderId="15" xfId="0" applyNumberFormat="1" applyFont="1" applyFill="1" applyBorder="1"/>
    <xf numFmtId="165" fontId="2" fillId="6" borderId="15" xfId="0" applyNumberFormat="1" applyFont="1" applyFill="1" applyBorder="1"/>
    <xf numFmtId="16" fontId="2" fillId="0" borderId="15" xfId="1" applyNumberFormat="1" applyFont="1" applyBorder="1" applyAlignment="1">
      <alignment horizontal="center"/>
    </xf>
    <xf numFmtId="16" fontId="13" fillId="0" borderId="15" xfId="1" applyNumberFormat="1" applyFont="1" applyBorder="1" applyAlignment="1">
      <alignment horizontal="center"/>
    </xf>
    <xf numFmtId="16" fontId="13" fillId="0" borderId="15" xfId="1" applyNumberFormat="1" applyFont="1" applyFill="1" applyBorder="1" applyAlignment="1">
      <alignment horizontal="center"/>
    </xf>
    <xf numFmtId="0" fontId="10" fillId="0" borderId="15" xfId="0" applyFont="1" applyFill="1" applyBorder="1"/>
    <xf numFmtId="165" fontId="2" fillId="0" borderId="15" xfId="0" applyNumberFormat="1" applyFont="1" applyFill="1" applyBorder="1"/>
    <xf numFmtId="16" fontId="15" fillId="0" borderId="15" xfId="0" applyNumberFormat="1" applyFont="1" applyBorder="1" applyAlignment="1">
      <alignment horizontal="center"/>
    </xf>
    <xf numFmtId="0" fontId="14" fillId="0" borderId="15" xfId="0" applyFont="1" applyBorder="1"/>
    <xf numFmtId="44" fontId="2" fillId="0" borderId="15" xfId="1" applyFont="1" applyBorder="1" applyAlignment="1">
      <alignment horizontal="center"/>
    </xf>
    <xf numFmtId="16" fontId="2" fillId="0" borderId="15" xfId="1" applyNumberFormat="1" applyFont="1" applyBorder="1"/>
    <xf numFmtId="0" fontId="13" fillId="0" borderId="15" xfId="0" applyFont="1" applyBorder="1"/>
    <xf numFmtId="15" fontId="7" fillId="7" borderId="15" xfId="1" applyNumberFormat="1" applyFont="1" applyFill="1" applyBorder="1"/>
    <xf numFmtId="16" fontId="0" fillId="0" borderId="0" xfId="1" applyNumberFormat="1" applyFont="1"/>
    <xf numFmtId="44" fontId="2" fillId="4" borderId="0" xfId="0" applyNumberFormat="1" applyFont="1" applyFill="1" applyAlignment="1">
      <alignment horizontal="left"/>
    </xf>
    <xf numFmtId="165" fontId="18" fillId="0" borderId="2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33" fillId="7" borderId="3" xfId="1" applyFont="1" applyFill="1" applyBorder="1"/>
    <xf numFmtId="0" fontId="8" fillId="7" borderId="3" xfId="0" applyFont="1" applyFill="1" applyBorder="1" applyAlignment="1">
      <alignment vertical="center"/>
    </xf>
    <xf numFmtId="44" fontId="7" fillId="7" borderId="20" xfId="1" applyFont="1" applyFill="1" applyBorder="1" applyAlignment="1">
      <alignment vertical="center"/>
    </xf>
    <xf numFmtId="44" fontId="7" fillId="7" borderId="4" xfId="1" applyFont="1" applyFill="1" applyBorder="1" applyAlignment="1">
      <alignment vertical="center"/>
    </xf>
    <xf numFmtId="44" fontId="19" fillId="7" borderId="4" xfId="1" applyFont="1" applyFill="1" applyBorder="1"/>
    <xf numFmtId="0" fontId="36" fillId="0" borderId="36" xfId="0" applyFont="1" applyFill="1" applyBorder="1" applyAlignment="1">
      <alignment horizontal="center"/>
    </xf>
    <xf numFmtId="0" fontId="3" fillId="0" borderId="0" xfId="0" applyFont="1"/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44" fontId="26" fillId="0" borderId="0" xfId="1" applyFont="1" applyAlignment="1">
      <alignment horizontal="center"/>
    </xf>
    <xf numFmtId="44" fontId="26" fillId="0" borderId="21" xfId="1" applyFont="1" applyBorder="1" applyAlignment="1">
      <alignment horizontal="center"/>
    </xf>
    <xf numFmtId="165" fontId="18" fillId="0" borderId="29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31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44" fontId="8" fillId="5" borderId="3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44" fontId="7" fillId="0" borderId="0" xfId="1" applyFont="1" applyAlignment="1">
      <alignment horizontal="center"/>
    </xf>
    <xf numFmtId="44" fontId="7" fillId="0" borderId="21" xfId="1" applyFont="1" applyBorder="1" applyAlignment="1">
      <alignment horizontal="center"/>
    </xf>
    <xf numFmtId="44" fontId="7" fillId="0" borderId="1" xfId="1" applyFont="1" applyBorder="1" applyAlignment="1">
      <alignment horizontal="center" vertical="center"/>
    </xf>
    <xf numFmtId="44" fontId="7" fillId="0" borderId="25" xfId="1" applyFont="1" applyBorder="1" applyAlignment="1">
      <alignment horizontal="center" vertical="center"/>
    </xf>
    <xf numFmtId="165" fontId="18" fillId="0" borderId="26" xfId="0" applyNumberFormat="1" applyFont="1" applyBorder="1" applyAlignment="1">
      <alignment horizontal="center" vertical="center" wrapText="1"/>
    </xf>
    <xf numFmtId="165" fontId="18" fillId="0" borderId="27" xfId="0" applyNumberFormat="1" applyFont="1" applyBorder="1" applyAlignment="1">
      <alignment horizontal="center" vertical="center" wrapText="1"/>
    </xf>
    <xf numFmtId="165" fontId="18" fillId="0" borderId="27" xfId="0" applyNumberFormat="1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44" fontId="8" fillId="0" borderId="28" xfId="1" applyFont="1" applyBorder="1" applyAlignment="1">
      <alignment horizontal="center"/>
    </xf>
    <xf numFmtId="44" fontId="8" fillId="0" borderId="29" xfId="1" applyFont="1" applyBorder="1" applyAlignment="1">
      <alignment horizontal="center"/>
    </xf>
    <xf numFmtId="44" fontId="8" fillId="0" borderId="30" xfId="1" applyFont="1" applyBorder="1" applyAlignment="1">
      <alignment horizontal="center"/>
    </xf>
    <xf numFmtId="0" fontId="8" fillId="7" borderId="28" xfId="0" applyFont="1" applyFill="1" applyBorder="1" applyAlignment="1">
      <alignment horizontal="center" wrapText="1"/>
    </xf>
    <xf numFmtId="0" fontId="8" fillId="7" borderId="29" xfId="0" applyFont="1" applyFill="1" applyBorder="1" applyAlignment="1">
      <alignment horizontal="center" wrapText="1"/>
    </xf>
    <xf numFmtId="0" fontId="8" fillId="7" borderId="30" xfId="0" applyFont="1" applyFill="1" applyBorder="1" applyAlignment="1">
      <alignment horizontal="center" wrapText="1"/>
    </xf>
    <xf numFmtId="0" fontId="8" fillId="7" borderId="18" xfId="0" applyFont="1" applyFill="1" applyBorder="1" applyAlignment="1">
      <alignment horizontal="center" wrapText="1"/>
    </xf>
    <xf numFmtId="0" fontId="8" fillId="7" borderId="0" xfId="0" applyFont="1" applyFill="1" applyAlignment="1">
      <alignment horizontal="center" wrapText="1"/>
    </xf>
    <xf numFmtId="0" fontId="8" fillId="7" borderId="21" xfId="0" applyFont="1" applyFill="1" applyBorder="1" applyAlignment="1">
      <alignment horizontal="center" wrapText="1"/>
    </xf>
    <xf numFmtId="0" fontId="8" fillId="7" borderId="24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0" fontId="8" fillId="7" borderId="25" xfId="0" applyFont="1" applyFill="1" applyBorder="1" applyAlignment="1">
      <alignment horizontal="center" wrapText="1"/>
    </xf>
    <xf numFmtId="164" fontId="29" fillId="10" borderId="1" xfId="0" applyNumberFormat="1" applyFont="1" applyFill="1" applyBorder="1" applyAlignment="1">
      <alignment horizontal="center"/>
    </xf>
    <xf numFmtId="164" fontId="29" fillId="10" borderId="25" xfId="0" applyNumberFormat="1" applyFont="1" applyFill="1" applyBorder="1" applyAlignment="1">
      <alignment horizontal="center"/>
    </xf>
    <xf numFmtId="0" fontId="8" fillId="13" borderId="0" xfId="0" applyFont="1" applyFill="1" applyAlignment="1">
      <alignment horizontal="center" vertical="center"/>
    </xf>
    <xf numFmtId="0" fontId="8" fillId="13" borderId="21" xfId="0" applyFont="1" applyFill="1" applyBorder="1" applyAlignment="1">
      <alignment horizontal="center" vertical="center"/>
    </xf>
    <xf numFmtId="44" fontId="8" fillId="13" borderId="3" xfId="0" applyNumberFormat="1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44" fontId="8" fillId="9" borderId="3" xfId="0" applyNumberFormat="1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990033"/>
      <color rgb="FFFF99FF"/>
      <color rgb="FF00FF00"/>
      <color rgb="FF0000FF"/>
      <color rgb="FFFF9900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49</xdr:row>
      <xdr:rowOff>95250</xdr:rowOff>
    </xdr:from>
    <xdr:to>
      <xdr:col>7</xdr:col>
      <xdr:colOff>152400</xdr:colOff>
      <xdr:row>53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V="1">
          <a:off x="4171950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80E77997-A439-40E2-8B9D-14BD191E2255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B3D1189E-DA53-4B44-9C4B-0DD3DDDFB9D6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59ED4F97-1F09-479E-8DFE-0BF5F0462CB4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617E42AF-26F7-4CC1-AA06-FD2C39933D7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49AA388B-748A-47D8-A813-E65A64980969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D0A1D935-0B14-4989-967A-3BE8430B4325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A661666-66D0-4E21-BA83-57C7743D2FD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8156F191-BBE7-4539-BB21-83963F5C5550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87BB60FA-1BC1-4C1E-81B5-D04347251C74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3A068009-8F58-4609-9205-3492191A6FA1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E86DD7B8-FF6D-4A54-828A-0975F27D9DED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31080AF6-2006-4C83-B73E-32B7A1A5D3EC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F32FB860-175D-4064-8BD8-59BF490AB6C8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2CF9C31E-EB91-4534-B292-186662BB48F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D59C9AE7-2576-4707-BA53-E5AB702618F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FB1F5ACB-3151-487D-8BB9-BA7E0C00DA74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36</xdr:row>
      <xdr:rowOff>95250</xdr:rowOff>
    </xdr:from>
    <xdr:to>
      <xdr:col>7</xdr:col>
      <xdr:colOff>152400</xdr:colOff>
      <xdr:row>40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E58C8F5-F312-4752-A0CE-8198690E6776}"/>
            </a:ext>
          </a:extLst>
        </xdr:cNvPr>
        <xdr:cNvCxnSpPr/>
      </xdr:nvCxnSpPr>
      <xdr:spPr>
        <a:xfrm flipV="1">
          <a:off x="3569970" y="10283190"/>
          <a:ext cx="1443990" cy="79438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6D4B7376-BD8A-43C6-B4C1-D60584BDF94C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ED68DAD5-802A-4A5F-BDA7-72BA44B35427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1FE62042-E886-4E70-99BB-F9890E91B9A3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39AB7B84-41E1-4A56-BBCF-F1DB057DBE70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93584006-0AB3-4181-8DD1-899089D7F3F5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E69A0985-4FC2-4013-9F42-E89284DF4B5F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B41A8BE-32DA-4222-AA59-7408AB186FF1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46C43735-3325-4289-8AC2-17CD1F42C86B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C6DD8DB3-A4FB-4495-8F3D-550DC4DD9E95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D7B26876-4867-4D55-ADD2-CC03B9E9ABA7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9DF42BA6-7E75-49B6-B82B-4F3F7F25953D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CD4A41FD-2A31-415F-AD58-E8FE6EFB0AF3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269D076E-8AD3-4457-AB23-DFD1EC0B7480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3F6EE14C-44F3-486C-9E50-EE4D8D163159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79490B99-90B4-4F37-89A0-B5B0309E9756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7D31416C-6154-441D-830D-6ADAF1A87A70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95250</xdr:rowOff>
    </xdr:from>
    <xdr:to>
      <xdr:col>7</xdr:col>
      <xdr:colOff>152400</xdr:colOff>
      <xdr:row>39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92755E5D-1559-4702-9195-568086B5F252}"/>
            </a:ext>
          </a:extLst>
        </xdr:cNvPr>
        <xdr:cNvCxnSpPr/>
      </xdr:nvCxnSpPr>
      <xdr:spPr>
        <a:xfrm flipV="1">
          <a:off x="3486150" y="78009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BD26DB44-B168-46AE-AD9B-10A2EB18A2E4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71D9DB34-C45B-4427-8C1F-58FF1A6CF6FB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3BDC2A04-8325-4784-A455-A6C108B45E5B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535ED725-3BFB-435A-B496-E1D0849627BC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191A705F-23A9-4FE8-9D36-6A820E08893D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2617DD01-3050-4A53-95D6-3712F41869A8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F5D05C98-7CAF-4F4B-A7AC-16A4AFAC9A76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35453C7F-76F1-4C54-AC6B-D712F32DBF89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FBF17745-5DAB-4993-B896-7A52F3404EA3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CDBE311C-D3F9-4766-9DF3-180DF6A0E429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AC0D8F49-56AE-4E26-8424-E3814F6A5C48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E1539F69-A6F4-47A0-856A-DCE32248CB61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1AE2ADAB-CC4F-492E-913A-231DF4F1597E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430D694B-71FC-4C7C-80A3-D3053563D0BF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18A41E22-616F-4649-A907-B141F739902A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741C9633-31D4-4372-93CB-7061F15BCB71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44</xdr:row>
      <xdr:rowOff>95250</xdr:rowOff>
    </xdr:from>
    <xdr:to>
      <xdr:col>7</xdr:col>
      <xdr:colOff>152400</xdr:colOff>
      <xdr:row>48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B29390C-9B32-454D-9D3E-13F60B4F19D2}"/>
            </a:ext>
          </a:extLst>
        </xdr:cNvPr>
        <xdr:cNvCxnSpPr/>
      </xdr:nvCxnSpPr>
      <xdr:spPr>
        <a:xfrm flipV="1">
          <a:off x="3476625" y="759142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1E87266E-7136-4412-BC5A-1230C78063F3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BACBB87A-BE62-446C-8ADD-BAF43C83F3B8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D06F3982-B062-4C0D-898C-614C0E04232A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5DBBDB03-6B18-42E4-A294-EEB516039BCB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EBE193D4-FA36-4C97-8EB5-380DE4E5AB83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D53977A3-D656-4FE7-91DF-DB9A1A32972E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99D81A67-AB90-44E4-A2E1-5AA209859937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E03E4F4F-EA24-4FCA-B01E-7C01FB138C65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29C2C4DC-3787-4EEF-8931-CC8D7671E6EF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BE8907C1-030B-4057-98CE-CC72372859FE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A2E7E3E5-29A4-496A-BA44-5E6FD2DB7F59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C4F1EF40-9606-4AB1-A2CF-67F30715C961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E05D6979-F819-4441-81D9-39E6463813BB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AC47D6BE-7AE8-459F-842D-5F49060BD760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30872576-F558-471E-B4C6-35E9CDC65625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6CA9FA4A-2291-46F4-8704-78CEA676C229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95250</xdr:rowOff>
    </xdr:from>
    <xdr:to>
      <xdr:col>7</xdr:col>
      <xdr:colOff>152400</xdr:colOff>
      <xdr:row>42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CF33ECF2-893F-4813-81B7-AAF792282770}"/>
            </a:ext>
          </a:extLst>
        </xdr:cNvPr>
        <xdr:cNvCxnSpPr/>
      </xdr:nvCxnSpPr>
      <xdr:spPr>
        <a:xfrm flipV="1">
          <a:off x="3476625" y="94773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4</xdr:row>
      <xdr:rowOff>142875</xdr:rowOff>
    </xdr:from>
    <xdr:to>
      <xdr:col>9</xdr:col>
      <xdr:colOff>323850</xdr:colOff>
      <xdr:row>14</xdr:row>
      <xdr:rowOff>123825</xdr:rowOff>
    </xdr:to>
    <xdr:sp macro="" textlink="">
      <xdr:nvSpPr>
        <xdr:cNvPr id="20" name="Abrir llave 19">
          <a:extLst>
            <a:ext uri="{FF2B5EF4-FFF2-40B4-BE49-F238E27FC236}">
              <a16:creationId xmlns:a16="http://schemas.microsoft.com/office/drawing/2014/main" id="{29092A93-0391-45E9-BB3A-2136BA0D1832}"/>
            </a:ext>
          </a:extLst>
        </xdr:cNvPr>
        <xdr:cNvSpPr/>
      </xdr:nvSpPr>
      <xdr:spPr>
        <a:xfrm>
          <a:off x="5676900" y="1133475"/>
          <a:ext cx="676275" cy="2085975"/>
        </a:xfrm>
        <a:prstGeom prst="lef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4E8C0CA5-BDBC-4029-A77A-3ABBED9F53D9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2D81BEED-B3B1-4E32-8F66-36D4DD99656B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8E261368-3A17-4FC6-8D8D-F9C41C163EA0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C39A2016-8C8C-4D80-8508-EC652055D3FD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7A631852-D23F-4031-8E6F-4428732B6DD0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A3495BF4-15A1-4C57-918F-897C2A1F27BB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DDD8CDBD-76D6-4634-B88C-9C3EB8F111F9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48085EFA-CA17-40FE-8C0F-FEBC66CE0EAD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095AC970-FC19-48BF-A986-7691DA312EEE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745A76CF-9DCB-4EEB-92ED-0AFF61D5BF73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5AC63045-7132-459C-91B6-B01C1A854C2A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41289F5C-1F19-4733-A052-B816D692048E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52F41202-47A1-4221-ACC8-DE146A573AB6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7EA9885B-763B-4AED-8FB5-D7D8EEDA21F5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EAE1DC82-0E1A-46D2-A406-286F68BF80F7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3880533B-9402-4EE9-A950-3E31E932435E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37</xdr:row>
      <xdr:rowOff>95250</xdr:rowOff>
    </xdr:from>
    <xdr:to>
      <xdr:col>7</xdr:col>
      <xdr:colOff>152400</xdr:colOff>
      <xdr:row>41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3F8A827F-E54F-419D-8622-EE70FF5FD5D3}"/>
            </a:ext>
          </a:extLst>
        </xdr:cNvPr>
        <xdr:cNvCxnSpPr/>
      </xdr:nvCxnSpPr>
      <xdr:spPr>
        <a:xfrm flipV="1">
          <a:off x="3476625" y="82200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4</xdr:row>
      <xdr:rowOff>142875</xdr:rowOff>
    </xdr:from>
    <xdr:to>
      <xdr:col>9</xdr:col>
      <xdr:colOff>342900</xdr:colOff>
      <xdr:row>15</xdr:row>
      <xdr:rowOff>66675</xdr:rowOff>
    </xdr:to>
    <xdr:sp macro="" textlink="">
      <xdr:nvSpPr>
        <xdr:cNvPr id="19" name="Abrir llave 18">
          <a:extLst>
            <a:ext uri="{FF2B5EF4-FFF2-40B4-BE49-F238E27FC236}">
              <a16:creationId xmlns:a16="http://schemas.microsoft.com/office/drawing/2014/main" id="{E2638D56-42F9-41E6-A3C7-A7B0391C3E21}"/>
            </a:ext>
          </a:extLst>
        </xdr:cNvPr>
        <xdr:cNvSpPr/>
      </xdr:nvSpPr>
      <xdr:spPr>
        <a:xfrm>
          <a:off x="5676900" y="1133475"/>
          <a:ext cx="695325" cy="2238375"/>
        </a:xfrm>
        <a:prstGeom prst="lef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D0779174-FB5F-4FC7-AF60-323717C7AEFD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72DD39BB-2EE5-4CB5-B21E-BA6E80F217FB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F485E070-4472-43DD-BF2E-190B81A2EFE0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B4D70623-5423-450E-9302-188CDB0DA82C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6C43B965-9CAA-4701-B9E1-4DD6FD33A3F1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68407964-73A1-40AD-BA97-FBE5F0C95939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5FCF4E71-3C75-4B9B-98DE-CF4C9A3539E4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75A4EF22-EDBF-401C-A4DB-522CBD4CB9F4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8796279B-8605-4A64-9192-49F7BC004A72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6FDCF50E-F0E4-4263-B52C-F4A8776CC1C5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A67CE3E9-3242-43F7-90AC-DEB30BA33A52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DD41068B-5BCD-4C26-A040-B9A934263E6C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28282971-2C8A-44B0-BA5F-E4027F474460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08B214A2-4EDD-4FE5-A61D-8A8ABCB36DE6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B0A7F56D-3DB9-4AA1-B60F-49576979F326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1251FFF5-CAE0-41D6-BED8-701E72109F2F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42</xdr:row>
      <xdr:rowOff>95250</xdr:rowOff>
    </xdr:from>
    <xdr:to>
      <xdr:col>7</xdr:col>
      <xdr:colOff>152400</xdr:colOff>
      <xdr:row>46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B10A1A26-ADDD-4DFF-9951-8F8735137EEB}"/>
            </a:ext>
          </a:extLst>
        </xdr:cNvPr>
        <xdr:cNvCxnSpPr/>
      </xdr:nvCxnSpPr>
      <xdr:spPr>
        <a:xfrm flipV="1">
          <a:off x="3476625" y="801052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4</xdr:row>
      <xdr:rowOff>142875</xdr:rowOff>
    </xdr:from>
    <xdr:to>
      <xdr:col>9</xdr:col>
      <xdr:colOff>342900</xdr:colOff>
      <xdr:row>15</xdr:row>
      <xdr:rowOff>66675</xdr:rowOff>
    </xdr:to>
    <xdr:sp macro="" textlink="">
      <xdr:nvSpPr>
        <xdr:cNvPr id="19" name="Abrir llave 18">
          <a:extLst>
            <a:ext uri="{FF2B5EF4-FFF2-40B4-BE49-F238E27FC236}">
              <a16:creationId xmlns:a16="http://schemas.microsoft.com/office/drawing/2014/main" id="{03468C8F-F540-43D5-BBC0-05A09E5306D0}"/>
            </a:ext>
          </a:extLst>
        </xdr:cNvPr>
        <xdr:cNvSpPr/>
      </xdr:nvSpPr>
      <xdr:spPr>
        <a:xfrm>
          <a:off x="5676900" y="1133475"/>
          <a:ext cx="695325" cy="2238375"/>
        </a:xfrm>
        <a:prstGeom prst="lef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7B7B3E96-B0A8-4EAE-AAB5-94027806764E}"/>
            </a:ext>
          </a:extLst>
        </xdr:cNvPr>
        <xdr:cNvCxnSpPr/>
      </xdr:nvCxnSpPr>
      <xdr:spPr>
        <a:xfrm>
          <a:off x="3476625" y="83820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E803D799-EF78-4713-99FE-1545F38AFC5F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C92EFE28-9267-43AC-8A0C-4D856CBCFC85}"/>
            </a:ext>
          </a:extLst>
        </xdr:cNvPr>
        <xdr:cNvCxnSpPr/>
      </xdr:nvCxnSpPr>
      <xdr:spPr>
        <a:xfrm>
          <a:off x="3476625" y="83820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6EFC89C1-2124-4667-A916-4E1E964B3FD8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73191306-069B-4D8B-B366-9EB382C3FF38}"/>
            </a:ext>
          </a:extLst>
        </xdr:cNvPr>
        <xdr:cNvCxnSpPr/>
      </xdr:nvCxnSpPr>
      <xdr:spPr>
        <a:xfrm>
          <a:off x="3476625" y="83820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3C62B9F3-C14A-4601-81A8-DF9FEBBEABC6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E047B056-20C2-4D3F-A8D7-A22839EDB560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EF36B85D-99CC-4307-9629-A98B984A323F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EFE0257B-82F5-4F02-B284-CC810B425D7E}"/>
            </a:ext>
          </a:extLst>
        </xdr:cNvPr>
        <xdr:cNvCxnSpPr/>
      </xdr:nvCxnSpPr>
      <xdr:spPr>
        <a:xfrm>
          <a:off x="3476625" y="83820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FC4DAC6A-5243-4342-9D5F-B0C067AC4572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9E85A61C-5056-42D6-B942-867ABA543BB1}"/>
            </a:ext>
          </a:extLst>
        </xdr:cNvPr>
        <xdr:cNvCxnSpPr/>
      </xdr:nvCxnSpPr>
      <xdr:spPr>
        <a:xfrm>
          <a:off x="3476625" y="83820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95183E8B-05CD-492D-B9C4-827679ADBEC8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318761A9-0A30-4DE7-9256-F8D5015A017D}"/>
            </a:ext>
          </a:extLst>
        </xdr:cNvPr>
        <xdr:cNvCxnSpPr/>
      </xdr:nvCxnSpPr>
      <xdr:spPr>
        <a:xfrm>
          <a:off x="3476625" y="83820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AF5DF3B6-9BCF-42C9-AB4A-B70FF2A7E86A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9E3FC742-B86D-41F5-AF3B-7468499E552D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405CBB9D-DC8C-4E72-9DC3-10C6325EC2CC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95250</xdr:rowOff>
    </xdr:from>
    <xdr:to>
      <xdr:col>7</xdr:col>
      <xdr:colOff>152400</xdr:colOff>
      <xdr:row>42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6761D1E5-908F-4EDC-82C3-013D5CCF8EB8}"/>
            </a:ext>
          </a:extLst>
        </xdr:cNvPr>
        <xdr:cNvCxnSpPr/>
      </xdr:nvCxnSpPr>
      <xdr:spPr>
        <a:xfrm flipV="1">
          <a:off x="3476625" y="90582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4</xdr:row>
      <xdr:rowOff>142875</xdr:rowOff>
    </xdr:from>
    <xdr:to>
      <xdr:col>9</xdr:col>
      <xdr:colOff>342900</xdr:colOff>
      <xdr:row>15</xdr:row>
      <xdr:rowOff>66675</xdr:rowOff>
    </xdr:to>
    <xdr:sp macro="" textlink="">
      <xdr:nvSpPr>
        <xdr:cNvPr id="19" name="Abrir llave 18">
          <a:extLst>
            <a:ext uri="{FF2B5EF4-FFF2-40B4-BE49-F238E27FC236}">
              <a16:creationId xmlns:a16="http://schemas.microsoft.com/office/drawing/2014/main" id="{A1F193C2-0FB1-4F8A-80FF-8DA06A3C4748}"/>
            </a:ext>
          </a:extLst>
        </xdr:cNvPr>
        <xdr:cNvSpPr/>
      </xdr:nvSpPr>
      <xdr:spPr>
        <a:xfrm>
          <a:off x="5676900" y="1133475"/>
          <a:ext cx="695325" cy="2238375"/>
        </a:xfrm>
        <a:prstGeom prst="lef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B1421B0B-28EB-4C4D-A6F4-B185DE4514CB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5F4D4B93-E658-41CE-984E-8F1712E814B5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F4E7869D-19DE-47AB-960E-C1FB19AEDA36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ECCEA260-542D-4276-B006-B6A0E6E7E788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41053764-7480-4206-8C41-8798F8767257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1DA1C60B-6C5A-4364-AAB3-797461033681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2295876F-206F-46FF-BB81-39B8B2800244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12A4CDD4-E973-4E4B-9BEE-50CB3C8B9FCB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14FF2BCF-7FD9-4521-B1AB-FE1AD1E4D5F6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C2F33105-AB1B-43F8-AE63-AABA761D5592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3B7F7D7E-C280-4682-AA8B-34D852F1D563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23014559-4B93-4638-B114-30A6411A03E2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F6307563-8A88-4FAF-AEFB-FD647E195439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83E77F5D-5048-4C01-9836-6BEBA9EAB2DB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BA76CAC0-D701-42F2-9797-028EC2AD5BEA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9161FF34-413A-4AAD-9226-A4BE5E408AC3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95250</xdr:rowOff>
    </xdr:from>
    <xdr:to>
      <xdr:col>7</xdr:col>
      <xdr:colOff>152400</xdr:colOff>
      <xdr:row>42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81EF46CD-A580-44FC-B9FD-F61F80DE3F6F}"/>
            </a:ext>
          </a:extLst>
        </xdr:cNvPr>
        <xdr:cNvCxnSpPr/>
      </xdr:nvCxnSpPr>
      <xdr:spPr>
        <a:xfrm flipV="1">
          <a:off x="3476625" y="82200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4</xdr:row>
      <xdr:rowOff>142875</xdr:rowOff>
    </xdr:from>
    <xdr:to>
      <xdr:col>9</xdr:col>
      <xdr:colOff>342900</xdr:colOff>
      <xdr:row>15</xdr:row>
      <xdr:rowOff>66675</xdr:rowOff>
    </xdr:to>
    <xdr:sp macro="" textlink="">
      <xdr:nvSpPr>
        <xdr:cNvPr id="19" name="Abrir llave 18">
          <a:extLst>
            <a:ext uri="{FF2B5EF4-FFF2-40B4-BE49-F238E27FC236}">
              <a16:creationId xmlns:a16="http://schemas.microsoft.com/office/drawing/2014/main" id="{63E6EF27-AF7C-4972-8EF3-54B6473458A5}"/>
            </a:ext>
          </a:extLst>
        </xdr:cNvPr>
        <xdr:cNvSpPr/>
      </xdr:nvSpPr>
      <xdr:spPr>
        <a:xfrm>
          <a:off x="5676900" y="1133475"/>
          <a:ext cx="695325" cy="2238375"/>
        </a:xfrm>
        <a:prstGeom prst="lef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M58"/>
  <sheetViews>
    <sheetView workbookViewId="0">
      <selection activeCell="I7" sqref="I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0.42578125" style="14" customWidth="1"/>
  </cols>
  <sheetData>
    <row r="1" spans="1:13" ht="23.25" x14ac:dyDescent="0.35">
      <c r="A1" s="1"/>
      <c r="B1" s="269" t="s">
        <v>28</v>
      </c>
      <c r="C1" s="269"/>
      <c r="D1" s="269"/>
      <c r="E1" s="269"/>
      <c r="F1" s="269"/>
      <c r="G1" s="269"/>
      <c r="H1" s="269"/>
      <c r="I1" s="269"/>
      <c r="J1" s="269"/>
      <c r="L1" s="3" t="s">
        <v>0</v>
      </c>
      <c r="M1" s="4"/>
    </row>
    <row r="2" spans="1:13" x14ac:dyDescent="0.25">
      <c r="A2" s="1"/>
      <c r="B2" s="5"/>
      <c r="D2" s="7"/>
      <c r="E2" s="8"/>
      <c r="L2" s="9"/>
      <c r="M2" s="4"/>
    </row>
    <row r="3" spans="1:13" ht="19.5" customHeight="1" thickBot="1" x14ac:dyDescent="0.35">
      <c r="A3" s="276" t="s">
        <v>1</v>
      </c>
      <c r="B3" s="277"/>
      <c r="C3" s="10"/>
      <c r="D3" s="270" t="s">
        <v>2</v>
      </c>
      <c r="E3" s="270"/>
      <c r="F3" s="270"/>
      <c r="G3" s="271">
        <v>2000</v>
      </c>
      <c r="H3" s="271"/>
      <c r="I3" s="5"/>
      <c r="L3" s="9"/>
      <c r="M3" s="4"/>
    </row>
    <row r="4" spans="1:13" ht="20.25" thickTop="1" thickBot="1" x14ac:dyDescent="0.35">
      <c r="A4" s="120"/>
      <c r="B4" s="11">
        <v>227176.14</v>
      </c>
      <c r="C4" s="12"/>
      <c r="D4" s="272" t="s">
        <v>3</v>
      </c>
      <c r="E4" s="273"/>
      <c r="H4" s="274" t="s">
        <v>4</v>
      </c>
      <c r="I4" s="275"/>
      <c r="J4" s="275"/>
      <c r="K4" s="275"/>
      <c r="L4" s="13" t="s">
        <v>5</v>
      </c>
    </row>
    <row r="5" spans="1:13" ht="17.25" thickTop="1" thickBot="1" x14ac:dyDescent="0.3">
      <c r="A5" s="15"/>
      <c r="B5" s="16">
        <v>0</v>
      </c>
      <c r="C5" s="12"/>
      <c r="D5" s="17">
        <v>43466</v>
      </c>
      <c r="E5" s="114">
        <v>0</v>
      </c>
      <c r="F5" s="19"/>
      <c r="G5" s="20">
        <v>43466</v>
      </c>
      <c r="H5" s="115">
        <v>0</v>
      </c>
      <c r="I5" s="21"/>
      <c r="J5" s="22"/>
      <c r="K5" s="22"/>
      <c r="L5" s="116">
        <v>0</v>
      </c>
      <c r="M5" s="24"/>
    </row>
    <row r="6" spans="1:13" ht="16.5" thickBot="1" x14ac:dyDescent="0.3">
      <c r="A6" s="25"/>
      <c r="B6" s="16">
        <v>0</v>
      </c>
      <c r="C6" s="12"/>
      <c r="D6" s="17">
        <v>43467</v>
      </c>
      <c r="E6" s="18">
        <v>84416.43</v>
      </c>
      <c r="F6" s="26"/>
      <c r="G6" s="20">
        <v>43467</v>
      </c>
      <c r="H6" s="27">
        <v>0</v>
      </c>
      <c r="I6" s="28"/>
      <c r="J6" s="2" t="s">
        <v>6</v>
      </c>
      <c r="K6" s="29">
        <v>549</v>
      </c>
      <c r="L6" s="23">
        <v>101082</v>
      </c>
      <c r="M6" s="24"/>
    </row>
    <row r="7" spans="1:13" ht="16.5" thickBot="1" x14ac:dyDescent="0.3">
      <c r="A7" s="25"/>
      <c r="B7" s="16">
        <v>0</v>
      </c>
      <c r="C7" s="12"/>
      <c r="D7" s="17">
        <v>43468</v>
      </c>
      <c r="E7" s="18">
        <v>80838.84</v>
      </c>
      <c r="G7" s="20">
        <v>43468</v>
      </c>
      <c r="H7" s="27">
        <v>0</v>
      </c>
      <c r="I7" s="30">
        <v>43819</v>
      </c>
      <c r="J7" s="31" t="s">
        <v>7</v>
      </c>
      <c r="K7" s="32">
        <v>8629.5</v>
      </c>
      <c r="L7" s="23">
        <f>5000+75839</f>
        <v>80839</v>
      </c>
      <c r="M7" s="33"/>
    </row>
    <row r="8" spans="1:13" ht="16.5" thickBot="1" x14ac:dyDescent="0.3">
      <c r="A8" s="25"/>
      <c r="B8" s="16">
        <v>0</v>
      </c>
      <c r="C8" s="34"/>
      <c r="D8" s="17">
        <v>43469</v>
      </c>
      <c r="E8" s="18">
        <v>115317.32</v>
      </c>
      <c r="G8" s="20">
        <v>43469</v>
      </c>
      <c r="H8" s="27">
        <v>60</v>
      </c>
      <c r="I8" s="28"/>
      <c r="J8" s="2" t="s">
        <v>8</v>
      </c>
      <c r="K8" s="35">
        <f>7187.5+7187.5+7187.5+7187.5</f>
        <v>28750</v>
      </c>
      <c r="L8" s="23">
        <v>114387.5</v>
      </c>
      <c r="M8" s="33"/>
    </row>
    <row r="9" spans="1:13" ht="16.5" thickBot="1" x14ac:dyDescent="0.3">
      <c r="A9" s="25"/>
      <c r="B9" s="16">
        <v>0</v>
      </c>
      <c r="C9" s="36"/>
      <c r="D9" s="17">
        <v>43470</v>
      </c>
      <c r="E9" s="18">
        <v>99559.6</v>
      </c>
      <c r="G9" s="20">
        <v>43470</v>
      </c>
      <c r="H9" s="27">
        <v>0</v>
      </c>
      <c r="I9" s="126">
        <v>43471</v>
      </c>
      <c r="J9" s="2" t="s">
        <v>24</v>
      </c>
      <c r="K9" s="29">
        <v>10035.790000000001</v>
      </c>
      <c r="L9" s="23">
        <f>30000+30000+20000+19560</f>
        <v>99560</v>
      </c>
      <c r="M9" s="33"/>
    </row>
    <row r="10" spans="1:13" ht="16.5" thickBot="1" x14ac:dyDescent="0.3">
      <c r="A10" s="25"/>
      <c r="B10" s="16">
        <v>0</v>
      </c>
      <c r="C10" s="34"/>
      <c r="D10" s="17">
        <v>43471</v>
      </c>
      <c r="E10" s="18">
        <v>134376.01</v>
      </c>
      <c r="G10" s="20">
        <v>43471</v>
      </c>
      <c r="H10" s="27">
        <v>0</v>
      </c>
      <c r="I10" s="37">
        <v>43478</v>
      </c>
      <c r="J10" s="2" t="s">
        <v>25</v>
      </c>
      <c r="K10" s="29">
        <v>9150.08</v>
      </c>
      <c r="L10" s="23">
        <f>100000+25000+9376</f>
        <v>134376</v>
      </c>
      <c r="M10" s="38"/>
    </row>
    <row r="11" spans="1:13" ht="16.5" thickBot="1" x14ac:dyDescent="0.3">
      <c r="A11" s="25"/>
      <c r="B11" s="16">
        <v>0</v>
      </c>
      <c r="C11" s="34"/>
      <c r="D11" s="17">
        <v>43472</v>
      </c>
      <c r="E11" s="18">
        <v>105955.58</v>
      </c>
      <c r="G11" s="20">
        <v>43472</v>
      </c>
      <c r="H11" s="27">
        <v>0</v>
      </c>
      <c r="I11" s="127">
        <v>43485</v>
      </c>
      <c r="J11" s="2" t="s">
        <v>26</v>
      </c>
      <c r="K11" s="29">
        <v>9150.08</v>
      </c>
      <c r="L11" s="23">
        <f>96000+9955</f>
        <v>105955</v>
      </c>
      <c r="M11" s="33"/>
    </row>
    <row r="12" spans="1:13" ht="16.5" thickBot="1" x14ac:dyDescent="0.3">
      <c r="A12" s="25"/>
      <c r="B12" s="16">
        <v>0</v>
      </c>
      <c r="C12" s="34"/>
      <c r="D12" s="17">
        <v>43473</v>
      </c>
      <c r="E12" s="18">
        <v>43640.61</v>
      </c>
      <c r="G12" s="20">
        <v>43473</v>
      </c>
      <c r="H12" s="27">
        <v>0</v>
      </c>
      <c r="I12" s="127">
        <v>43492</v>
      </c>
      <c r="J12" s="2" t="s">
        <v>27</v>
      </c>
      <c r="K12" s="29">
        <v>9150.08</v>
      </c>
      <c r="L12" s="23">
        <v>43641</v>
      </c>
      <c r="M12" s="39"/>
    </row>
    <row r="13" spans="1:13" ht="16.5" thickBot="1" x14ac:dyDescent="0.3">
      <c r="A13" s="25"/>
      <c r="B13" s="16">
        <v>0</v>
      </c>
      <c r="C13" s="34"/>
      <c r="D13" s="17">
        <v>43474</v>
      </c>
      <c r="E13" s="18">
        <v>51366.68</v>
      </c>
      <c r="G13" s="20">
        <v>43474</v>
      </c>
      <c r="H13" s="27">
        <v>0</v>
      </c>
      <c r="I13" s="127">
        <v>43498</v>
      </c>
      <c r="J13" s="2" t="s">
        <v>80</v>
      </c>
      <c r="K13" s="29">
        <v>9150.08</v>
      </c>
      <c r="L13" s="23">
        <v>49567</v>
      </c>
      <c r="M13" s="33"/>
    </row>
    <row r="14" spans="1:13" ht="16.5" thickBot="1" x14ac:dyDescent="0.3">
      <c r="A14" s="25"/>
      <c r="B14" s="16">
        <v>0</v>
      </c>
      <c r="C14" s="36"/>
      <c r="D14" s="17">
        <v>43475</v>
      </c>
      <c r="E14" s="18">
        <v>45956.83</v>
      </c>
      <c r="G14" s="20">
        <v>43475</v>
      </c>
      <c r="H14" s="27">
        <v>0</v>
      </c>
      <c r="I14" s="40"/>
      <c r="J14" s="41" t="s">
        <v>9</v>
      </c>
      <c r="K14" s="29">
        <v>0</v>
      </c>
      <c r="L14" s="23">
        <v>45957</v>
      </c>
      <c r="M14" s="33"/>
    </row>
    <row r="15" spans="1:13" ht="16.5" thickBot="1" x14ac:dyDescent="0.3">
      <c r="A15" s="25"/>
      <c r="B15" s="16">
        <v>0</v>
      </c>
      <c r="C15" s="36"/>
      <c r="D15" s="17">
        <v>43476</v>
      </c>
      <c r="E15" s="18">
        <v>85642.86</v>
      </c>
      <c r="G15" s="20">
        <v>43476</v>
      </c>
      <c r="H15" s="27">
        <v>0</v>
      </c>
      <c r="I15" s="28"/>
      <c r="J15" s="42"/>
      <c r="K15" s="29">
        <v>0</v>
      </c>
      <c r="L15" s="23">
        <v>85583</v>
      </c>
      <c r="M15" s="33"/>
    </row>
    <row r="16" spans="1:13" ht="16.5" thickBot="1" x14ac:dyDescent="0.3">
      <c r="A16" s="25"/>
      <c r="B16" s="16">
        <v>0</v>
      </c>
      <c r="C16" s="36"/>
      <c r="D16" s="17">
        <v>43477</v>
      </c>
      <c r="E16" s="18">
        <v>73495.31</v>
      </c>
      <c r="G16" s="20">
        <v>43477</v>
      </c>
      <c r="H16" s="27">
        <v>0</v>
      </c>
      <c r="I16" s="28"/>
      <c r="J16" s="43"/>
      <c r="K16" s="8">
        <v>0</v>
      </c>
      <c r="L16" s="23">
        <v>73495.5</v>
      </c>
      <c r="M16" s="33"/>
    </row>
    <row r="17" spans="1:13" ht="16.5" thickBot="1" x14ac:dyDescent="0.3">
      <c r="A17" s="25"/>
      <c r="B17" s="16">
        <v>0</v>
      </c>
      <c r="C17" s="36"/>
      <c r="D17" s="17">
        <v>43478</v>
      </c>
      <c r="E17" s="18">
        <v>100182.14</v>
      </c>
      <c r="G17" s="20">
        <v>43478</v>
      </c>
      <c r="H17" s="27">
        <v>0</v>
      </c>
      <c r="I17" s="44"/>
      <c r="K17" s="8">
        <v>0</v>
      </c>
      <c r="L17" s="23">
        <f>99982+200</f>
        <v>100182</v>
      </c>
      <c r="M17" s="33"/>
    </row>
    <row r="18" spans="1:13" ht="16.5" thickBot="1" x14ac:dyDescent="0.3">
      <c r="A18" s="25"/>
      <c r="B18" s="16">
        <v>0</v>
      </c>
      <c r="C18" s="34"/>
      <c r="D18" s="17">
        <v>43479</v>
      </c>
      <c r="E18" s="18">
        <v>80505.06</v>
      </c>
      <c r="G18" s="20">
        <v>43479</v>
      </c>
      <c r="H18" s="27">
        <v>0</v>
      </c>
      <c r="I18" s="44"/>
      <c r="K18" s="8">
        <v>0</v>
      </c>
      <c r="L18" s="23">
        <f>56505.5+24000</f>
        <v>80505.5</v>
      </c>
      <c r="M18" s="33"/>
    </row>
    <row r="19" spans="1:13" ht="16.5" thickBot="1" x14ac:dyDescent="0.3">
      <c r="A19" s="25"/>
      <c r="B19" s="16">
        <v>0</v>
      </c>
      <c r="C19" s="36"/>
      <c r="D19" s="17">
        <v>43480</v>
      </c>
      <c r="E19" s="18">
        <v>38828.769999999997</v>
      </c>
      <c r="G19" s="20">
        <v>43480</v>
      </c>
      <c r="H19" s="27">
        <v>0</v>
      </c>
      <c r="I19" s="28"/>
      <c r="K19" s="8">
        <v>0</v>
      </c>
      <c r="L19" s="23">
        <v>38829</v>
      </c>
      <c r="M19" s="45"/>
    </row>
    <row r="20" spans="1:13" ht="16.5" thickBot="1" x14ac:dyDescent="0.3">
      <c r="A20" s="25"/>
      <c r="B20" s="16">
        <v>0</v>
      </c>
      <c r="C20" s="46"/>
      <c r="D20" s="17">
        <v>43481</v>
      </c>
      <c r="E20" s="18">
        <v>48948.94</v>
      </c>
      <c r="G20" s="20">
        <v>43481</v>
      </c>
      <c r="H20" s="27">
        <v>0</v>
      </c>
      <c r="I20" s="47"/>
      <c r="J20" s="48"/>
      <c r="K20" s="28" t="s">
        <v>10</v>
      </c>
      <c r="L20" s="23">
        <v>48949</v>
      </c>
      <c r="M20" s="45"/>
    </row>
    <row r="21" spans="1:13" ht="16.5" thickBot="1" x14ac:dyDescent="0.3">
      <c r="A21" s="25"/>
      <c r="B21" s="16">
        <v>0</v>
      </c>
      <c r="C21" s="46"/>
      <c r="D21" s="17">
        <v>43482</v>
      </c>
      <c r="E21" s="18">
        <v>67412.820000000007</v>
      </c>
      <c r="G21" s="20">
        <v>43482</v>
      </c>
      <c r="H21" s="27">
        <v>36</v>
      </c>
      <c r="I21" s="33"/>
      <c r="J21" s="49"/>
      <c r="K21" s="28"/>
      <c r="L21" s="23">
        <v>67377</v>
      </c>
      <c r="M21" s="33"/>
    </row>
    <row r="22" spans="1:13" ht="16.5" thickBot="1" x14ac:dyDescent="0.3">
      <c r="A22" s="25"/>
      <c r="B22" s="16">
        <v>0</v>
      </c>
      <c r="C22" s="36"/>
      <c r="D22" s="17">
        <v>43483</v>
      </c>
      <c r="E22" s="18">
        <v>60301.51</v>
      </c>
      <c r="G22" s="20">
        <v>43483</v>
      </c>
      <c r="H22" s="27">
        <v>30</v>
      </c>
      <c r="I22" s="47" t="s">
        <v>11</v>
      </c>
      <c r="J22" s="50"/>
      <c r="K22" s="28">
        <v>0</v>
      </c>
      <c r="L22" s="23">
        <v>60271.5</v>
      </c>
      <c r="M22" s="45"/>
    </row>
    <row r="23" spans="1:13" ht="16.5" thickBot="1" x14ac:dyDescent="0.3">
      <c r="A23" s="25"/>
      <c r="B23" s="16">
        <v>0</v>
      </c>
      <c r="C23" s="36"/>
      <c r="D23" s="17">
        <v>43484</v>
      </c>
      <c r="E23" s="18">
        <v>93345.64</v>
      </c>
      <c r="G23" s="20">
        <v>43484</v>
      </c>
      <c r="H23" s="27">
        <v>0</v>
      </c>
      <c r="I23" s="28"/>
      <c r="J23" s="49"/>
      <c r="K23" s="28">
        <v>0</v>
      </c>
      <c r="L23" s="23">
        <f>30000+63346</f>
        <v>93346</v>
      </c>
      <c r="M23" s="33"/>
    </row>
    <row r="24" spans="1:13" ht="16.5" thickBot="1" x14ac:dyDescent="0.3">
      <c r="A24" s="25"/>
      <c r="B24" s="16">
        <v>0</v>
      </c>
      <c r="C24" s="36"/>
      <c r="D24" s="17">
        <v>43485</v>
      </c>
      <c r="E24" s="18">
        <v>92560.52</v>
      </c>
      <c r="G24" s="20">
        <v>43485</v>
      </c>
      <c r="H24" s="27">
        <v>0</v>
      </c>
      <c r="I24" s="28"/>
      <c r="J24" s="51"/>
      <c r="K24" s="28">
        <v>0</v>
      </c>
      <c r="L24" s="23">
        <v>92560</v>
      </c>
      <c r="M24" s="33"/>
    </row>
    <row r="25" spans="1:13" ht="16.5" thickBot="1" x14ac:dyDescent="0.3">
      <c r="A25" s="25"/>
      <c r="B25" s="16">
        <v>0</v>
      </c>
      <c r="C25" s="46"/>
      <c r="D25" s="17">
        <v>43486</v>
      </c>
      <c r="E25" s="18">
        <v>79490.5</v>
      </c>
      <c r="G25" s="20">
        <v>43486</v>
      </c>
      <c r="H25" s="27">
        <v>115</v>
      </c>
      <c r="I25" s="28"/>
      <c r="J25" s="52"/>
      <c r="K25" s="28"/>
      <c r="L25" s="23">
        <f>50000+29375.5</f>
        <v>79375.5</v>
      </c>
      <c r="M25" s="33"/>
    </row>
    <row r="26" spans="1:13" ht="16.5" thickBot="1" x14ac:dyDescent="0.3">
      <c r="A26" s="25"/>
      <c r="B26" s="16">
        <v>0</v>
      </c>
      <c r="C26" s="36"/>
      <c r="D26" s="17">
        <v>43487</v>
      </c>
      <c r="E26" s="18">
        <v>54332.55</v>
      </c>
      <c r="G26" s="20">
        <v>43487</v>
      </c>
      <c r="H26" s="27">
        <v>0</v>
      </c>
      <c r="I26" s="28" t="s">
        <v>38</v>
      </c>
      <c r="J26" s="53" t="s">
        <v>12</v>
      </c>
      <c r="K26" s="28">
        <v>1800</v>
      </c>
      <c r="L26" s="23">
        <v>54332.5</v>
      </c>
      <c r="M26" s="33"/>
    </row>
    <row r="27" spans="1:13" ht="16.5" thickBot="1" x14ac:dyDescent="0.3">
      <c r="A27" s="25"/>
      <c r="B27" s="16">
        <v>0</v>
      </c>
      <c r="C27" s="36"/>
      <c r="D27" s="17">
        <v>43488</v>
      </c>
      <c r="E27" s="18">
        <v>42899.74</v>
      </c>
      <c r="G27" s="20">
        <v>43488</v>
      </c>
      <c r="H27" s="27">
        <v>0</v>
      </c>
      <c r="I27" s="28"/>
      <c r="J27" s="54" t="s">
        <v>37</v>
      </c>
      <c r="K27" s="28">
        <v>0</v>
      </c>
      <c r="L27" s="23">
        <v>42900</v>
      </c>
      <c r="M27" s="33"/>
    </row>
    <row r="28" spans="1:13" ht="16.5" thickBot="1" x14ac:dyDescent="0.3">
      <c r="A28" s="25"/>
      <c r="B28" s="16">
        <v>0</v>
      </c>
      <c r="C28" s="36"/>
      <c r="D28" s="17">
        <v>43489</v>
      </c>
      <c r="E28" s="18">
        <v>43197.56</v>
      </c>
      <c r="G28" s="20">
        <v>43489</v>
      </c>
      <c r="H28" s="27">
        <v>0</v>
      </c>
      <c r="I28" s="28"/>
      <c r="J28" s="55" t="s">
        <v>13</v>
      </c>
      <c r="K28" s="28">
        <v>0</v>
      </c>
      <c r="L28" s="23">
        <v>43197.5</v>
      </c>
      <c r="M28" s="33"/>
    </row>
    <row r="29" spans="1:13" ht="16.5" thickBot="1" x14ac:dyDescent="0.3">
      <c r="A29" s="25"/>
      <c r="B29" s="16">
        <v>0</v>
      </c>
      <c r="C29" s="36"/>
      <c r="D29" s="17">
        <v>43490</v>
      </c>
      <c r="E29" s="18">
        <v>89195.06</v>
      </c>
      <c r="G29" s="20">
        <v>43490</v>
      </c>
      <c r="H29" s="27">
        <v>10</v>
      </c>
      <c r="I29" s="28" t="s">
        <v>11</v>
      </c>
      <c r="J29" s="52"/>
      <c r="K29" s="28">
        <v>0</v>
      </c>
      <c r="L29" s="23">
        <v>89185</v>
      </c>
      <c r="M29" s="33"/>
    </row>
    <row r="30" spans="1:13" ht="16.5" thickBot="1" x14ac:dyDescent="0.3">
      <c r="A30" s="25"/>
      <c r="B30" s="16">
        <v>0</v>
      </c>
      <c r="C30" s="46"/>
      <c r="D30" s="17">
        <v>43491</v>
      </c>
      <c r="E30" s="18">
        <v>85520.61</v>
      </c>
      <c r="G30" s="20">
        <v>43491</v>
      </c>
      <c r="H30" s="27">
        <v>0</v>
      </c>
      <c r="I30" s="28"/>
      <c r="J30" s="56" t="s">
        <v>14</v>
      </c>
      <c r="K30" s="28">
        <v>0</v>
      </c>
      <c r="L30" s="23">
        <f>50520+35000</f>
        <v>85520</v>
      </c>
      <c r="M30" s="33"/>
    </row>
    <row r="31" spans="1:13" ht="16.5" thickBot="1" x14ac:dyDescent="0.3">
      <c r="A31" s="25"/>
      <c r="B31" s="16">
        <v>0</v>
      </c>
      <c r="C31" s="46"/>
      <c r="D31" s="17">
        <v>43492</v>
      </c>
      <c r="E31" s="18">
        <v>75669.960000000006</v>
      </c>
      <c r="G31" s="20">
        <v>43492</v>
      </c>
      <c r="H31" s="27">
        <v>0</v>
      </c>
      <c r="I31" s="40"/>
      <c r="J31" s="57"/>
      <c r="K31" s="28">
        <v>0</v>
      </c>
      <c r="L31" s="23">
        <v>75670</v>
      </c>
      <c r="M31" s="33"/>
    </row>
    <row r="32" spans="1:13" ht="16.5" thickBot="1" x14ac:dyDescent="0.3">
      <c r="A32" s="25"/>
      <c r="B32" s="16">
        <v>0</v>
      </c>
      <c r="C32" s="34"/>
      <c r="D32" s="17">
        <v>43493</v>
      </c>
      <c r="E32" s="18">
        <v>69835.350000000006</v>
      </c>
      <c r="G32" s="20">
        <v>43493</v>
      </c>
      <c r="H32" s="27">
        <v>90</v>
      </c>
      <c r="I32" s="40"/>
      <c r="J32" s="56"/>
      <c r="K32" s="29">
        <v>0</v>
      </c>
      <c r="L32" s="23">
        <f>49745+20000</f>
        <v>69745</v>
      </c>
      <c r="M32" s="33"/>
    </row>
    <row r="33" spans="1:13" ht="16.5" thickBot="1" x14ac:dyDescent="0.3">
      <c r="A33" s="25"/>
      <c r="B33" s="16">
        <v>0</v>
      </c>
      <c r="C33" s="34"/>
      <c r="D33" s="17">
        <v>43494</v>
      </c>
      <c r="E33" s="18">
        <v>49010.8</v>
      </c>
      <c r="G33" s="20">
        <v>43494</v>
      </c>
      <c r="H33" s="27">
        <v>0</v>
      </c>
      <c r="I33" s="28"/>
      <c r="J33" s="56"/>
      <c r="K33" s="29"/>
      <c r="L33" s="23">
        <v>49011</v>
      </c>
      <c r="M33" s="33"/>
    </row>
    <row r="34" spans="1:13" ht="16.5" thickBot="1" x14ac:dyDescent="0.3">
      <c r="A34" s="25"/>
      <c r="B34" s="16">
        <v>0</v>
      </c>
      <c r="C34" s="46"/>
      <c r="D34" s="17">
        <v>43495</v>
      </c>
      <c r="E34" s="18">
        <v>74802</v>
      </c>
      <c r="G34" s="20">
        <v>43495</v>
      </c>
      <c r="H34" s="27">
        <v>36</v>
      </c>
      <c r="I34" s="28"/>
      <c r="J34" s="56"/>
      <c r="K34" s="29"/>
      <c r="L34" s="23">
        <f>55000+19766</f>
        <v>74766</v>
      </c>
      <c r="M34" s="33"/>
    </row>
    <row r="35" spans="1:13" ht="16.5" thickBot="1" x14ac:dyDescent="0.3">
      <c r="A35" s="25"/>
      <c r="B35" s="16">
        <v>0</v>
      </c>
      <c r="C35" s="12"/>
      <c r="D35" s="17">
        <v>43496</v>
      </c>
      <c r="E35" s="18">
        <v>48590.400000000001</v>
      </c>
      <c r="G35" s="20">
        <v>43496</v>
      </c>
      <c r="H35" s="27">
        <v>0</v>
      </c>
      <c r="I35" s="28"/>
      <c r="J35" s="56"/>
      <c r="K35" s="29"/>
      <c r="L35" s="23">
        <v>48590</v>
      </c>
      <c r="M35" s="33"/>
    </row>
    <row r="36" spans="1:13" ht="16.5" thickBot="1" x14ac:dyDescent="0.3">
      <c r="A36" s="1"/>
      <c r="B36" s="16">
        <v>0</v>
      </c>
      <c r="C36" s="12"/>
      <c r="D36" s="121">
        <v>43497</v>
      </c>
      <c r="E36" s="118">
        <v>88434.27</v>
      </c>
      <c r="G36" s="122">
        <v>43497</v>
      </c>
      <c r="H36" s="119">
        <v>0</v>
      </c>
      <c r="I36" s="28"/>
      <c r="J36" s="56"/>
      <c r="K36" s="29"/>
      <c r="L36" s="23">
        <v>88434.5</v>
      </c>
      <c r="M36" s="33"/>
    </row>
    <row r="37" spans="1:13" ht="16.5" thickBot="1" x14ac:dyDescent="0.3">
      <c r="A37" s="1"/>
      <c r="B37" s="16">
        <v>0</v>
      </c>
      <c r="C37" s="12"/>
      <c r="D37" s="121">
        <v>43498</v>
      </c>
      <c r="E37" s="118">
        <v>134429.10999999999</v>
      </c>
      <c r="G37" s="122">
        <v>43498</v>
      </c>
      <c r="H37" s="119">
        <v>0</v>
      </c>
      <c r="I37" s="28"/>
      <c r="J37" s="56"/>
      <c r="K37" s="29"/>
      <c r="L37" s="23">
        <f>70000+64429</f>
        <v>134429</v>
      </c>
      <c r="M37" s="33"/>
    </row>
    <row r="38" spans="1:13" ht="16.5" thickBot="1" x14ac:dyDescent="0.3">
      <c r="A38" s="1"/>
      <c r="B38" s="16">
        <v>0</v>
      </c>
      <c r="C38" s="12"/>
      <c r="D38" s="121">
        <v>43499</v>
      </c>
      <c r="E38" s="118">
        <v>81125.11</v>
      </c>
      <c r="G38" s="122">
        <v>43499</v>
      </c>
      <c r="H38" s="119">
        <v>0</v>
      </c>
      <c r="I38" s="28"/>
      <c r="J38" s="56"/>
      <c r="K38" s="29"/>
      <c r="L38" s="23">
        <v>81125</v>
      </c>
      <c r="M38" s="33"/>
    </row>
    <row r="39" spans="1:13" ht="16.5" thickBot="1" x14ac:dyDescent="0.3">
      <c r="A39" s="1"/>
      <c r="B39" s="16">
        <v>0</v>
      </c>
      <c r="C39" s="12"/>
      <c r="D39" s="121">
        <v>43500</v>
      </c>
      <c r="E39" s="118">
        <v>86953.88</v>
      </c>
      <c r="G39" s="122">
        <v>43500</v>
      </c>
      <c r="H39" s="119">
        <v>110</v>
      </c>
      <c r="I39" s="28"/>
      <c r="J39" s="56"/>
      <c r="K39" s="29"/>
      <c r="L39" s="23">
        <v>86844</v>
      </c>
      <c r="M39" s="33"/>
    </row>
    <row r="40" spans="1:13" ht="16.5" thickBot="1" x14ac:dyDescent="0.3">
      <c r="A40" s="1"/>
      <c r="B40" s="16">
        <v>0</v>
      </c>
      <c r="C40" s="12"/>
      <c r="D40" s="121">
        <v>43501</v>
      </c>
      <c r="E40" s="118">
        <v>43511.62</v>
      </c>
      <c r="G40" s="122">
        <v>43501</v>
      </c>
      <c r="H40" s="119">
        <v>0</v>
      </c>
      <c r="I40" s="28"/>
      <c r="J40" s="56"/>
      <c r="K40" s="29"/>
      <c r="L40" s="23">
        <v>43511.5</v>
      </c>
      <c r="M40" s="33"/>
    </row>
    <row r="41" spans="1:13" ht="16.5" thickBot="1" x14ac:dyDescent="0.3">
      <c r="A41" s="1"/>
      <c r="B41" s="16">
        <v>0</v>
      </c>
      <c r="C41" s="12"/>
      <c r="D41" s="121">
        <v>43502</v>
      </c>
      <c r="E41" s="118">
        <v>51371.4</v>
      </c>
      <c r="G41" s="122">
        <v>43502</v>
      </c>
      <c r="H41" s="119">
        <v>120.8</v>
      </c>
      <c r="I41" s="28"/>
      <c r="J41" s="56" t="s">
        <v>79</v>
      </c>
      <c r="K41" s="29">
        <v>870</v>
      </c>
      <c r="L41" s="23">
        <v>50380.5</v>
      </c>
      <c r="M41" s="33"/>
    </row>
    <row r="42" spans="1:13" ht="16.5" thickBot="1" x14ac:dyDescent="0.3">
      <c r="A42" s="1"/>
      <c r="B42" s="16">
        <v>0</v>
      </c>
      <c r="C42" s="12"/>
      <c r="D42" s="121">
        <v>43503</v>
      </c>
      <c r="E42" s="118">
        <v>62217.26</v>
      </c>
      <c r="G42" s="122">
        <v>43503</v>
      </c>
      <c r="H42" s="119">
        <v>0</v>
      </c>
      <c r="I42" s="28"/>
      <c r="J42" s="52">
        <v>43502</v>
      </c>
      <c r="K42" s="29"/>
      <c r="L42" s="23">
        <v>62217</v>
      </c>
      <c r="M42" s="33"/>
    </row>
    <row r="43" spans="1:13" ht="16.5" thickBot="1" x14ac:dyDescent="0.3">
      <c r="A43" s="1"/>
      <c r="B43" s="16">
        <v>0</v>
      </c>
      <c r="C43" s="12"/>
      <c r="D43" s="121">
        <v>43504</v>
      </c>
      <c r="E43" s="118">
        <v>79672.429999999993</v>
      </c>
      <c r="G43" s="122">
        <v>43504</v>
      </c>
      <c r="H43" s="119">
        <v>96</v>
      </c>
      <c r="I43" s="28"/>
      <c r="J43" s="56"/>
      <c r="K43" s="29"/>
      <c r="L43" s="23">
        <v>79576.5</v>
      </c>
      <c r="M43" s="33"/>
    </row>
    <row r="44" spans="1:13" ht="16.5" thickBot="1" x14ac:dyDescent="0.3">
      <c r="A44" s="1"/>
      <c r="B44" s="16">
        <v>0</v>
      </c>
      <c r="C44" s="12"/>
      <c r="D44" s="128">
        <v>43505</v>
      </c>
      <c r="E44" s="118">
        <v>78362.3</v>
      </c>
      <c r="G44" s="122">
        <v>43505</v>
      </c>
      <c r="H44" s="119">
        <v>0</v>
      </c>
      <c r="I44" s="28"/>
      <c r="J44" s="56"/>
      <c r="K44" s="29"/>
      <c r="L44" s="23">
        <v>79362.5</v>
      </c>
      <c r="M44" s="33"/>
    </row>
    <row r="45" spans="1:13" ht="16.5" thickBot="1" x14ac:dyDescent="0.3">
      <c r="A45" s="58"/>
      <c r="B45" s="16">
        <v>0</v>
      </c>
      <c r="C45" s="12"/>
      <c r="D45" s="130"/>
      <c r="E45" s="132">
        <v>0</v>
      </c>
      <c r="F45" s="131"/>
      <c r="G45" s="129"/>
      <c r="H45" s="133"/>
      <c r="I45" s="5"/>
      <c r="J45" s="56"/>
      <c r="K45" s="59"/>
      <c r="L45" s="60">
        <f>SUM(L5:L44)</f>
        <v>2934636</v>
      </c>
      <c r="M45" s="4"/>
    </row>
    <row r="46" spans="1:13" ht="15.75" thickBot="1" x14ac:dyDescent="0.3">
      <c r="A46" s="61" t="s">
        <v>15</v>
      </c>
      <c r="B46" s="62">
        <f>SUM(B5:B45)</f>
        <v>0</v>
      </c>
      <c r="D46" s="63" t="s">
        <v>15</v>
      </c>
      <c r="E46" s="64">
        <f>SUM(E5:E45)</f>
        <v>2921273.3799999994</v>
      </c>
      <c r="G46" s="7" t="s">
        <v>15</v>
      </c>
      <c r="H46" s="132">
        <f>SUM(H5:H45)</f>
        <v>703.8</v>
      </c>
      <c r="I46" s="28"/>
      <c r="J46" s="65" t="s">
        <v>15</v>
      </c>
      <c r="K46" s="29">
        <f>SUM(K5:K45)</f>
        <v>87234.61</v>
      </c>
      <c r="L46" s="9"/>
      <c r="M46" s="4"/>
    </row>
    <row r="47" spans="1:13" x14ac:dyDescent="0.25">
      <c r="A47" s="1"/>
      <c r="B47" s="5"/>
      <c r="E47" s="5"/>
      <c r="I47" s="5"/>
      <c r="L47" s="9"/>
      <c r="M47" s="4"/>
    </row>
    <row r="48" spans="1:13" ht="16.5" thickBot="1" x14ac:dyDescent="0.3">
      <c r="A48" s="1"/>
      <c r="B48" s="5">
        <v>0</v>
      </c>
      <c r="E48" s="5"/>
      <c r="G48" s="292" t="s">
        <v>16</v>
      </c>
      <c r="H48" s="293"/>
      <c r="I48" s="66"/>
      <c r="J48" s="294">
        <f>H46+K46</f>
        <v>87938.41</v>
      </c>
      <c r="K48" s="295"/>
      <c r="L48" s="67"/>
      <c r="M48" s="68"/>
    </row>
    <row r="49" spans="1:13" ht="15.75" x14ac:dyDescent="0.25">
      <c r="A49" s="1"/>
      <c r="B49" s="69"/>
      <c r="C49" s="278" t="s">
        <v>17</v>
      </c>
      <c r="D49" s="278"/>
      <c r="E49" s="70">
        <f>E46-J48</f>
        <v>2833334.9699999993</v>
      </c>
      <c r="F49" s="71"/>
      <c r="G49" s="71"/>
      <c r="H49" s="72"/>
      <c r="I49" s="72"/>
      <c r="J49" s="73"/>
      <c r="K49" s="74"/>
      <c r="L49" s="67"/>
      <c r="M49" s="68"/>
    </row>
    <row r="50" spans="1:13" x14ac:dyDescent="0.25">
      <c r="A50" s="1"/>
      <c r="B50" s="75"/>
      <c r="D50" s="2" t="s">
        <v>18</v>
      </c>
      <c r="E50" s="28">
        <v>44873.4</v>
      </c>
      <c r="H50" s="279" t="s">
        <v>19</v>
      </c>
      <c r="I50" s="279"/>
      <c r="J50" s="279">
        <f>E54</f>
        <v>420646.88999999932</v>
      </c>
      <c r="K50" s="280"/>
      <c r="L50" s="67"/>
      <c r="M50" s="68"/>
    </row>
    <row r="51" spans="1:13" ht="15.75" thickBot="1" x14ac:dyDescent="0.3">
      <c r="A51" s="1"/>
      <c r="B51" s="75" t="s">
        <v>11</v>
      </c>
      <c r="C51" s="6" t="s">
        <v>20</v>
      </c>
      <c r="E51" s="76">
        <v>-2647472.86</v>
      </c>
      <c r="H51" s="281" t="s">
        <v>1</v>
      </c>
      <c r="I51" s="281"/>
      <c r="J51" s="282">
        <f>-B4</f>
        <v>-227176.14</v>
      </c>
      <c r="K51" s="283"/>
      <c r="L51" s="67"/>
      <c r="M51" s="68"/>
    </row>
    <row r="52" spans="1:13" ht="20.25" thickTop="1" thickBot="1" x14ac:dyDescent="0.3">
      <c r="A52" s="1"/>
      <c r="B52" s="75"/>
      <c r="D52" s="2" t="s">
        <v>21</v>
      </c>
      <c r="E52" s="28">
        <f>SUM(E49:E51)</f>
        <v>230735.50999999931</v>
      </c>
      <c r="H52" s="284" t="s">
        <v>88</v>
      </c>
      <c r="I52" s="285"/>
      <c r="J52" s="286">
        <f>SUM(J49:K51)</f>
        <v>193470.7499999993</v>
      </c>
      <c r="K52" s="287"/>
      <c r="L52" s="67"/>
      <c r="M52" s="68"/>
    </row>
    <row r="53" spans="1:13" ht="16.5" thickBot="1" x14ac:dyDescent="0.3">
      <c r="A53" s="1"/>
      <c r="B53" s="75"/>
      <c r="C53" s="10" t="s">
        <v>22</v>
      </c>
      <c r="D53" s="77"/>
      <c r="E53" s="78">
        <v>189911.38</v>
      </c>
      <c r="J53" s="288"/>
      <c r="K53" s="289"/>
      <c r="L53" s="67"/>
      <c r="M53" s="68"/>
    </row>
    <row r="54" spans="1:13" ht="19.5" thickBot="1" x14ac:dyDescent="0.3">
      <c r="A54" s="1"/>
      <c r="B54" s="79"/>
      <c r="C54" s="80"/>
      <c r="D54" s="80" t="s">
        <v>23</v>
      </c>
      <c r="E54" s="81">
        <f>E53+E52</f>
        <v>420646.88999999932</v>
      </c>
      <c r="F54" s="82"/>
      <c r="G54" s="82"/>
      <c r="H54" s="83"/>
      <c r="I54" s="84"/>
      <c r="J54" s="290"/>
      <c r="K54" s="291"/>
      <c r="L54" s="67"/>
      <c r="M54" s="68"/>
    </row>
    <row r="58" spans="1:13" x14ac:dyDescent="0.25">
      <c r="D58" s="2" t="s">
        <v>11</v>
      </c>
    </row>
  </sheetData>
  <mergeCells count="17">
    <mergeCell ref="H52:I52"/>
    <mergeCell ref="J52:K52"/>
    <mergeCell ref="J53:K53"/>
    <mergeCell ref="J54:K54"/>
    <mergeCell ref="G48:H48"/>
    <mergeCell ref="J48:K48"/>
    <mergeCell ref="C49:D49"/>
    <mergeCell ref="H50:I50"/>
    <mergeCell ref="J50:K50"/>
    <mergeCell ref="H51:I51"/>
    <mergeCell ref="J51:K51"/>
    <mergeCell ref="B1:J1"/>
    <mergeCell ref="D3:F3"/>
    <mergeCell ref="G3:H3"/>
    <mergeCell ref="D4:E4"/>
    <mergeCell ref="H4:K4"/>
    <mergeCell ref="A3:B3"/>
  </mergeCells>
  <pageMargins left="0.31496062992125984" right="0.11811023622047245" top="0.55118110236220474" bottom="0.55118110236220474" header="0.31496062992125984" footer="0.31496062992125984"/>
  <pageSetup scale="7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F4EF9-F82A-4E04-B69E-F826264E9343}">
  <sheetPr>
    <tabColor rgb="FF00FF00"/>
  </sheetPr>
  <dimension ref="A1:J40"/>
  <sheetViews>
    <sheetView topLeftCell="A22" workbookViewId="0">
      <selection activeCell="I36" sqref="I3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96" t="s">
        <v>29</v>
      </c>
      <c r="D1" s="297"/>
      <c r="E1" s="298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99" t="s">
        <v>35</v>
      </c>
      <c r="I2" s="300"/>
      <c r="J2" s="301"/>
    </row>
    <row r="3" spans="1:10" x14ac:dyDescent="0.25">
      <c r="A3" s="90">
        <v>43594</v>
      </c>
      <c r="B3" s="91" t="s">
        <v>206</v>
      </c>
      <c r="C3" s="92">
        <v>131595.85999999999</v>
      </c>
      <c r="D3" s="117"/>
      <c r="E3" s="92"/>
      <c r="F3" s="94">
        <f t="shared" ref="F3:F39" si="0">C3-E3</f>
        <v>131595.85999999999</v>
      </c>
      <c r="H3" s="302"/>
      <c r="I3" s="303"/>
      <c r="J3" s="304"/>
    </row>
    <row r="4" spans="1:10" x14ac:dyDescent="0.25">
      <c r="A4" s="90">
        <v>43595</v>
      </c>
      <c r="B4" s="156" t="s">
        <v>207</v>
      </c>
      <c r="C4" s="92">
        <v>104475</v>
      </c>
      <c r="D4" s="117"/>
      <c r="E4" s="95"/>
      <c r="F4" s="96">
        <f t="shared" si="0"/>
        <v>104475</v>
      </c>
      <c r="H4" s="302"/>
      <c r="I4" s="303"/>
      <c r="J4" s="304"/>
    </row>
    <row r="5" spans="1:10" ht="15.75" thickBot="1" x14ac:dyDescent="0.3">
      <c r="A5" s="97">
        <v>43595</v>
      </c>
      <c r="B5" s="98" t="s">
        <v>208</v>
      </c>
      <c r="C5" s="95">
        <v>65860.5</v>
      </c>
      <c r="D5" s="117"/>
      <c r="E5" s="95"/>
      <c r="F5" s="96">
        <f t="shared" si="0"/>
        <v>65860.5</v>
      </c>
      <c r="H5" s="305"/>
      <c r="I5" s="306"/>
      <c r="J5" s="307"/>
    </row>
    <row r="6" spans="1:10" x14ac:dyDescent="0.25">
      <c r="A6" s="97">
        <v>43596</v>
      </c>
      <c r="B6" s="143" t="s">
        <v>209</v>
      </c>
      <c r="C6" s="95">
        <v>142557.68</v>
      </c>
      <c r="D6" s="117"/>
      <c r="E6" s="95"/>
      <c r="F6" s="99">
        <f t="shared" si="0"/>
        <v>142557.68</v>
      </c>
    </row>
    <row r="7" spans="1:10" x14ac:dyDescent="0.25">
      <c r="A7" s="97">
        <v>43599</v>
      </c>
      <c r="B7" s="143" t="s">
        <v>210</v>
      </c>
      <c r="C7" s="95">
        <v>9322.6200000000008</v>
      </c>
      <c r="D7" s="117"/>
      <c r="E7" s="95"/>
      <c r="F7" s="99">
        <f t="shared" si="0"/>
        <v>9322.6200000000008</v>
      </c>
    </row>
    <row r="8" spans="1:10" x14ac:dyDescent="0.25">
      <c r="A8" s="97">
        <v>43600</v>
      </c>
      <c r="B8" s="143" t="s">
        <v>211</v>
      </c>
      <c r="C8" s="95">
        <v>102379.29</v>
      </c>
      <c r="D8" s="117"/>
      <c r="E8" s="95"/>
      <c r="F8" s="99">
        <f t="shared" si="0"/>
        <v>102379.29</v>
      </c>
    </row>
    <row r="9" spans="1:10" x14ac:dyDescent="0.25">
      <c r="A9" s="97">
        <v>43600</v>
      </c>
      <c r="B9" s="143" t="s">
        <v>212</v>
      </c>
      <c r="C9" s="95">
        <v>49983.54</v>
      </c>
      <c r="D9" s="117"/>
      <c r="E9" s="95"/>
      <c r="F9" s="99">
        <f t="shared" si="0"/>
        <v>49983.54</v>
      </c>
    </row>
    <row r="10" spans="1:10" x14ac:dyDescent="0.25">
      <c r="A10" s="97">
        <v>43601</v>
      </c>
      <c r="B10" s="143" t="s">
        <v>213</v>
      </c>
      <c r="C10" s="95">
        <v>73499.199999999997</v>
      </c>
      <c r="D10" s="117"/>
      <c r="E10" s="95"/>
      <c r="F10" s="99">
        <f t="shared" si="0"/>
        <v>73499.199999999997</v>
      </c>
    </row>
    <row r="11" spans="1:10" x14ac:dyDescent="0.25">
      <c r="A11" s="97">
        <v>43602</v>
      </c>
      <c r="B11" s="144" t="s">
        <v>214</v>
      </c>
      <c r="C11" s="95">
        <v>143414.1</v>
      </c>
      <c r="D11" s="117"/>
      <c r="E11" s="95"/>
      <c r="F11" s="99">
        <f t="shared" si="0"/>
        <v>143414.1</v>
      </c>
    </row>
    <row r="12" spans="1:10" x14ac:dyDescent="0.25">
      <c r="A12" s="97">
        <v>43603</v>
      </c>
      <c r="B12" s="143" t="s">
        <v>215</v>
      </c>
      <c r="C12" s="95">
        <v>63912.68</v>
      </c>
      <c r="D12" s="117"/>
      <c r="E12" s="95"/>
      <c r="F12" s="99">
        <f t="shared" si="0"/>
        <v>63912.68</v>
      </c>
    </row>
    <row r="13" spans="1:10" x14ac:dyDescent="0.25">
      <c r="A13" s="101">
        <v>43604</v>
      </c>
      <c r="B13" s="145" t="s">
        <v>216</v>
      </c>
      <c r="C13" s="95">
        <v>22729</v>
      </c>
      <c r="D13" s="117"/>
      <c r="E13" s="95"/>
      <c r="F13" s="99">
        <f t="shared" si="0"/>
        <v>22729</v>
      </c>
    </row>
    <row r="14" spans="1:10" x14ac:dyDescent="0.25">
      <c r="A14" s="101">
        <v>43595</v>
      </c>
      <c r="B14" s="145" t="s">
        <v>217</v>
      </c>
      <c r="C14" s="95">
        <v>102962.56</v>
      </c>
      <c r="D14" s="117"/>
      <c r="E14" s="95"/>
      <c r="F14" s="99">
        <f t="shared" si="0"/>
        <v>102962.56</v>
      </c>
    </row>
    <row r="15" spans="1:10" x14ac:dyDescent="0.25">
      <c r="A15" s="101">
        <v>43607</v>
      </c>
      <c r="B15" s="145" t="s">
        <v>218</v>
      </c>
      <c r="C15" s="95">
        <v>55582.44</v>
      </c>
      <c r="D15" s="117"/>
      <c r="E15" s="95"/>
      <c r="F15" s="99">
        <f t="shared" si="0"/>
        <v>55582.44</v>
      </c>
    </row>
    <row r="16" spans="1:10" x14ac:dyDescent="0.25">
      <c r="A16" s="101">
        <v>43609</v>
      </c>
      <c r="B16" s="145" t="s">
        <v>219</v>
      </c>
      <c r="C16" s="95">
        <v>75684</v>
      </c>
      <c r="D16" s="117"/>
      <c r="E16" s="95"/>
      <c r="F16" s="99">
        <f t="shared" si="0"/>
        <v>75684</v>
      </c>
    </row>
    <row r="17" spans="1:6" x14ac:dyDescent="0.25">
      <c r="A17" s="101">
        <v>43609</v>
      </c>
      <c r="B17" s="145" t="s">
        <v>220</v>
      </c>
      <c r="C17" s="95">
        <v>56474.5</v>
      </c>
      <c r="D17" s="117"/>
      <c r="E17" s="95"/>
      <c r="F17" s="99">
        <f t="shared" si="0"/>
        <v>56474.5</v>
      </c>
    </row>
    <row r="18" spans="1:6" x14ac:dyDescent="0.25">
      <c r="A18" s="101">
        <v>43611</v>
      </c>
      <c r="B18" s="145" t="s">
        <v>221</v>
      </c>
      <c r="C18" s="95">
        <v>120212.4</v>
      </c>
      <c r="D18" s="117"/>
      <c r="E18" s="95"/>
      <c r="F18" s="99">
        <f t="shared" si="0"/>
        <v>120212.4</v>
      </c>
    </row>
    <row r="19" spans="1:6" x14ac:dyDescent="0.25">
      <c r="A19" s="101">
        <v>43611</v>
      </c>
      <c r="B19" s="145" t="s">
        <v>222</v>
      </c>
      <c r="C19" s="95">
        <v>16597.2</v>
      </c>
      <c r="D19" s="117"/>
      <c r="E19" s="95"/>
      <c r="F19" s="99">
        <f t="shared" si="0"/>
        <v>16597.2</v>
      </c>
    </row>
    <row r="20" spans="1:6" x14ac:dyDescent="0.25">
      <c r="A20" s="101">
        <v>43611</v>
      </c>
      <c r="B20" s="102" t="s">
        <v>223</v>
      </c>
      <c r="C20" s="95">
        <v>5674.56</v>
      </c>
      <c r="D20" s="117"/>
      <c r="E20" s="95"/>
      <c r="F20" s="99">
        <f t="shared" si="0"/>
        <v>5674.56</v>
      </c>
    </row>
    <row r="21" spans="1:6" x14ac:dyDescent="0.25">
      <c r="A21" s="101">
        <v>43612</v>
      </c>
      <c r="B21" s="102" t="s">
        <v>224</v>
      </c>
      <c r="C21" s="95">
        <v>6431.4</v>
      </c>
      <c r="D21" s="117"/>
      <c r="E21" s="95"/>
      <c r="F21" s="99">
        <f t="shared" si="0"/>
        <v>6431.4</v>
      </c>
    </row>
    <row r="22" spans="1:6" x14ac:dyDescent="0.25">
      <c r="A22" s="101">
        <v>43613</v>
      </c>
      <c r="B22" s="102" t="s">
        <v>225</v>
      </c>
      <c r="C22" s="95">
        <v>102365.48</v>
      </c>
      <c r="D22" s="117"/>
      <c r="E22" s="95"/>
      <c r="F22" s="99">
        <f t="shared" si="0"/>
        <v>102365.48</v>
      </c>
    </row>
    <row r="23" spans="1:6" x14ac:dyDescent="0.25">
      <c r="A23" s="101">
        <v>43614</v>
      </c>
      <c r="B23" s="102" t="s">
        <v>226</v>
      </c>
      <c r="C23" s="95">
        <v>45375.5</v>
      </c>
      <c r="D23" s="117"/>
      <c r="E23" s="95"/>
      <c r="F23" s="99">
        <f t="shared" si="0"/>
        <v>45375.5</v>
      </c>
    </row>
    <row r="24" spans="1:6" x14ac:dyDescent="0.25">
      <c r="A24" s="101">
        <v>43614</v>
      </c>
      <c r="B24" s="102" t="s">
        <v>227</v>
      </c>
      <c r="C24" s="95">
        <v>14862.4</v>
      </c>
      <c r="D24" s="117"/>
      <c r="E24" s="95"/>
      <c r="F24" s="99">
        <f t="shared" si="0"/>
        <v>14862.4</v>
      </c>
    </row>
    <row r="25" spans="1:6" x14ac:dyDescent="0.25">
      <c r="A25" s="101">
        <v>43615</v>
      </c>
      <c r="B25" s="102" t="s">
        <v>228</v>
      </c>
      <c r="C25" s="95">
        <v>128735.16</v>
      </c>
      <c r="D25" s="117"/>
      <c r="E25" s="95"/>
      <c r="F25" s="99">
        <f t="shared" si="0"/>
        <v>128735.16</v>
      </c>
    </row>
    <row r="26" spans="1:6" x14ac:dyDescent="0.25">
      <c r="A26" s="101">
        <v>43616</v>
      </c>
      <c r="B26" s="102" t="s">
        <v>229</v>
      </c>
      <c r="C26" s="95">
        <v>108843.8</v>
      </c>
      <c r="D26" s="117"/>
      <c r="E26" s="95"/>
      <c r="F26" s="99">
        <f t="shared" si="0"/>
        <v>108843.8</v>
      </c>
    </row>
    <row r="27" spans="1:6" x14ac:dyDescent="0.25">
      <c r="A27" s="101">
        <v>43616</v>
      </c>
      <c r="B27" s="102" t="s">
        <v>230</v>
      </c>
      <c r="C27" s="193">
        <v>13628.1</v>
      </c>
      <c r="D27" s="93"/>
      <c r="E27" s="95"/>
      <c r="F27" s="99">
        <f t="shared" si="0"/>
        <v>13628.1</v>
      </c>
    </row>
    <row r="28" spans="1:6" x14ac:dyDescent="0.25">
      <c r="A28" s="101">
        <v>43617</v>
      </c>
      <c r="B28" s="145" t="s">
        <v>231</v>
      </c>
      <c r="C28" s="163">
        <v>137907.66</v>
      </c>
      <c r="D28" s="93"/>
      <c r="E28" s="95"/>
      <c r="F28" s="99">
        <f t="shared" si="0"/>
        <v>137907.66</v>
      </c>
    </row>
    <row r="29" spans="1:6" x14ac:dyDescent="0.25">
      <c r="A29" s="101">
        <v>43618</v>
      </c>
      <c r="B29" s="102" t="s">
        <v>232</v>
      </c>
      <c r="C29" s="95">
        <v>8596</v>
      </c>
      <c r="D29" s="93"/>
      <c r="E29" s="95"/>
      <c r="F29" s="99">
        <f t="shared" si="0"/>
        <v>8596</v>
      </c>
    </row>
    <row r="30" spans="1:6" x14ac:dyDescent="0.25">
      <c r="A30" s="101">
        <v>43619</v>
      </c>
      <c r="B30" s="102" t="s">
        <v>234</v>
      </c>
      <c r="C30" s="95">
        <v>57698.400000000001</v>
      </c>
      <c r="D30" s="93"/>
      <c r="E30" s="95"/>
      <c r="F30" s="99">
        <f t="shared" si="0"/>
        <v>57698.400000000001</v>
      </c>
    </row>
    <row r="31" spans="1:6" x14ac:dyDescent="0.25">
      <c r="A31" s="101">
        <v>43620</v>
      </c>
      <c r="B31" s="102" t="s">
        <v>235</v>
      </c>
      <c r="C31" s="95">
        <v>81361.42</v>
      </c>
      <c r="D31" s="93"/>
      <c r="E31" s="95"/>
      <c r="F31" s="99">
        <f t="shared" si="0"/>
        <v>81361.42</v>
      </c>
    </row>
    <row r="32" spans="1:6" x14ac:dyDescent="0.25">
      <c r="A32" s="101">
        <v>43620</v>
      </c>
      <c r="B32" s="102" t="s">
        <v>236</v>
      </c>
      <c r="C32" s="95">
        <v>11308.8</v>
      </c>
      <c r="D32" s="93"/>
      <c r="E32" s="95"/>
      <c r="F32" s="99">
        <f t="shared" si="0"/>
        <v>11308.8</v>
      </c>
    </row>
    <row r="33" spans="1:9" x14ac:dyDescent="0.25">
      <c r="A33" s="101">
        <v>43621</v>
      </c>
      <c r="B33" s="102" t="s">
        <v>238</v>
      </c>
      <c r="C33" s="95">
        <v>81993.149999999994</v>
      </c>
      <c r="D33" s="93"/>
      <c r="E33" s="95"/>
      <c r="F33" s="99">
        <f t="shared" si="0"/>
        <v>81993.149999999994</v>
      </c>
    </row>
    <row r="34" spans="1:9" x14ac:dyDescent="0.25">
      <c r="A34" s="101">
        <v>43621</v>
      </c>
      <c r="B34" s="102" t="s">
        <v>237</v>
      </c>
      <c r="C34" s="95">
        <v>115466.79</v>
      </c>
      <c r="D34" s="93"/>
      <c r="E34" s="95"/>
      <c r="F34" s="99">
        <f t="shared" si="0"/>
        <v>115466.79</v>
      </c>
    </row>
    <row r="35" spans="1:9" x14ac:dyDescent="0.25">
      <c r="A35" s="101"/>
      <c r="B35" s="102"/>
      <c r="C35" s="95"/>
      <c r="D35" s="93"/>
      <c r="E35" s="95"/>
      <c r="F35" s="99">
        <f t="shared" si="0"/>
        <v>0</v>
      </c>
    </row>
    <row r="36" spans="1:9" x14ac:dyDescent="0.25">
      <c r="A36" s="190">
        <v>43610</v>
      </c>
      <c r="B36" s="145" t="s">
        <v>128</v>
      </c>
      <c r="C36" s="163">
        <v>3945.6</v>
      </c>
      <c r="D36" s="164" t="s">
        <v>196</v>
      </c>
      <c r="E36" s="95"/>
      <c r="F36" s="99">
        <f t="shared" si="0"/>
        <v>3945.6</v>
      </c>
      <c r="I36" t="s">
        <v>249</v>
      </c>
    </row>
    <row r="37" spans="1:9" x14ac:dyDescent="0.25">
      <c r="A37" s="101"/>
      <c r="B37" s="102"/>
      <c r="C37" s="95"/>
      <c r="D37" s="93"/>
      <c r="E37" s="95"/>
      <c r="F37" s="99">
        <f t="shared" si="0"/>
        <v>0</v>
      </c>
    </row>
    <row r="38" spans="1:9" x14ac:dyDescent="0.25">
      <c r="A38" s="101"/>
      <c r="B38" s="102"/>
      <c r="C38" s="95"/>
      <c r="D38" s="93"/>
      <c r="E38" s="95"/>
      <c r="F38" s="99">
        <f t="shared" si="0"/>
        <v>0</v>
      </c>
    </row>
    <row r="39" spans="1:9" ht="16.5" thickBot="1" x14ac:dyDescent="0.3">
      <c r="A39" s="103" t="s">
        <v>36</v>
      </c>
      <c r="B39" s="104"/>
      <c r="C39" s="105"/>
      <c r="D39" s="106"/>
      <c r="E39" s="107">
        <v>15250</v>
      </c>
      <c r="F39" s="108">
        <f t="shared" si="0"/>
        <v>-15250</v>
      </c>
    </row>
    <row r="40" spans="1:9" s="113" customFormat="1" ht="19.5" thickBot="1" x14ac:dyDescent="0.35">
      <c r="A40" s="109"/>
      <c r="B40" s="110"/>
      <c r="C40" s="111">
        <f>SUM(C3:C39)</f>
        <v>2261436.7899999996</v>
      </c>
      <c r="D40" s="111"/>
      <c r="E40" s="112">
        <f>SUM(E3:E39)</f>
        <v>15250</v>
      </c>
      <c r="F40" s="112">
        <f>SUM(F3:F39)</f>
        <v>2246186.7899999996</v>
      </c>
    </row>
  </sheetData>
  <sortState ref="A33:C34">
    <sortCondition ref="B33:B34"/>
  </sortState>
  <mergeCells count="2">
    <mergeCell ref="C1:E1"/>
    <mergeCell ref="H2:J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D668-51B9-4216-AF25-842781FDC70F}">
  <sheetPr>
    <tabColor rgb="FF00B0F0"/>
  </sheetPr>
  <dimension ref="A1:P46"/>
  <sheetViews>
    <sheetView topLeftCell="A25" workbookViewId="0">
      <selection activeCell="I7" sqref="I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9" style="5" customWidth="1"/>
    <col min="14" max="14" width="15.28515625" style="169" customWidth="1"/>
  </cols>
  <sheetData>
    <row r="1" spans="1:16" ht="23.25" x14ac:dyDescent="0.35">
      <c r="A1" s="1"/>
      <c r="B1" s="269" t="s">
        <v>246</v>
      </c>
      <c r="C1" s="269"/>
      <c r="D1" s="269"/>
      <c r="E1" s="269"/>
      <c r="F1" s="269"/>
      <c r="G1" s="269"/>
      <c r="H1" s="269"/>
      <c r="I1" s="269"/>
      <c r="J1" s="269"/>
      <c r="L1" s="3" t="s">
        <v>0</v>
      </c>
      <c r="M1" s="233"/>
      <c r="N1" s="168"/>
    </row>
    <row r="2" spans="1:16" x14ac:dyDescent="0.25">
      <c r="A2" s="1"/>
      <c r="B2" s="5"/>
      <c r="D2" s="203"/>
      <c r="E2" s="8"/>
      <c r="L2" s="9"/>
      <c r="M2" s="9"/>
      <c r="N2" s="168"/>
    </row>
    <row r="3" spans="1:16" ht="19.5" customHeight="1" thickBot="1" x14ac:dyDescent="0.35">
      <c r="A3" s="276" t="s">
        <v>1</v>
      </c>
      <c r="B3" s="277"/>
      <c r="C3" s="10"/>
      <c r="D3" s="270" t="s">
        <v>2</v>
      </c>
      <c r="E3" s="270"/>
      <c r="F3" s="270"/>
      <c r="G3" s="271">
        <v>2000</v>
      </c>
      <c r="H3" s="271"/>
      <c r="I3" s="5"/>
      <c r="L3" s="9"/>
      <c r="M3" s="194"/>
      <c r="N3" s="168"/>
    </row>
    <row r="4" spans="1:16" ht="20.25" thickTop="1" thickBot="1" x14ac:dyDescent="0.35">
      <c r="A4" s="120"/>
      <c r="B4" s="11">
        <v>333658.42</v>
      </c>
      <c r="C4" s="230">
        <v>43621</v>
      </c>
      <c r="D4" s="272" t="s">
        <v>3</v>
      </c>
      <c r="E4" s="273"/>
      <c r="H4" s="274" t="s">
        <v>4</v>
      </c>
      <c r="I4" s="275"/>
      <c r="J4" s="275"/>
      <c r="K4" s="275"/>
      <c r="L4" s="13" t="s">
        <v>240</v>
      </c>
      <c r="M4" s="195"/>
      <c r="O4" s="150"/>
      <c r="P4" s="150"/>
    </row>
    <row r="5" spans="1:16" ht="17.25" thickTop="1" thickBot="1" x14ac:dyDescent="0.3">
      <c r="A5" s="15"/>
      <c r="B5" s="16">
        <v>0</v>
      </c>
      <c r="C5" s="12"/>
      <c r="D5" s="181">
        <v>43622</v>
      </c>
      <c r="E5" s="178">
        <v>51803.24</v>
      </c>
      <c r="F5" s="182"/>
      <c r="G5" s="183">
        <v>43622</v>
      </c>
      <c r="H5" s="184">
        <v>0</v>
      </c>
      <c r="I5" s="21"/>
      <c r="J5" s="22"/>
      <c r="K5" s="22"/>
      <c r="L5" s="142">
        <f>25000+50021</f>
        <v>75021</v>
      </c>
      <c r="M5" s="177"/>
      <c r="N5" s="211">
        <f>L5-E5</f>
        <v>23217.760000000002</v>
      </c>
      <c r="O5" s="149" t="s">
        <v>248</v>
      </c>
      <c r="P5" s="150"/>
    </row>
    <row r="6" spans="1:16" ht="16.5" thickBot="1" x14ac:dyDescent="0.3">
      <c r="A6" s="25"/>
      <c r="B6" s="16">
        <v>0</v>
      </c>
      <c r="C6" s="12"/>
      <c r="D6" s="181">
        <v>43623</v>
      </c>
      <c r="E6" s="178">
        <v>84553.07</v>
      </c>
      <c r="F6" s="185"/>
      <c r="G6" s="183">
        <v>43623</v>
      </c>
      <c r="H6" s="160">
        <v>0</v>
      </c>
      <c r="I6" s="28"/>
      <c r="J6" s="2" t="s">
        <v>6</v>
      </c>
      <c r="K6" s="29">
        <v>549</v>
      </c>
      <c r="L6" s="142">
        <v>101453</v>
      </c>
      <c r="M6" s="177"/>
      <c r="N6" s="211">
        <f>L6-E6</f>
        <v>16899.929999999993</v>
      </c>
      <c r="O6" s="149" t="s">
        <v>248</v>
      </c>
      <c r="P6" s="150"/>
    </row>
    <row r="7" spans="1:16" ht="16.5" thickBot="1" x14ac:dyDescent="0.3">
      <c r="A7" s="25"/>
      <c r="B7" s="16">
        <v>0</v>
      </c>
      <c r="C7" s="12"/>
      <c r="D7" s="181">
        <v>43624</v>
      </c>
      <c r="E7" s="178">
        <v>79472.149999999994</v>
      </c>
      <c r="F7" s="150"/>
      <c r="G7" s="183">
        <v>43624</v>
      </c>
      <c r="H7" s="160">
        <v>60</v>
      </c>
      <c r="I7" s="30" t="s">
        <v>197</v>
      </c>
      <c r="J7" s="31" t="s">
        <v>7</v>
      </c>
      <c r="K7" s="32">
        <v>9349</v>
      </c>
      <c r="L7" s="142">
        <v>91485.5</v>
      </c>
      <c r="M7" s="177">
        <v>5000</v>
      </c>
      <c r="N7" s="211">
        <f>L7-E7+H7-M7</f>
        <v>7073.3500000000058</v>
      </c>
      <c r="O7" s="152"/>
      <c r="P7" s="150"/>
    </row>
    <row r="8" spans="1:16" ht="16.5" thickBot="1" x14ac:dyDescent="0.3">
      <c r="A8" s="25"/>
      <c r="B8" s="16">
        <v>0</v>
      </c>
      <c r="C8" s="34"/>
      <c r="D8" s="181">
        <v>43625</v>
      </c>
      <c r="E8" s="178">
        <v>101039.03999999999</v>
      </c>
      <c r="F8" s="150"/>
      <c r="G8" s="183">
        <v>43625</v>
      </c>
      <c r="H8" s="160">
        <v>0</v>
      </c>
      <c r="I8" s="28"/>
      <c r="J8" s="2" t="s">
        <v>8</v>
      </c>
      <c r="K8" s="35">
        <f>7187.5+7187.5+7187.5+7187.5</f>
        <v>28750</v>
      </c>
      <c r="L8" s="142">
        <f>25000+72239</f>
        <v>97239</v>
      </c>
      <c r="M8" s="212">
        <v>-5000</v>
      </c>
      <c r="N8" s="211">
        <f>L8-E8-M8</f>
        <v>1199.9600000000064</v>
      </c>
      <c r="O8" s="151"/>
      <c r="P8" s="150"/>
    </row>
    <row r="9" spans="1:16" ht="16.5" thickBot="1" x14ac:dyDescent="0.3">
      <c r="A9" s="25"/>
      <c r="B9" s="16">
        <v>0</v>
      </c>
      <c r="C9" s="36"/>
      <c r="D9" s="181">
        <v>43626</v>
      </c>
      <c r="E9" s="178">
        <v>73407.009999999995</v>
      </c>
      <c r="F9" s="150"/>
      <c r="G9" s="183">
        <v>43626</v>
      </c>
      <c r="H9" s="160">
        <v>0</v>
      </c>
      <c r="I9" s="216">
        <v>43624</v>
      </c>
      <c r="J9" s="2" t="s">
        <v>242</v>
      </c>
      <c r="K9" s="29">
        <v>9166.84</v>
      </c>
      <c r="L9" s="142">
        <f>55000+23407</f>
        <v>78407</v>
      </c>
      <c r="M9" s="177"/>
      <c r="N9" s="211">
        <f>L9-E9+H9</f>
        <v>4999.9900000000052</v>
      </c>
      <c r="O9" s="152"/>
      <c r="P9" s="150"/>
    </row>
    <row r="10" spans="1:16" ht="16.5" thickBot="1" x14ac:dyDescent="0.3">
      <c r="A10" s="25"/>
      <c r="B10" s="16">
        <v>0</v>
      </c>
      <c r="C10" s="34"/>
      <c r="D10" s="181">
        <v>43627</v>
      </c>
      <c r="E10" s="178">
        <v>44476.75</v>
      </c>
      <c r="F10" s="150"/>
      <c r="G10" s="183">
        <v>43627</v>
      </c>
      <c r="H10" s="160">
        <v>0</v>
      </c>
      <c r="I10" s="216">
        <v>43631</v>
      </c>
      <c r="J10" s="2" t="s">
        <v>243</v>
      </c>
      <c r="K10" s="29">
        <v>9366.84</v>
      </c>
      <c r="L10" s="142">
        <v>44477</v>
      </c>
      <c r="M10" s="177"/>
      <c r="N10" s="192">
        <f>L10-E10</f>
        <v>0.25</v>
      </c>
      <c r="O10" s="150"/>
      <c r="P10" s="150"/>
    </row>
    <row r="11" spans="1:16" ht="16.5" thickBot="1" x14ac:dyDescent="0.3">
      <c r="A11" s="25"/>
      <c r="B11" s="16">
        <v>0</v>
      </c>
      <c r="C11" s="34"/>
      <c r="D11" s="181">
        <v>43628</v>
      </c>
      <c r="E11" s="178">
        <v>62012.97</v>
      </c>
      <c r="F11" s="150"/>
      <c r="G11" s="183">
        <v>43628</v>
      </c>
      <c r="H11" s="160">
        <v>0</v>
      </c>
      <c r="I11" s="216">
        <v>43638</v>
      </c>
      <c r="J11" s="2" t="s">
        <v>244</v>
      </c>
      <c r="K11" s="29">
        <v>7731.93</v>
      </c>
      <c r="L11" s="142">
        <v>62013</v>
      </c>
      <c r="M11" s="177" t="s">
        <v>11</v>
      </c>
      <c r="N11" s="192">
        <f>L11-E11</f>
        <v>2.9999999998835847E-2</v>
      </c>
      <c r="O11" s="149"/>
      <c r="P11" s="150"/>
    </row>
    <row r="12" spans="1:16" ht="16.5" thickBot="1" x14ac:dyDescent="0.3">
      <c r="A12" s="25"/>
      <c r="B12" s="16">
        <v>0</v>
      </c>
      <c r="C12" s="34"/>
      <c r="D12" s="181">
        <v>43629</v>
      </c>
      <c r="E12" s="178">
        <v>74105.899999999994</v>
      </c>
      <c r="F12" s="150"/>
      <c r="G12" s="183">
        <v>43629</v>
      </c>
      <c r="H12" s="160">
        <v>0</v>
      </c>
      <c r="I12" s="216">
        <v>43645</v>
      </c>
      <c r="J12" s="2" t="s">
        <v>245</v>
      </c>
      <c r="K12" s="29">
        <v>9581.1299999999992</v>
      </c>
      <c r="L12" s="142">
        <f>35000+39106</f>
        <v>74106</v>
      </c>
      <c r="M12" s="177"/>
      <c r="N12" s="192">
        <f>L12-E12</f>
        <v>0.10000000000582077</v>
      </c>
      <c r="O12" s="150"/>
      <c r="P12" s="150"/>
    </row>
    <row r="13" spans="1:16" ht="16.5" thickBot="1" x14ac:dyDescent="0.3">
      <c r="A13" s="25"/>
      <c r="B13" s="16">
        <v>0</v>
      </c>
      <c r="C13" s="34"/>
      <c r="D13" s="181">
        <v>43630</v>
      </c>
      <c r="E13" s="178">
        <v>75182.850000000006</v>
      </c>
      <c r="F13" s="150"/>
      <c r="G13" s="183">
        <v>43630</v>
      </c>
      <c r="H13" s="160">
        <v>0</v>
      </c>
      <c r="I13" s="126"/>
      <c r="J13" s="2" t="s">
        <v>148</v>
      </c>
      <c r="K13" s="29">
        <v>0</v>
      </c>
      <c r="L13" s="142">
        <v>109014</v>
      </c>
      <c r="M13" s="177"/>
      <c r="N13" s="211">
        <f>L13-E13</f>
        <v>33831.149999999994</v>
      </c>
      <c r="O13" s="150"/>
      <c r="P13" s="150"/>
    </row>
    <row r="14" spans="1:16" ht="16.5" thickBot="1" x14ac:dyDescent="0.3">
      <c r="A14" s="25"/>
      <c r="B14" s="16">
        <v>0</v>
      </c>
      <c r="C14" s="36"/>
      <c r="D14" s="181">
        <v>43631</v>
      </c>
      <c r="E14" s="178">
        <v>143630.62</v>
      </c>
      <c r="F14" s="150"/>
      <c r="G14" s="183">
        <v>43631</v>
      </c>
      <c r="H14" s="160">
        <v>0</v>
      </c>
      <c r="I14" s="214">
        <v>43632</v>
      </c>
      <c r="J14" s="215" t="s">
        <v>9</v>
      </c>
      <c r="K14" s="213">
        <v>1500</v>
      </c>
      <c r="L14" s="142">
        <f>85000+58630</f>
        <v>143630</v>
      </c>
      <c r="M14" s="177"/>
      <c r="N14" s="192">
        <f>L14-E14</f>
        <v>-0.61999999999534339</v>
      </c>
      <c r="O14" s="150"/>
      <c r="P14" s="150"/>
    </row>
    <row r="15" spans="1:16" ht="16.5" thickBot="1" x14ac:dyDescent="0.3">
      <c r="A15" s="25"/>
      <c r="B15" s="16">
        <v>0</v>
      </c>
      <c r="C15" s="36"/>
      <c r="D15" s="181">
        <v>43632</v>
      </c>
      <c r="E15" s="178">
        <v>129064.31</v>
      </c>
      <c r="F15" s="150"/>
      <c r="G15" s="183">
        <v>43632</v>
      </c>
      <c r="H15" s="160">
        <v>40</v>
      </c>
      <c r="I15" s="28"/>
      <c r="J15" s="42" t="s">
        <v>247</v>
      </c>
      <c r="K15" s="29">
        <v>0</v>
      </c>
      <c r="L15" s="142">
        <f>50000+76624.5</f>
        <v>126624.5</v>
      </c>
      <c r="M15" s="177"/>
      <c r="N15" s="192">
        <f>L15-E15+K14+K17+H15</f>
        <v>0.19000000000232831</v>
      </c>
      <c r="O15" s="150"/>
      <c r="P15" s="150"/>
    </row>
    <row r="16" spans="1:16" ht="16.5" thickBot="1" x14ac:dyDescent="0.3">
      <c r="A16" s="25"/>
      <c r="B16" s="16">
        <v>0</v>
      </c>
      <c r="C16" s="36"/>
      <c r="D16" s="181">
        <v>43633</v>
      </c>
      <c r="E16" s="178">
        <v>99053.2</v>
      </c>
      <c r="F16" s="150"/>
      <c r="G16" s="183">
        <v>43633</v>
      </c>
      <c r="H16" s="160">
        <v>128</v>
      </c>
      <c r="I16" s="28"/>
      <c r="J16" s="43"/>
      <c r="K16" s="8">
        <v>0</v>
      </c>
      <c r="L16" s="142">
        <f>97060+1865</f>
        <v>98925</v>
      </c>
      <c r="M16" s="177"/>
      <c r="N16" s="192">
        <f t="shared" ref="N16:N26" si="0">L16-E16+H16</f>
        <v>-0.19999999999708962</v>
      </c>
      <c r="O16" s="150"/>
      <c r="P16" s="149"/>
    </row>
    <row r="17" spans="1:16" ht="16.5" thickBot="1" x14ac:dyDescent="0.3">
      <c r="A17" s="25"/>
      <c r="B17" s="16">
        <v>0</v>
      </c>
      <c r="C17" s="36"/>
      <c r="D17" s="181">
        <v>43634</v>
      </c>
      <c r="E17" s="178">
        <v>46207.519999999997</v>
      </c>
      <c r="F17" s="150"/>
      <c r="G17" s="183">
        <v>43634</v>
      </c>
      <c r="H17" s="160">
        <v>95</v>
      </c>
      <c r="I17" s="166">
        <v>43632</v>
      </c>
      <c r="J17" s="167" t="s">
        <v>12</v>
      </c>
      <c r="K17" s="8">
        <v>900</v>
      </c>
      <c r="L17" s="142">
        <v>46112.5</v>
      </c>
      <c r="M17" s="177"/>
      <c r="N17" s="192">
        <f t="shared" si="0"/>
        <v>-1.9999999996798579E-2</v>
      </c>
      <c r="O17" s="150"/>
      <c r="P17" s="150"/>
    </row>
    <row r="18" spans="1:16" ht="16.5" thickBot="1" x14ac:dyDescent="0.3">
      <c r="A18" s="25"/>
      <c r="B18" s="16">
        <v>0</v>
      </c>
      <c r="C18" s="34"/>
      <c r="D18" s="181">
        <v>43635</v>
      </c>
      <c r="E18" s="178">
        <v>157095.04999999999</v>
      </c>
      <c r="F18" s="150"/>
      <c r="G18" s="183">
        <v>43635</v>
      </c>
      <c r="H18" s="160">
        <v>90</v>
      </c>
      <c r="I18" s="44"/>
      <c r="K18" s="8"/>
      <c r="L18" s="142">
        <f>104498+52507</f>
        <v>157005</v>
      </c>
      <c r="M18" s="177"/>
      <c r="N18" s="192">
        <f t="shared" si="0"/>
        <v>-4.9999999988358468E-2</v>
      </c>
    </row>
    <row r="19" spans="1:16" ht="16.5" thickBot="1" x14ac:dyDescent="0.3">
      <c r="A19" s="25"/>
      <c r="B19" s="16">
        <v>0</v>
      </c>
      <c r="C19" s="36"/>
      <c r="D19" s="181">
        <v>43636</v>
      </c>
      <c r="E19" s="178">
        <v>68750.87</v>
      </c>
      <c r="F19" s="150"/>
      <c r="G19" s="183">
        <v>43636</v>
      </c>
      <c r="H19" s="160">
        <v>110</v>
      </c>
      <c r="I19" s="28"/>
      <c r="K19" s="8">
        <v>0</v>
      </c>
      <c r="L19" s="142">
        <v>68641</v>
      </c>
      <c r="M19" s="177"/>
      <c r="N19" s="192">
        <f t="shared" si="0"/>
        <v>0.13000000000465661</v>
      </c>
    </row>
    <row r="20" spans="1:16" ht="16.5" thickBot="1" x14ac:dyDescent="0.3">
      <c r="A20" s="25"/>
      <c r="B20" s="16">
        <v>0</v>
      </c>
      <c r="C20" s="46"/>
      <c r="D20" s="181">
        <v>43637</v>
      </c>
      <c r="E20" s="178">
        <v>92912.39</v>
      </c>
      <c r="F20" s="186"/>
      <c r="G20" s="183">
        <v>43637</v>
      </c>
      <c r="H20" s="160">
        <v>90</v>
      </c>
      <c r="I20" s="162"/>
      <c r="J20" s="48"/>
      <c r="K20" s="28" t="s">
        <v>10</v>
      </c>
      <c r="L20" s="142">
        <f>20000+72822</f>
        <v>92822</v>
      </c>
      <c r="M20" s="177"/>
      <c r="N20" s="192">
        <f t="shared" si="0"/>
        <v>-0.38999999999941792</v>
      </c>
    </row>
    <row r="21" spans="1:16" ht="16.5" thickBot="1" x14ac:dyDescent="0.3">
      <c r="A21" s="25"/>
      <c r="B21" s="16">
        <v>0</v>
      </c>
      <c r="C21" s="46"/>
      <c r="D21" s="181">
        <v>43638</v>
      </c>
      <c r="E21" s="178">
        <v>76632.22</v>
      </c>
      <c r="F21" s="150"/>
      <c r="G21" s="183">
        <v>43638</v>
      </c>
      <c r="H21" s="160">
        <v>90</v>
      </c>
      <c r="I21" s="33"/>
      <c r="J21" s="49"/>
      <c r="K21" s="28"/>
      <c r="L21" s="142">
        <v>76542</v>
      </c>
      <c r="M21" s="177"/>
      <c r="N21" s="192">
        <f t="shared" si="0"/>
        <v>-0.22000000000116415</v>
      </c>
    </row>
    <row r="22" spans="1:16" ht="16.5" thickBot="1" x14ac:dyDescent="0.3">
      <c r="A22" s="25"/>
      <c r="B22" s="16">
        <v>0</v>
      </c>
      <c r="C22" s="36"/>
      <c r="D22" s="181">
        <v>43639</v>
      </c>
      <c r="E22" s="178">
        <v>83506</v>
      </c>
      <c r="F22" s="150"/>
      <c r="G22" s="183">
        <v>43639</v>
      </c>
      <c r="H22" s="160">
        <v>90</v>
      </c>
      <c r="I22" s="47" t="s">
        <v>11</v>
      </c>
      <c r="J22" s="50"/>
      <c r="K22" s="28">
        <v>0</v>
      </c>
      <c r="L22" s="142">
        <f>30000+30000+23416</f>
        <v>83416</v>
      </c>
      <c r="M22" s="177"/>
      <c r="N22" s="192">
        <f t="shared" si="0"/>
        <v>0</v>
      </c>
    </row>
    <row r="23" spans="1:16" ht="16.5" thickBot="1" x14ac:dyDescent="0.3">
      <c r="A23" s="25"/>
      <c r="B23" s="16">
        <v>0</v>
      </c>
      <c r="C23" s="36"/>
      <c r="D23" s="181">
        <v>43640</v>
      </c>
      <c r="E23" s="178">
        <v>94710.75</v>
      </c>
      <c r="F23" s="150"/>
      <c r="G23" s="183">
        <v>43640</v>
      </c>
      <c r="H23" s="160">
        <v>128</v>
      </c>
      <c r="I23" s="28"/>
      <c r="J23" s="49"/>
      <c r="K23" s="28">
        <v>0</v>
      </c>
      <c r="L23" s="142">
        <f>80000+14583</f>
        <v>94583</v>
      </c>
      <c r="M23" s="177"/>
      <c r="N23" s="192">
        <f t="shared" si="0"/>
        <v>0.25</v>
      </c>
    </row>
    <row r="24" spans="1:16" ht="16.5" thickBot="1" x14ac:dyDescent="0.3">
      <c r="A24" s="25"/>
      <c r="B24" s="16">
        <v>0</v>
      </c>
      <c r="C24" s="36"/>
      <c r="D24" s="181">
        <v>43641</v>
      </c>
      <c r="E24" s="178">
        <v>40165.800000000003</v>
      </c>
      <c r="F24" s="150"/>
      <c r="G24" s="183">
        <v>43641</v>
      </c>
      <c r="H24" s="160">
        <v>0</v>
      </c>
      <c r="I24" s="28"/>
      <c r="J24" s="56"/>
      <c r="K24" s="28">
        <v>0</v>
      </c>
      <c r="L24" s="142">
        <v>40166</v>
      </c>
      <c r="M24" s="177"/>
      <c r="N24" s="192">
        <f t="shared" si="0"/>
        <v>0.19999999999708962</v>
      </c>
    </row>
    <row r="25" spans="1:16" ht="16.5" thickBot="1" x14ac:dyDescent="0.3">
      <c r="A25" s="25"/>
      <c r="B25" s="16">
        <v>0</v>
      </c>
      <c r="C25" s="46"/>
      <c r="D25" s="181">
        <v>43642</v>
      </c>
      <c r="E25" s="178">
        <v>55022.62</v>
      </c>
      <c r="F25" s="150"/>
      <c r="G25" s="183">
        <v>43642</v>
      </c>
      <c r="H25" s="160">
        <v>0</v>
      </c>
      <c r="I25" s="28"/>
      <c r="J25" s="52"/>
      <c r="K25" s="28"/>
      <c r="L25" s="142">
        <v>55023</v>
      </c>
      <c r="M25" s="177"/>
      <c r="N25" s="192">
        <f t="shared" si="0"/>
        <v>0.37999999999738066</v>
      </c>
    </row>
    <row r="26" spans="1:16" ht="16.5" thickBot="1" x14ac:dyDescent="0.3">
      <c r="A26" s="25"/>
      <c r="B26" s="16">
        <v>0</v>
      </c>
      <c r="C26" s="36"/>
      <c r="D26" s="181">
        <v>43643</v>
      </c>
      <c r="E26" s="178">
        <v>78901.88</v>
      </c>
      <c r="F26" s="150"/>
      <c r="G26" s="183">
        <v>43643</v>
      </c>
      <c r="H26" s="160">
        <v>0</v>
      </c>
      <c r="I26" s="40"/>
      <c r="J26" s="53"/>
      <c r="K26" s="28">
        <v>0</v>
      </c>
      <c r="L26" s="142">
        <f>55000+23902</f>
        <v>78902</v>
      </c>
      <c r="M26" s="177"/>
      <c r="N26" s="192">
        <f t="shared" si="0"/>
        <v>0.11999999999534339</v>
      </c>
    </row>
    <row r="27" spans="1:16" ht="16.5" thickBot="1" x14ac:dyDescent="0.3">
      <c r="A27" s="25"/>
      <c r="B27" s="16">
        <v>0</v>
      </c>
      <c r="C27" s="36"/>
      <c r="D27" s="181">
        <v>43644</v>
      </c>
      <c r="E27" s="178">
        <v>73446.95</v>
      </c>
      <c r="F27" s="150"/>
      <c r="G27" s="183">
        <v>43644</v>
      </c>
      <c r="H27" s="160">
        <v>60</v>
      </c>
      <c r="I27" s="40"/>
      <c r="J27" s="54"/>
      <c r="K27" s="28">
        <v>0</v>
      </c>
      <c r="L27" s="142">
        <f>25000+48387</f>
        <v>73387</v>
      </c>
      <c r="M27" s="177"/>
      <c r="N27" s="192">
        <f t="shared" ref="N27:N32" si="1">L27-E27+H27</f>
        <v>5.0000000002910383E-2</v>
      </c>
    </row>
    <row r="28" spans="1:16" ht="16.5" thickBot="1" x14ac:dyDescent="0.3">
      <c r="A28" s="25"/>
      <c r="B28" s="16">
        <v>0</v>
      </c>
      <c r="C28" s="36"/>
      <c r="D28" s="181">
        <v>43645</v>
      </c>
      <c r="E28" s="178">
        <v>102996.41</v>
      </c>
      <c r="F28" s="150"/>
      <c r="G28" s="183">
        <v>43645</v>
      </c>
      <c r="H28" s="187">
        <v>0</v>
      </c>
      <c r="I28" s="28"/>
      <c r="J28" s="55"/>
      <c r="K28" s="28">
        <v>0</v>
      </c>
      <c r="L28" s="142">
        <v>102996.5</v>
      </c>
      <c r="M28" s="177"/>
      <c r="N28" s="192">
        <f t="shared" si="1"/>
        <v>8.999999999650754E-2</v>
      </c>
    </row>
    <row r="29" spans="1:16" ht="16.5" thickBot="1" x14ac:dyDescent="0.3">
      <c r="A29" s="1"/>
      <c r="B29" s="16">
        <v>0</v>
      </c>
      <c r="C29" s="36"/>
      <c r="D29" s="181">
        <v>43646</v>
      </c>
      <c r="E29" s="188">
        <v>103026.8</v>
      </c>
      <c r="F29" s="150"/>
      <c r="G29" s="183">
        <v>43646</v>
      </c>
      <c r="H29" s="187">
        <v>0</v>
      </c>
      <c r="I29" s="40"/>
      <c r="K29" s="28"/>
      <c r="L29" s="142">
        <v>103027</v>
      </c>
      <c r="M29" s="177"/>
      <c r="N29" s="192">
        <f t="shared" si="1"/>
        <v>0.19999999999708962</v>
      </c>
    </row>
    <row r="30" spans="1:16" ht="16.5" thickBot="1" x14ac:dyDescent="0.3">
      <c r="A30" s="1"/>
      <c r="B30" s="16">
        <v>0</v>
      </c>
      <c r="C30" s="36"/>
      <c r="D30" s="181">
        <v>43647</v>
      </c>
      <c r="E30" s="188">
        <v>71479.649999999994</v>
      </c>
      <c r="F30" s="150"/>
      <c r="G30" s="183">
        <v>43647</v>
      </c>
      <c r="H30" s="187">
        <v>0</v>
      </c>
      <c r="I30" s="28"/>
      <c r="J30" s="55"/>
      <c r="K30" s="28"/>
      <c r="L30" s="142">
        <f>60000+11480</f>
        <v>71480</v>
      </c>
      <c r="M30" s="177"/>
      <c r="N30" s="192">
        <f t="shared" si="1"/>
        <v>0.35000000000582077</v>
      </c>
    </row>
    <row r="31" spans="1:16" ht="16.5" thickBot="1" x14ac:dyDescent="0.3">
      <c r="A31" s="1"/>
      <c r="B31" s="16">
        <v>0</v>
      </c>
      <c r="C31" s="36"/>
      <c r="D31" s="181">
        <v>43648</v>
      </c>
      <c r="E31" s="188">
        <v>66806.820000000007</v>
      </c>
      <c r="F31" s="150"/>
      <c r="G31" s="183">
        <v>43648</v>
      </c>
      <c r="H31" s="187">
        <v>38</v>
      </c>
      <c r="I31" s="216">
        <v>43648</v>
      </c>
      <c r="J31" s="55" t="s">
        <v>116</v>
      </c>
      <c r="K31" s="28">
        <v>870</v>
      </c>
      <c r="L31" s="142">
        <v>65899</v>
      </c>
      <c r="M31" s="177"/>
      <c r="N31" s="192">
        <f>L31-E31+H31+K31</f>
        <v>0.17999999999301508</v>
      </c>
    </row>
    <row r="32" spans="1:16" ht="16.5" thickBot="1" x14ac:dyDescent="0.3">
      <c r="A32" s="1"/>
      <c r="B32" s="16">
        <v>0</v>
      </c>
      <c r="C32" s="36"/>
      <c r="D32" s="181">
        <v>43649</v>
      </c>
      <c r="E32" s="188">
        <v>82652.100000000006</v>
      </c>
      <c r="F32" s="150"/>
      <c r="G32" s="183">
        <v>43649</v>
      </c>
      <c r="H32" s="187">
        <v>0</v>
      </c>
      <c r="I32" s="28"/>
      <c r="J32" s="55" t="s">
        <v>233</v>
      </c>
      <c r="K32" s="28"/>
      <c r="L32" s="142">
        <v>82652</v>
      </c>
      <c r="M32" s="177"/>
      <c r="N32" s="192">
        <f t="shared" si="1"/>
        <v>-0.10000000000582077</v>
      </c>
    </row>
    <row r="33" spans="1:14" ht="19.5" thickBot="1" x14ac:dyDescent="0.35">
      <c r="A33" s="58"/>
      <c r="B33" s="16">
        <v>0</v>
      </c>
      <c r="C33" s="12"/>
      <c r="D33" s="130"/>
      <c r="E33" s="132">
        <v>0</v>
      </c>
      <c r="F33" s="131"/>
      <c r="G33" s="129"/>
      <c r="H33" s="153">
        <v>0</v>
      </c>
      <c r="I33" s="5"/>
      <c r="J33" s="231"/>
      <c r="K33" s="232"/>
      <c r="L33" s="226">
        <f>SUM(L5:L32)</f>
        <v>2395049</v>
      </c>
      <c r="M33" s="201"/>
      <c r="N33" s="177">
        <f>SUM(N5:N32)</f>
        <v>87223.060000000027</v>
      </c>
    </row>
    <row r="34" spans="1:14" ht="15.75" thickBot="1" x14ac:dyDescent="0.3">
      <c r="A34" s="61"/>
      <c r="B34" s="62">
        <f>SUM(B5:B33)</f>
        <v>0</v>
      </c>
      <c r="D34" s="63" t="s">
        <v>15</v>
      </c>
      <c r="E34" s="64">
        <f>SUM(E5:E33)</f>
        <v>2312114.94</v>
      </c>
      <c r="G34" s="203" t="s">
        <v>15</v>
      </c>
      <c r="H34" s="132">
        <f>SUM(H5:H33)</f>
        <v>1019</v>
      </c>
      <c r="I34" s="28"/>
      <c r="J34" s="65" t="s">
        <v>15</v>
      </c>
      <c r="K34" s="29">
        <f>SUM(K5:K33)</f>
        <v>77764.739999999991</v>
      </c>
      <c r="L34" s="9"/>
      <c r="M34" s="9"/>
      <c r="N34" s="168"/>
    </row>
    <row r="35" spans="1:14" x14ac:dyDescent="0.25">
      <c r="A35" s="1"/>
      <c r="B35" s="5"/>
      <c r="E35" s="5"/>
      <c r="I35" s="5"/>
      <c r="L35" s="9"/>
      <c r="M35" s="9"/>
      <c r="N35" s="168"/>
    </row>
    <row r="36" spans="1:14" ht="16.5" thickBot="1" x14ac:dyDescent="0.3">
      <c r="A36" s="1"/>
      <c r="B36" s="5">
        <v>0</v>
      </c>
      <c r="E36" s="5"/>
      <c r="G36" s="292" t="s">
        <v>16</v>
      </c>
      <c r="H36" s="293"/>
      <c r="I36" s="204"/>
      <c r="J36" s="294">
        <f>H34+K34</f>
        <v>78783.739999999991</v>
      </c>
      <c r="K36" s="295"/>
      <c r="L36" s="67"/>
      <c r="M36" s="67"/>
      <c r="N36" s="176"/>
    </row>
    <row r="37" spans="1:14" ht="15.75" x14ac:dyDescent="0.25">
      <c r="A37" s="1"/>
      <c r="B37" s="69"/>
      <c r="C37" s="278" t="s">
        <v>17</v>
      </c>
      <c r="D37" s="278"/>
      <c r="E37" s="70">
        <f>E34-J36</f>
        <v>2233331.2000000002</v>
      </c>
      <c r="F37" s="71"/>
      <c r="G37" s="71"/>
      <c r="H37" s="72"/>
      <c r="I37" s="72"/>
      <c r="J37" s="73"/>
      <c r="K37" s="74"/>
      <c r="L37" s="67"/>
      <c r="M37" s="67"/>
      <c r="N37" s="176"/>
    </row>
    <row r="38" spans="1:14" x14ac:dyDescent="0.25">
      <c r="A38" s="1"/>
      <c r="B38" s="75"/>
      <c r="D38" s="2" t="s">
        <v>18</v>
      </c>
      <c r="E38" s="28">
        <v>109486.95</v>
      </c>
      <c r="H38" s="279" t="s">
        <v>19</v>
      </c>
      <c r="I38" s="279"/>
      <c r="J38" s="279">
        <f>E42</f>
        <v>426152.71000000031</v>
      </c>
      <c r="K38" s="280"/>
      <c r="L38" s="67"/>
      <c r="M38" s="67"/>
      <c r="N38" s="176"/>
    </row>
    <row r="39" spans="1:14" ht="15.75" thickBot="1" x14ac:dyDescent="0.3">
      <c r="A39" s="1"/>
      <c r="B39" s="75" t="s">
        <v>11</v>
      </c>
      <c r="C39" s="6" t="s">
        <v>20</v>
      </c>
      <c r="E39" s="76">
        <v>-2051573.32</v>
      </c>
      <c r="H39" s="281" t="s">
        <v>1</v>
      </c>
      <c r="I39" s="281"/>
      <c r="J39" s="282">
        <f>-B4</f>
        <v>-333658.42</v>
      </c>
      <c r="K39" s="283"/>
      <c r="L39" s="67"/>
      <c r="M39" s="67"/>
      <c r="N39" s="176"/>
    </row>
    <row r="40" spans="1:14" ht="20.25" thickTop="1" thickBot="1" x14ac:dyDescent="0.3">
      <c r="A40" s="1"/>
      <c r="B40" s="75"/>
      <c r="D40" s="2" t="s">
        <v>21</v>
      </c>
      <c r="E40" s="28">
        <f>SUM(E37:E39)</f>
        <v>291244.83000000031</v>
      </c>
      <c r="H40" s="314" t="s">
        <v>88</v>
      </c>
      <c r="I40" s="315"/>
      <c r="J40" s="316">
        <f>SUM(J37:K39)</f>
        <v>92494.290000000328</v>
      </c>
      <c r="K40" s="317"/>
      <c r="L40" s="67"/>
      <c r="M40" s="67"/>
      <c r="N40" s="176"/>
    </row>
    <row r="41" spans="1:14" ht="16.5" thickBot="1" x14ac:dyDescent="0.3">
      <c r="A41" s="1"/>
      <c r="B41" s="75"/>
      <c r="C41" s="10" t="s">
        <v>288</v>
      </c>
      <c r="D41" s="77"/>
      <c r="E41" s="78">
        <v>134907.88</v>
      </c>
      <c r="F41" s="229"/>
      <c r="J41" s="288"/>
      <c r="K41" s="289"/>
      <c r="L41" s="67"/>
      <c r="M41" s="67"/>
      <c r="N41" s="176"/>
    </row>
    <row r="42" spans="1:14" ht="19.5" thickBot="1" x14ac:dyDescent="0.35">
      <c r="A42" s="1"/>
      <c r="B42" s="79"/>
      <c r="C42" s="80"/>
      <c r="D42" s="80" t="s">
        <v>23</v>
      </c>
      <c r="E42" s="81">
        <f>E41+E40</f>
        <v>426152.71000000031</v>
      </c>
      <c r="F42" s="82"/>
      <c r="G42" s="82"/>
      <c r="H42" s="221"/>
      <c r="I42" s="222"/>
      <c r="J42" s="223"/>
      <c r="K42" s="224"/>
      <c r="L42" s="225"/>
      <c r="M42" s="67"/>
      <c r="N42" s="176"/>
    </row>
    <row r="46" spans="1:14" x14ac:dyDescent="0.25">
      <c r="D46" s="2" t="s">
        <v>11</v>
      </c>
    </row>
  </sheetData>
  <mergeCells count="16">
    <mergeCell ref="B1:J1"/>
    <mergeCell ref="A3:B3"/>
    <mergeCell ref="D3:F3"/>
    <mergeCell ref="G3:H3"/>
    <mergeCell ref="D4:E4"/>
    <mergeCell ref="H4:K4"/>
    <mergeCell ref="C37:D37"/>
    <mergeCell ref="H38:I38"/>
    <mergeCell ref="J38:K38"/>
    <mergeCell ref="H39:I39"/>
    <mergeCell ref="J39:K39"/>
    <mergeCell ref="H40:I40"/>
    <mergeCell ref="J40:K40"/>
    <mergeCell ref="J41:K41"/>
    <mergeCell ref="G36:H36"/>
    <mergeCell ref="J36:K36"/>
  </mergeCells>
  <pageMargins left="0.19685039370078741" right="0.11811023622047245" top="0.31496062992125984" bottom="0.27559055118110237" header="0.31496062992125984" footer="0.31496062992125984"/>
  <pageSetup scale="83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4983-0DCF-42AA-8C66-476DCB65EC01}">
  <sheetPr>
    <tabColor rgb="FF00B0F0"/>
  </sheetPr>
  <dimension ref="A1:J41"/>
  <sheetViews>
    <sheetView topLeftCell="A25" workbookViewId="0">
      <selection activeCell="E52" sqref="E52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96" t="s">
        <v>29</v>
      </c>
      <c r="D1" s="297"/>
      <c r="E1" s="298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99" t="s">
        <v>35</v>
      </c>
      <c r="I2" s="300"/>
      <c r="J2" s="301"/>
    </row>
    <row r="3" spans="1:10" x14ac:dyDescent="0.25">
      <c r="A3" s="205">
        <v>43623</v>
      </c>
      <c r="B3" s="206" t="s">
        <v>250</v>
      </c>
      <c r="C3" s="207">
        <v>3849.3</v>
      </c>
      <c r="D3" s="117"/>
      <c r="E3" s="92"/>
      <c r="F3" s="94">
        <f t="shared" ref="F3:F40" si="0">C3-E3</f>
        <v>3849.3</v>
      </c>
      <c r="H3" s="302"/>
      <c r="I3" s="303"/>
      <c r="J3" s="304"/>
    </row>
    <row r="4" spans="1:10" x14ac:dyDescent="0.25">
      <c r="A4" s="205">
        <v>43623</v>
      </c>
      <c r="B4" s="208" t="s">
        <v>251</v>
      </c>
      <c r="C4" s="207">
        <v>133570.5</v>
      </c>
      <c r="D4" s="117"/>
      <c r="E4" s="95"/>
      <c r="F4" s="96">
        <f t="shared" si="0"/>
        <v>133570.5</v>
      </c>
      <c r="H4" s="302"/>
      <c r="I4" s="303"/>
      <c r="J4" s="304"/>
    </row>
    <row r="5" spans="1:10" ht="15.75" thickBot="1" x14ac:dyDescent="0.3">
      <c r="A5" s="209">
        <v>43624</v>
      </c>
      <c r="B5" s="143" t="s">
        <v>252</v>
      </c>
      <c r="C5" s="163">
        <v>53997.7</v>
      </c>
      <c r="D5" s="117"/>
      <c r="E5" s="95"/>
      <c r="F5" s="96">
        <f t="shared" si="0"/>
        <v>53997.7</v>
      </c>
      <c r="H5" s="305"/>
      <c r="I5" s="306"/>
      <c r="J5" s="307"/>
    </row>
    <row r="6" spans="1:10" x14ac:dyDescent="0.25">
      <c r="A6" s="209">
        <v>43625</v>
      </c>
      <c r="B6" s="143" t="s">
        <v>254</v>
      </c>
      <c r="C6" s="163">
        <v>96052.44</v>
      </c>
      <c r="D6" s="117"/>
      <c r="E6" s="95"/>
      <c r="F6" s="99">
        <f t="shared" si="0"/>
        <v>96052.44</v>
      </c>
    </row>
    <row r="7" spans="1:10" x14ac:dyDescent="0.25">
      <c r="A7" s="209">
        <v>43626</v>
      </c>
      <c r="B7" s="143" t="s">
        <v>253</v>
      </c>
      <c r="C7" s="163">
        <v>82869.899999999994</v>
      </c>
      <c r="D7" s="117"/>
      <c r="E7" s="95"/>
      <c r="F7" s="99">
        <f t="shared" si="0"/>
        <v>82869.899999999994</v>
      </c>
    </row>
    <row r="8" spans="1:10" x14ac:dyDescent="0.25">
      <c r="A8" s="209">
        <v>43627</v>
      </c>
      <c r="B8" s="143" t="s">
        <v>255</v>
      </c>
      <c r="C8" s="163">
        <v>41045</v>
      </c>
      <c r="D8" s="117"/>
      <c r="E8" s="95"/>
      <c r="F8" s="99">
        <f t="shared" si="0"/>
        <v>41045</v>
      </c>
    </row>
    <row r="9" spans="1:10" x14ac:dyDescent="0.25">
      <c r="A9" s="209">
        <v>43628</v>
      </c>
      <c r="B9" s="143" t="s">
        <v>256</v>
      </c>
      <c r="C9" s="163">
        <v>48255.4</v>
      </c>
      <c r="D9" s="117"/>
      <c r="E9" s="95"/>
      <c r="F9" s="99">
        <f t="shared" si="0"/>
        <v>48255.4</v>
      </c>
    </row>
    <row r="10" spans="1:10" x14ac:dyDescent="0.25">
      <c r="A10" s="209">
        <v>43629</v>
      </c>
      <c r="B10" s="143" t="s">
        <v>257</v>
      </c>
      <c r="C10" s="163">
        <v>110106.45</v>
      </c>
      <c r="D10" s="117"/>
      <c r="E10" s="95"/>
      <c r="F10" s="99">
        <f t="shared" si="0"/>
        <v>110106.45</v>
      </c>
    </row>
    <row r="11" spans="1:10" x14ac:dyDescent="0.25">
      <c r="A11" s="209">
        <v>43630</v>
      </c>
      <c r="B11" s="144" t="s">
        <v>258</v>
      </c>
      <c r="C11" s="163">
        <v>49171.6</v>
      </c>
      <c r="D11" s="117"/>
      <c r="E11" s="95"/>
      <c r="F11" s="99">
        <f t="shared" si="0"/>
        <v>49171.6</v>
      </c>
    </row>
    <row r="12" spans="1:10" x14ac:dyDescent="0.25">
      <c r="A12" s="209">
        <v>43630</v>
      </c>
      <c r="B12" s="143" t="s">
        <v>259</v>
      </c>
      <c r="C12" s="163">
        <v>7991.4</v>
      </c>
      <c r="D12" s="117"/>
      <c r="E12" s="95"/>
      <c r="F12" s="99">
        <f t="shared" si="0"/>
        <v>7991.4</v>
      </c>
    </row>
    <row r="13" spans="1:10" x14ac:dyDescent="0.25">
      <c r="A13" s="190">
        <v>43631</v>
      </c>
      <c r="B13" s="145" t="s">
        <v>260</v>
      </c>
      <c r="C13" s="163">
        <v>124297.36</v>
      </c>
      <c r="D13" s="117"/>
      <c r="E13" s="95"/>
      <c r="F13" s="99">
        <f t="shared" si="0"/>
        <v>124297.36</v>
      </c>
    </row>
    <row r="14" spans="1:10" x14ac:dyDescent="0.25">
      <c r="A14" s="190">
        <v>43631</v>
      </c>
      <c r="B14" s="145" t="s">
        <v>261</v>
      </c>
      <c r="C14" s="163">
        <v>24683.919999999998</v>
      </c>
      <c r="D14" s="117"/>
      <c r="E14" s="95"/>
      <c r="F14" s="99">
        <f t="shared" si="0"/>
        <v>24683.919999999998</v>
      </c>
    </row>
    <row r="15" spans="1:10" x14ac:dyDescent="0.25">
      <c r="A15" s="190">
        <v>43632</v>
      </c>
      <c r="B15" s="145" t="s">
        <v>262</v>
      </c>
      <c r="C15" s="163">
        <v>17749.900000000001</v>
      </c>
      <c r="D15" s="117"/>
      <c r="E15" s="95"/>
      <c r="F15" s="99">
        <f t="shared" si="0"/>
        <v>17749.900000000001</v>
      </c>
    </row>
    <row r="16" spans="1:10" x14ac:dyDescent="0.25">
      <c r="A16" s="190">
        <v>43632</v>
      </c>
      <c r="B16" s="145" t="s">
        <v>263</v>
      </c>
      <c r="C16" s="163">
        <v>10411</v>
      </c>
      <c r="D16" s="117"/>
      <c r="E16" s="95"/>
      <c r="F16" s="99">
        <f t="shared" si="0"/>
        <v>10411</v>
      </c>
    </row>
    <row r="17" spans="1:6" x14ac:dyDescent="0.25">
      <c r="A17" s="190">
        <v>43633</v>
      </c>
      <c r="B17" s="145" t="s">
        <v>264</v>
      </c>
      <c r="C17" s="163">
        <v>165879.35999999999</v>
      </c>
      <c r="D17" s="117"/>
      <c r="E17" s="95"/>
      <c r="F17" s="99">
        <f t="shared" si="0"/>
        <v>165879.35999999999</v>
      </c>
    </row>
    <row r="18" spans="1:6" x14ac:dyDescent="0.25">
      <c r="A18" s="190">
        <v>43634</v>
      </c>
      <c r="B18" s="145" t="s">
        <v>265</v>
      </c>
      <c r="C18" s="163">
        <v>9283.2000000000007</v>
      </c>
      <c r="D18" s="117"/>
      <c r="E18" s="95"/>
      <c r="F18" s="99">
        <f t="shared" si="0"/>
        <v>9283.2000000000007</v>
      </c>
    </row>
    <row r="19" spans="1:6" x14ac:dyDescent="0.25">
      <c r="A19" s="190">
        <v>43635</v>
      </c>
      <c r="B19" s="145" t="s">
        <v>266</v>
      </c>
      <c r="C19" s="163">
        <v>2820</v>
      </c>
      <c r="D19" s="117"/>
      <c r="E19" s="95"/>
      <c r="F19" s="99">
        <f t="shared" si="0"/>
        <v>2820</v>
      </c>
    </row>
    <row r="20" spans="1:6" x14ac:dyDescent="0.25">
      <c r="A20" s="190">
        <v>43636</v>
      </c>
      <c r="B20" s="145" t="s">
        <v>267</v>
      </c>
      <c r="C20" s="163">
        <v>124590.96</v>
      </c>
      <c r="D20" s="117"/>
      <c r="E20" s="95"/>
      <c r="F20" s="99">
        <f t="shared" si="0"/>
        <v>124590.96</v>
      </c>
    </row>
    <row r="21" spans="1:6" x14ac:dyDescent="0.25">
      <c r="A21" s="190">
        <v>43636</v>
      </c>
      <c r="B21" s="145" t="s">
        <v>268</v>
      </c>
      <c r="C21" s="163">
        <v>170557.58</v>
      </c>
      <c r="D21" s="117"/>
      <c r="E21" s="95"/>
      <c r="F21" s="99">
        <f t="shared" si="0"/>
        <v>170557.58</v>
      </c>
    </row>
    <row r="22" spans="1:6" x14ac:dyDescent="0.25">
      <c r="A22" s="190">
        <v>43637</v>
      </c>
      <c r="B22" s="145" t="s">
        <v>269</v>
      </c>
      <c r="C22" s="163">
        <v>65327.14</v>
      </c>
      <c r="D22" s="117"/>
      <c r="E22" s="95"/>
      <c r="F22" s="99">
        <f t="shared" si="0"/>
        <v>65327.14</v>
      </c>
    </row>
    <row r="23" spans="1:6" x14ac:dyDescent="0.25">
      <c r="A23" s="190">
        <v>43638</v>
      </c>
      <c r="B23" s="145" t="s">
        <v>270</v>
      </c>
      <c r="C23" s="163">
        <v>101680.2</v>
      </c>
      <c r="D23" s="117"/>
      <c r="E23" s="95"/>
      <c r="F23" s="99">
        <f t="shared" si="0"/>
        <v>101680.2</v>
      </c>
    </row>
    <row r="24" spans="1:6" x14ac:dyDescent="0.25">
      <c r="A24" s="190">
        <v>43639</v>
      </c>
      <c r="B24" s="145" t="s">
        <v>271</v>
      </c>
      <c r="C24" s="163">
        <v>7209.6</v>
      </c>
      <c r="D24" s="117"/>
      <c r="E24" s="95"/>
      <c r="F24" s="99">
        <f t="shared" si="0"/>
        <v>7209.6</v>
      </c>
    </row>
    <row r="25" spans="1:6" x14ac:dyDescent="0.25">
      <c r="A25" s="190">
        <v>43640</v>
      </c>
      <c r="B25" s="145" t="s">
        <v>272</v>
      </c>
      <c r="C25" s="163">
        <v>95272.14</v>
      </c>
      <c r="D25" s="117"/>
      <c r="E25" s="95"/>
      <c r="F25" s="99">
        <f t="shared" si="0"/>
        <v>95272.14</v>
      </c>
    </row>
    <row r="26" spans="1:6" x14ac:dyDescent="0.25">
      <c r="A26" s="190">
        <v>43642</v>
      </c>
      <c r="B26" s="145" t="s">
        <v>273</v>
      </c>
      <c r="C26" s="163">
        <v>74190.44</v>
      </c>
      <c r="D26" s="117"/>
      <c r="E26" s="95"/>
      <c r="F26" s="99">
        <f t="shared" si="0"/>
        <v>74190.44</v>
      </c>
    </row>
    <row r="27" spans="1:6" x14ac:dyDescent="0.25">
      <c r="A27" s="190">
        <v>43642</v>
      </c>
      <c r="B27" s="145" t="s">
        <v>274</v>
      </c>
      <c r="C27" s="163">
        <v>5428.8</v>
      </c>
      <c r="D27" s="93"/>
      <c r="E27" s="95"/>
      <c r="F27" s="99">
        <f t="shared" si="0"/>
        <v>5428.8</v>
      </c>
    </row>
    <row r="28" spans="1:6" x14ac:dyDescent="0.25">
      <c r="A28" s="190">
        <v>43642</v>
      </c>
      <c r="B28" s="145" t="s">
        <v>275</v>
      </c>
      <c r="C28" s="163">
        <v>2776.8</v>
      </c>
      <c r="D28" s="93"/>
      <c r="E28" s="95"/>
      <c r="F28" s="99">
        <f t="shared" si="0"/>
        <v>2776.8</v>
      </c>
    </row>
    <row r="29" spans="1:6" x14ac:dyDescent="0.25">
      <c r="A29" s="190">
        <v>43643</v>
      </c>
      <c r="B29" s="145" t="s">
        <v>276</v>
      </c>
      <c r="C29" s="163">
        <v>112119.5</v>
      </c>
      <c r="D29" s="93"/>
      <c r="E29" s="95"/>
      <c r="F29" s="99">
        <f t="shared" si="0"/>
        <v>112119.5</v>
      </c>
    </row>
    <row r="30" spans="1:6" x14ac:dyDescent="0.25">
      <c r="A30" s="190">
        <v>43644</v>
      </c>
      <c r="B30" s="145" t="s">
        <v>277</v>
      </c>
      <c r="C30" s="163">
        <v>109341.55</v>
      </c>
      <c r="D30" s="93"/>
      <c r="E30" s="95"/>
      <c r="F30" s="99">
        <f t="shared" si="0"/>
        <v>109341.55</v>
      </c>
    </row>
    <row r="31" spans="1:6" x14ac:dyDescent="0.25">
      <c r="A31" s="190">
        <v>43644</v>
      </c>
      <c r="B31" s="145" t="s">
        <v>278</v>
      </c>
      <c r="C31" s="163">
        <v>29894</v>
      </c>
      <c r="D31" s="93"/>
      <c r="E31" s="95"/>
      <c r="F31" s="99">
        <f t="shared" si="0"/>
        <v>29894</v>
      </c>
    </row>
    <row r="32" spans="1:6" x14ac:dyDescent="0.25">
      <c r="A32" s="190">
        <v>43644</v>
      </c>
      <c r="B32" s="145" t="s">
        <v>279</v>
      </c>
      <c r="C32" s="163">
        <v>2772.26</v>
      </c>
      <c r="D32" s="93"/>
      <c r="E32" s="95"/>
      <c r="F32" s="99">
        <f t="shared" si="0"/>
        <v>2772.26</v>
      </c>
    </row>
    <row r="33" spans="1:6" x14ac:dyDescent="0.25">
      <c r="A33" s="190">
        <v>43645</v>
      </c>
      <c r="B33" s="145" t="s">
        <v>280</v>
      </c>
      <c r="C33" s="163">
        <v>20603.8</v>
      </c>
      <c r="D33" s="93"/>
      <c r="E33" s="95"/>
      <c r="F33" s="99">
        <f t="shared" si="0"/>
        <v>20603.8</v>
      </c>
    </row>
    <row r="34" spans="1:6" x14ac:dyDescent="0.25">
      <c r="A34" s="190">
        <v>43645</v>
      </c>
      <c r="B34" s="145" t="s">
        <v>281</v>
      </c>
      <c r="C34" s="163">
        <v>76866.86</v>
      </c>
      <c r="D34" s="93"/>
      <c r="E34" s="95"/>
      <c r="F34" s="99">
        <f t="shared" si="0"/>
        <v>76866.86</v>
      </c>
    </row>
    <row r="35" spans="1:6" x14ac:dyDescent="0.25">
      <c r="A35" s="190">
        <v>43646</v>
      </c>
      <c r="B35" s="145" t="s">
        <v>282</v>
      </c>
      <c r="C35" s="163">
        <v>13855.03</v>
      </c>
      <c r="D35" s="93"/>
      <c r="E35" s="95"/>
      <c r="F35" s="99">
        <f t="shared" si="0"/>
        <v>13855.03</v>
      </c>
    </row>
    <row r="36" spans="1:6" x14ac:dyDescent="0.25">
      <c r="A36" s="190">
        <v>43647</v>
      </c>
      <c r="B36" s="145" t="s">
        <v>283</v>
      </c>
      <c r="C36" s="163">
        <v>46136.5</v>
      </c>
      <c r="D36" s="210"/>
      <c r="E36" s="95"/>
      <c r="F36" s="99">
        <f t="shared" si="0"/>
        <v>46136.5</v>
      </c>
    </row>
    <row r="37" spans="1:6" x14ac:dyDescent="0.25">
      <c r="A37" s="101">
        <v>43647</v>
      </c>
      <c r="B37" s="102" t="s">
        <v>284</v>
      </c>
      <c r="C37" s="95">
        <v>6543.63</v>
      </c>
      <c r="D37" s="93"/>
      <c r="E37" s="95"/>
      <c r="F37" s="99">
        <f t="shared" si="0"/>
        <v>6543.63</v>
      </c>
    </row>
    <row r="38" spans="1:6" x14ac:dyDescent="0.25">
      <c r="A38" s="101">
        <v>43648</v>
      </c>
      <c r="B38" s="102" t="s">
        <v>285</v>
      </c>
      <c r="C38" s="95">
        <v>108817.4</v>
      </c>
      <c r="D38" s="93"/>
      <c r="E38" s="95"/>
      <c r="F38" s="99">
        <f t="shared" si="0"/>
        <v>108817.4</v>
      </c>
    </row>
    <row r="39" spans="1:6" x14ac:dyDescent="0.25">
      <c r="A39" s="217">
        <v>43644</v>
      </c>
      <c r="B39" s="218" t="s">
        <v>286</v>
      </c>
      <c r="C39" s="219">
        <v>6360</v>
      </c>
      <c r="D39" s="164" t="s">
        <v>287</v>
      </c>
      <c r="E39" s="219"/>
      <c r="F39" s="220">
        <f t="shared" si="0"/>
        <v>6360</v>
      </c>
    </row>
    <row r="40" spans="1:6" ht="16.5" thickBot="1" x14ac:dyDescent="0.3">
      <c r="A40" s="103" t="s">
        <v>36</v>
      </c>
      <c r="B40" s="104"/>
      <c r="C40" s="105"/>
      <c r="D40" s="106"/>
      <c r="E40" s="107">
        <v>110805.3</v>
      </c>
      <c r="F40" s="108">
        <f t="shared" si="0"/>
        <v>-110805.3</v>
      </c>
    </row>
    <row r="41" spans="1:6" s="113" customFormat="1" ht="19.5" thickBot="1" x14ac:dyDescent="0.35">
      <c r="A41" s="109"/>
      <c r="B41" s="110"/>
      <c r="C41" s="111">
        <f>SUM(C3:C40)</f>
        <v>2162378.62</v>
      </c>
      <c r="D41" s="111"/>
      <c r="E41" s="112">
        <f>SUM(E3:E40)</f>
        <v>110805.3</v>
      </c>
      <c r="F41" s="112">
        <f>SUM(F3:F40)</f>
        <v>2051573.32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ECB4-C7B8-4E63-8B3B-9D38D98E6875}">
  <sheetPr>
    <tabColor rgb="FFFFFF00"/>
  </sheetPr>
  <dimension ref="A1:P51"/>
  <sheetViews>
    <sheetView topLeftCell="A31" workbookViewId="0">
      <selection activeCell="O17" sqref="O1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4.7109375" style="5" customWidth="1"/>
    <col min="14" max="14" width="15.28515625" style="169" customWidth="1"/>
  </cols>
  <sheetData>
    <row r="1" spans="1:16" ht="23.25" x14ac:dyDescent="0.35">
      <c r="A1" s="1"/>
      <c r="B1" s="269" t="s">
        <v>289</v>
      </c>
      <c r="C1" s="269"/>
      <c r="D1" s="269"/>
      <c r="E1" s="269"/>
      <c r="F1" s="269"/>
      <c r="G1" s="269"/>
      <c r="H1" s="269"/>
      <c r="I1" s="269"/>
      <c r="J1" s="269"/>
      <c r="L1" s="3" t="s">
        <v>0</v>
      </c>
      <c r="M1" s="233"/>
      <c r="N1" s="168"/>
    </row>
    <row r="2" spans="1:16" x14ac:dyDescent="0.25">
      <c r="A2" s="1"/>
      <c r="B2" s="5"/>
      <c r="D2" s="227"/>
      <c r="E2" s="8"/>
      <c r="L2" s="9"/>
      <c r="M2" s="9"/>
      <c r="N2" s="168"/>
    </row>
    <row r="3" spans="1:16" ht="19.5" customHeight="1" thickBot="1" x14ac:dyDescent="0.35">
      <c r="A3" s="276" t="s">
        <v>1</v>
      </c>
      <c r="B3" s="277"/>
      <c r="C3" s="10"/>
      <c r="D3" s="270" t="s">
        <v>2</v>
      </c>
      <c r="E3" s="270"/>
      <c r="F3" s="270"/>
      <c r="G3" s="271">
        <v>2000</v>
      </c>
      <c r="H3" s="271"/>
      <c r="I3" s="5"/>
      <c r="L3" s="9"/>
      <c r="M3" s="194"/>
      <c r="N3" s="168"/>
    </row>
    <row r="4" spans="1:16" ht="20.25" thickTop="1" thickBot="1" x14ac:dyDescent="0.35">
      <c r="A4" s="120"/>
      <c r="B4" s="11">
        <v>134907.88</v>
      </c>
      <c r="C4" s="230">
        <v>43649</v>
      </c>
      <c r="D4" s="272" t="s">
        <v>3</v>
      </c>
      <c r="E4" s="273"/>
      <c r="H4" s="274" t="s">
        <v>4</v>
      </c>
      <c r="I4" s="275"/>
      <c r="J4" s="275"/>
      <c r="K4" s="275"/>
      <c r="L4" s="13" t="s">
        <v>240</v>
      </c>
      <c r="M4" s="195"/>
      <c r="O4" s="150"/>
      <c r="P4" s="150"/>
    </row>
    <row r="5" spans="1:16" ht="17.25" thickTop="1" thickBot="1" x14ac:dyDescent="0.3">
      <c r="A5" s="15"/>
      <c r="B5" s="16">
        <v>0</v>
      </c>
      <c r="C5" s="12"/>
      <c r="D5" s="181">
        <v>43650</v>
      </c>
      <c r="E5" s="178">
        <v>40151.85</v>
      </c>
      <c r="F5" s="182"/>
      <c r="G5" s="183">
        <v>43650</v>
      </c>
      <c r="H5" s="184">
        <v>0</v>
      </c>
      <c r="I5" s="21"/>
      <c r="J5" s="22"/>
      <c r="K5" s="22"/>
      <c r="L5" s="142">
        <f>25000+47491</f>
        <v>72491</v>
      </c>
      <c r="M5" s="177"/>
      <c r="N5" s="235">
        <f>L5-E5</f>
        <v>32339.15</v>
      </c>
      <c r="O5" s="149"/>
      <c r="P5" s="150"/>
    </row>
    <row r="6" spans="1:16" ht="16.5" thickBot="1" x14ac:dyDescent="0.3">
      <c r="A6" s="25"/>
      <c r="B6" s="16">
        <v>0</v>
      </c>
      <c r="C6" s="12"/>
      <c r="D6" s="181">
        <v>43651</v>
      </c>
      <c r="E6" s="178">
        <v>47270.15</v>
      </c>
      <c r="F6" s="185"/>
      <c r="G6" s="183">
        <v>43651</v>
      </c>
      <c r="H6" s="240">
        <v>0</v>
      </c>
      <c r="I6" s="241"/>
      <c r="J6" s="242" t="s">
        <v>6</v>
      </c>
      <c r="K6" s="243">
        <v>549</v>
      </c>
      <c r="L6" s="142">
        <v>53025</v>
      </c>
      <c r="M6" s="177"/>
      <c r="N6" s="235">
        <f>L6-E6</f>
        <v>5754.8499999999985</v>
      </c>
      <c r="O6" s="149"/>
      <c r="P6" s="150"/>
    </row>
    <row r="7" spans="1:16" ht="16.5" thickBot="1" x14ac:dyDescent="0.3">
      <c r="A7" s="25"/>
      <c r="B7" s="16">
        <v>0</v>
      </c>
      <c r="C7" s="12"/>
      <c r="D7" s="181">
        <v>43652</v>
      </c>
      <c r="E7" s="178">
        <v>84749.3</v>
      </c>
      <c r="F7" s="150"/>
      <c r="G7" s="183">
        <v>43652</v>
      </c>
      <c r="H7" s="240">
        <v>0</v>
      </c>
      <c r="I7" s="244">
        <v>43650</v>
      </c>
      <c r="J7" s="245" t="s">
        <v>7</v>
      </c>
      <c r="K7" s="246">
        <v>10097</v>
      </c>
      <c r="L7" s="142">
        <v>91553</v>
      </c>
      <c r="M7" s="177"/>
      <c r="N7" s="235">
        <f>L7-E7+H7-M7</f>
        <v>6803.6999999999971</v>
      </c>
      <c r="O7" s="152"/>
      <c r="P7" s="150"/>
    </row>
    <row r="8" spans="1:16" ht="16.5" thickBot="1" x14ac:dyDescent="0.3">
      <c r="A8" s="25"/>
      <c r="B8" s="16">
        <v>0</v>
      </c>
      <c r="C8" s="34"/>
      <c r="D8" s="181">
        <v>43653</v>
      </c>
      <c r="E8" s="178">
        <v>58641.3</v>
      </c>
      <c r="F8" s="150"/>
      <c r="G8" s="183">
        <v>43653</v>
      </c>
      <c r="H8" s="240">
        <v>0</v>
      </c>
      <c r="I8" s="241"/>
      <c r="J8" s="242" t="s">
        <v>8</v>
      </c>
      <c r="K8" s="247">
        <f>7187.5+7187.5+7187.5+7187.5</f>
        <v>28750</v>
      </c>
      <c r="L8" s="142">
        <v>58852</v>
      </c>
      <c r="M8" s="212"/>
      <c r="N8" s="235">
        <f>L8-E8-M8+K17</f>
        <v>1110.6999999999971</v>
      </c>
      <c r="O8" s="151"/>
      <c r="P8" s="150"/>
    </row>
    <row r="9" spans="1:16" ht="16.5" thickBot="1" x14ac:dyDescent="0.3">
      <c r="A9" s="25"/>
      <c r="B9" s="16">
        <v>0</v>
      </c>
      <c r="C9" s="36"/>
      <c r="D9" s="181">
        <v>43654</v>
      </c>
      <c r="E9" s="178">
        <v>57853.9</v>
      </c>
      <c r="F9" s="150"/>
      <c r="G9" s="183">
        <v>43654</v>
      </c>
      <c r="H9" s="240">
        <v>90</v>
      </c>
      <c r="I9" s="248">
        <v>43652</v>
      </c>
      <c r="J9" s="242" t="s">
        <v>290</v>
      </c>
      <c r="K9" s="243">
        <v>10823.98</v>
      </c>
      <c r="L9" s="142">
        <v>68764</v>
      </c>
      <c r="M9" s="177"/>
      <c r="N9" s="235">
        <f>L9-E9+H9</f>
        <v>11000.099999999999</v>
      </c>
      <c r="O9" s="152"/>
      <c r="P9" s="150"/>
    </row>
    <row r="10" spans="1:16" ht="16.5" thickBot="1" x14ac:dyDescent="0.3">
      <c r="A10" s="25"/>
      <c r="B10" s="16">
        <v>0</v>
      </c>
      <c r="C10" s="34"/>
      <c r="D10" s="181">
        <v>43655</v>
      </c>
      <c r="E10" s="178">
        <v>29843.47</v>
      </c>
      <c r="F10" s="150"/>
      <c r="G10" s="183">
        <v>43655</v>
      </c>
      <c r="H10" s="240">
        <v>0</v>
      </c>
      <c r="I10" s="248">
        <v>43659</v>
      </c>
      <c r="J10" s="242" t="s">
        <v>291</v>
      </c>
      <c r="K10" s="243">
        <v>8738.27</v>
      </c>
      <c r="L10" s="142">
        <f>40000+32322</f>
        <v>72322</v>
      </c>
      <c r="M10" s="177"/>
      <c r="N10" s="235">
        <f>L10-E10</f>
        <v>42478.53</v>
      </c>
      <c r="O10" s="150"/>
      <c r="P10" s="150"/>
    </row>
    <row r="11" spans="1:16" ht="16.5" thickBot="1" x14ac:dyDescent="0.3">
      <c r="A11" s="25"/>
      <c r="B11" s="16">
        <v>0</v>
      </c>
      <c r="C11" s="34"/>
      <c r="D11" s="181">
        <v>43656</v>
      </c>
      <c r="E11" s="178">
        <v>38916.03</v>
      </c>
      <c r="F11" s="150"/>
      <c r="G11" s="183">
        <v>43656</v>
      </c>
      <c r="H11" s="240">
        <v>0</v>
      </c>
      <c r="I11" s="248">
        <v>43666</v>
      </c>
      <c r="J11" s="242" t="s">
        <v>292</v>
      </c>
      <c r="K11" s="243">
        <v>9095.4500000000007</v>
      </c>
      <c r="L11" s="236">
        <f>29773+K14</f>
        <v>38915.86</v>
      </c>
      <c r="M11" s="177" t="s">
        <v>11</v>
      </c>
      <c r="N11" s="192">
        <f>L11-E11</f>
        <v>-0.16999999999825377</v>
      </c>
      <c r="O11" s="149"/>
      <c r="P11" s="150"/>
    </row>
    <row r="12" spans="1:16" ht="16.5" thickBot="1" x14ac:dyDescent="0.3">
      <c r="A12" s="25"/>
      <c r="B12" s="16">
        <v>0</v>
      </c>
      <c r="C12" s="34"/>
      <c r="D12" s="181">
        <v>43657</v>
      </c>
      <c r="E12" s="178">
        <v>53957.55</v>
      </c>
      <c r="F12" s="150"/>
      <c r="G12" s="183">
        <v>43657</v>
      </c>
      <c r="H12" s="240">
        <v>38</v>
      </c>
      <c r="I12" s="248">
        <v>43673</v>
      </c>
      <c r="J12" s="242" t="s">
        <v>293</v>
      </c>
      <c r="K12" s="243">
        <v>9347.7900000000009</v>
      </c>
      <c r="L12" s="142">
        <v>53920</v>
      </c>
      <c r="M12" s="177"/>
      <c r="N12" s="192">
        <f>L12-E12+H12</f>
        <v>0.44999999999708962</v>
      </c>
      <c r="O12" s="150"/>
      <c r="P12" s="150"/>
    </row>
    <row r="13" spans="1:16" ht="16.5" thickBot="1" x14ac:dyDescent="0.3">
      <c r="A13" s="25"/>
      <c r="B13" s="16">
        <v>0</v>
      </c>
      <c r="C13" s="34"/>
      <c r="D13" s="181">
        <v>43658</v>
      </c>
      <c r="E13" s="178">
        <v>91637.22</v>
      </c>
      <c r="F13" s="150"/>
      <c r="G13" s="183">
        <v>43658</v>
      </c>
      <c r="H13" s="240">
        <v>0</v>
      </c>
      <c r="I13" s="249">
        <v>43680</v>
      </c>
      <c r="J13" s="242" t="s">
        <v>294</v>
      </c>
      <c r="K13" s="243">
        <v>10338.27</v>
      </c>
      <c r="L13" s="142">
        <v>91637</v>
      </c>
      <c r="M13" s="177"/>
      <c r="N13" s="192">
        <f t="shared" ref="N13:N36" si="0">L13-E13+H13</f>
        <v>-0.22000000000116415</v>
      </c>
      <c r="O13" s="150"/>
      <c r="P13" s="150"/>
    </row>
    <row r="14" spans="1:16" ht="16.5" thickBot="1" x14ac:dyDescent="0.3">
      <c r="A14" s="25"/>
      <c r="B14" s="16">
        <v>0</v>
      </c>
      <c r="C14" s="36"/>
      <c r="D14" s="181">
        <v>43659</v>
      </c>
      <c r="E14" s="178">
        <v>44187.14</v>
      </c>
      <c r="F14" s="150"/>
      <c r="G14" s="183">
        <v>43659</v>
      </c>
      <c r="H14" s="240">
        <v>50</v>
      </c>
      <c r="I14" s="250">
        <v>43656</v>
      </c>
      <c r="J14" s="251" t="s">
        <v>9</v>
      </c>
      <c r="K14" s="252">
        <v>9142.86</v>
      </c>
      <c r="L14" s="142">
        <f>25000+19137</f>
        <v>44137</v>
      </c>
      <c r="M14" s="177"/>
      <c r="N14" s="192">
        <f t="shared" si="0"/>
        <v>-0.13999999999941792</v>
      </c>
      <c r="O14" s="150"/>
      <c r="P14" s="150"/>
    </row>
    <row r="15" spans="1:16" ht="16.5" thickBot="1" x14ac:dyDescent="0.3">
      <c r="A15" s="25"/>
      <c r="B15" s="16">
        <v>0</v>
      </c>
      <c r="C15" s="36"/>
      <c r="D15" s="181">
        <v>43660</v>
      </c>
      <c r="E15" s="178">
        <v>79662.240000000005</v>
      </c>
      <c r="F15" s="150"/>
      <c r="G15" s="183">
        <v>43660</v>
      </c>
      <c r="H15" s="240">
        <v>300.14999999999998</v>
      </c>
      <c r="I15" s="241"/>
      <c r="J15" s="253" t="s">
        <v>295</v>
      </c>
      <c r="K15" s="243">
        <v>0</v>
      </c>
      <c r="L15" s="142">
        <v>79362</v>
      </c>
      <c r="M15" s="177"/>
      <c r="N15" s="192">
        <f t="shared" si="0"/>
        <v>-9.0000000005261427E-2</v>
      </c>
      <c r="O15" s="150"/>
      <c r="P15" s="150"/>
    </row>
    <row r="16" spans="1:16" ht="16.5" thickBot="1" x14ac:dyDescent="0.3">
      <c r="A16" s="25"/>
      <c r="B16" s="16">
        <v>0</v>
      </c>
      <c r="C16" s="36"/>
      <c r="D16" s="181">
        <v>43661</v>
      </c>
      <c r="E16" s="178">
        <v>54247.64</v>
      </c>
      <c r="F16" s="150"/>
      <c r="G16" s="183">
        <v>43661</v>
      </c>
      <c r="H16" s="240">
        <v>0</v>
      </c>
      <c r="I16" s="241"/>
      <c r="J16" s="254"/>
      <c r="K16" s="255">
        <v>0</v>
      </c>
      <c r="L16" s="142">
        <f>25000+30000+9248</f>
        <v>64248</v>
      </c>
      <c r="M16" s="177"/>
      <c r="N16" s="211">
        <f t="shared" si="0"/>
        <v>10000.36</v>
      </c>
      <c r="O16" s="150" t="s">
        <v>367</v>
      </c>
      <c r="P16" s="149"/>
    </row>
    <row r="17" spans="1:16" ht="16.5" thickBot="1" x14ac:dyDescent="0.3">
      <c r="A17" s="25"/>
      <c r="B17" s="16">
        <v>0</v>
      </c>
      <c r="C17" s="36"/>
      <c r="D17" s="181">
        <v>43662</v>
      </c>
      <c r="E17" s="178">
        <v>71820.92</v>
      </c>
      <c r="F17" s="150"/>
      <c r="G17" s="183">
        <v>43662</v>
      </c>
      <c r="H17" s="240">
        <v>0</v>
      </c>
      <c r="I17" s="256">
        <v>43653</v>
      </c>
      <c r="J17" s="257" t="s">
        <v>12</v>
      </c>
      <c r="K17" s="255">
        <v>900</v>
      </c>
      <c r="L17" s="142">
        <f>30000+25000+16821</f>
        <v>71821</v>
      </c>
      <c r="M17" s="177"/>
      <c r="N17" s="192">
        <f t="shared" si="0"/>
        <v>8.000000000174623E-2</v>
      </c>
      <c r="O17" s="150"/>
      <c r="P17" s="150"/>
    </row>
    <row r="18" spans="1:16" ht="16.5" thickBot="1" x14ac:dyDescent="0.3">
      <c r="A18" s="25"/>
      <c r="B18" s="16">
        <v>0</v>
      </c>
      <c r="C18" s="34"/>
      <c r="D18" s="181">
        <v>43663</v>
      </c>
      <c r="E18" s="178">
        <v>55104.38</v>
      </c>
      <c r="F18" s="150"/>
      <c r="G18" s="183">
        <v>43663</v>
      </c>
      <c r="H18" s="160">
        <v>0</v>
      </c>
      <c r="I18" s="44"/>
      <c r="K18" s="8"/>
      <c r="L18" s="142">
        <f>20000+25000+10104.5</f>
        <v>55104.5</v>
      </c>
      <c r="M18" s="177"/>
      <c r="N18" s="192">
        <f t="shared" si="0"/>
        <v>0.12000000000261934</v>
      </c>
      <c r="O18" s="150"/>
    </row>
    <row r="19" spans="1:16" ht="16.5" thickBot="1" x14ac:dyDescent="0.3">
      <c r="A19" s="25"/>
      <c r="B19" s="16">
        <v>0</v>
      </c>
      <c r="C19" s="36"/>
      <c r="D19" s="181">
        <v>43664</v>
      </c>
      <c r="E19" s="178">
        <v>53986.55</v>
      </c>
      <c r="F19" s="150"/>
      <c r="G19" s="183">
        <v>43664</v>
      </c>
      <c r="H19" s="160">
        <v>38</v>
      </c>
      <c r="I19" s="28"/>
      <c r="K19" s="8">
        <v>0</v>
      </c>
      <c r="L19" s="142">
        <f>30000+23948.5</f>
        <v>53948.5</v>
      </c>
      <c r="M19" s="177"/>
      <c r="N19" s="192">
        <f>L19-E19+H19</f>
        <v>-5.0000000002910383E-2</v>
      </c>
    </row>
    <row r="20" spans="1:16" ht="16.5" thickBot="1" x14ac:dyDescent="0.3">
      <c r="A20" s="25"/>
      <c r="B20" s="16">
        <v>0</v>
      </c>
      <c r="C20" s="46"/>
      <c r="D20" s="181">
        <v>43665</v>
      </c>
      <c r="E20" s="178">
        <v>81479.97</v>
      </c>
      <c r="F20" s="186"/>
      <c r="G20" s="183">
        <v>43665</v>
      </c>
      <c r="H20" s="160">
        <v>0</v>
      </c>
      <c r="I20" s="162"/>
      <c r="J20" s="48"/>
      <c r="K20" s="28" t="s">
        <v>10</v>
      </c>
      <c r="L20" s="142">
        <f>25000+30000+20000+6480</f>
        <v>81480</v>
      </c>
      <c r="M20" s="177"/>
      <c r="N20" s="192">
        <f t="shared" si="0"/>
        <v>2.9999999998835847E-2</v>
      </c>
    </row>
    <row r="21" spans="1:16" ht="16.5" thickBot="1" x14ac:dyDescent="0.3">
      <c r="A21" s="25"/>
      <c r="B21" s="16">
        <v>0</v>
      </c>
      <c r="C21" s="46"/>
      <c r="D21" s="181">
        <v>43666</v>
      </c>
      <c r="E21" s="178">
        <v>85371.11</v>
      </c>
      <c r="F21" s="150"/>
      <c r="G21" s="183">
        <v>43666</v>
      </c>
      <c r="H21" s="160">
        <v>0</v>
      </c>
      <c r="I21" s="33"/>
      <c r="J21" s="49"/>
      <c r="K21" s="28"/>
      <c r="L21" s="142">
        <f>25000+45000+15371</f>
        <v>85371</v>
      </c>
      <c r="M21" s="177"/>
      <c r="N21" s="192">
        <f t="shared" si="0"/>
        <v>-0.11000000000058208</v>
      </c>
    </row>
    <row r="22" spans="1:16" ht="16.5" thickBot="1" x14ac:dyDescent="0.3">
      <c r="A22" s="25"/>
      <c r="B22" s="16">
        <v>0</v>
      </c>
      <c r="C22" s="36"/>
      <c r="D22" s="181">
        <v>43667</v>
      </c>
      <c r="E22" s="178">
        <v>63283.9</v>
      </c>
      <c r="F22" s="150"/>
      <c r="G22" s="183">
        <v>43667</v>
      </c>
      <c r="H22" s="160">
        <v>0</v>
      </c>
      <c r="I22" s="47" t="s">
        <v>11</v>
      </c>
      <c r="J22" s="50"/>
      <c r="K22" s="28">
        <v>0</v>
      </c>
      <c r="L22" s="142">
        <f>35000+28284</f>
        <v>63284</v>
      </c>
      <c r="M22" s="177"/>
      <c r="N22" s="192">
        <f t="shared" si="0"/>
        <v>9.9999999998544808E-2</v>
      </c>
    </row>
    <row r="23" spans="1:16" ht="16.5" thickBot="1" x14ac:dyDescent="0.3">
      <c r="A23" s="25"/>
      <c r="B23" s="16">
        <v>0</v>
      </c>
      <c r="C23" s="36"/>
      <c r="D23" s="181">
        <v>43668</v>
      </c>
      <c r="E23" s="178">
        <v>79339.179999999993</v>
      </c>
      <c r="F23" s="150"/>
      <c r="G23" s="183">
        <v>43668</v>
      </c>
      <c r="H23" s="160">
        <v>90</v>
      </c>
      <c r="I23" s="28"/>
      <c r="J23" s="49"/>
      <c r="K23" s="28">
        <v>0</v>
      </c>
      <c r="L23" s="142">
        <v>79259</v>
      </c>
      <c r="M23" s="177"/>
      <c r="N23" s="192">
        <f t="shared" si="0"/>
        <v>9.8200000000069849</v>
      </c>
    </row>
    <row r="24" spans="1:16" ht="16.5" thickBot="1" x14ac:dyDescent="0.3">
      <c r="A24" s="25"/>
      <c r="B24" s="16">
        <v>0</v>
      </c>
      <c r="C24" s="36"/>
      <c r="D24" s="181">
        <v>43669</v>
      </c>
      <c r="E24" s="178">
        <v>31986.75</v>
      </c>
      <c r="F24" s="150"/>
      <c r="G24" s="183">
        <v>43669</v>
      </c>
      <c r="H24" s="160">
        <v>0</v>
      </c>
      <c r="I24" s="28"/>
      <c r="J24" s="56"/>
      <c r="K24" s="28">
        <v>0</v>
      </c>
      <c r="L24" s="142">
        <v>31987</v>
      </c>
      <c r="M24" s="177"/>
      <c r="N24" s="192">
        <f t="shared" si="0"/>
        <v>0.25</v>
      </c>
    </row>
    <row r="25" spans="1:16" ht="16.5" thickBot="1" x14ac:dyDescent="0.3">
      <c r="A25" s="25"/>
      <c r="B25" s="16">
        <v>0</v>
      </c>
      <c r="C25" s="46"/>
      <c r="D25" s="181">
        <v>43670</v>
      </c>
      <c r="E25" s="178">
        <v>88419.18</v>
      </c>
      <c r="F25" s="150"/>
      <c r="G25" s="183">
        <v>43670</v>
      </c>
      <c r="H25" s="160">
        <v>0</v>
      </c>
      <c r="I25" s="28"/>
      <c r="J25" s="52"/>
      <c r="K25" s="28"/>
      <c r="L25" s="142">
        <f>83419+5000</f>
        <v>88419</v>
      </c>
      <c r="M25" s="177"/>
      <c r="N25" s="192">
        <f t="shared" si="0"/>
        <v>-0.17999999999301508</v>
      </c>
    </row>
    <row r="26" spans="1:16" ht="16.5" thickBot="1" x14ac:dyDescent="0.3">
      <c r="A26" s="25"/>
      <c r="B26" s="16">
        <v>0</v>
      </c>
      <c r="C26" s="36"/>
      <c r="D26" s="181">
        <v>43671</v>
      </c>
      <c r="E26" s="178">
        <v>65238.2</v>
      </c>
      <c r="F26" s="150"/>
      <c r="G26" s="183">
        <v>43671</v>
      </c>
      <c r="H26" s="160">
        <v>0</v>
      </c>
      <c r="I26" s="40"/>
      <c r="J26" s="53"/>
      <c r="K26" s="28">
        <v>0</v>
      </c>
      <c r="L26" s="142">
        <f>30000+35238</f>
        <v>65238</v>
      </c>
      <c r="M26" s="177"/>
      <c r="N26" s="192">
        <f t="shared" si="0"/>
        <v>-0.19999999999708962</v>
      </c>
    </row>
    <row r="27" spans="1:16" ht="16.5" thickBot="1" x14ac:dyDescent="0.3">
      <c r="A27" s="25"/>
      <c r="B27" s="16">
        <v>0</v>
      </c>
      <c r="C27" s="36"/>
      <c r="D27" s="181">
        <v>43672</v>
      </c>
      <c r="E27" s="178">
        <v>83937.48</v>
      </c>
      <c r="F27" s="150"/>
      <c r="G27" s="183">
        <v>43672</v>
      </c>
      <c r="H27" s="160">
        <v>50</v>
      </c>
      <c r="I27" s="40"/>
      <c r="J27" s="54"/>
      <c r="K27" s="28">
        <v>0</v>
      </c>
      <c r="L27" s="142">
        <v>83887.5</v>
      </c>
      <c r="M27" s="177"/>
      <c r="N27" s="192">
        <f t="shared" si="0"/>
        <v>2.0000000004074536E-2</v>
      </c>
    </row>
    <row r="28" spans="1:16" ht="16.5" thickBot="1" x14ac:dyDescent="0.3">
      <c r="A28" s="25"/>
      <c r="B28" s="16">
        <v>0</v>
      </c>
      <c r="C28" s="36"/>
      <c r="D28" s="181">
        <v>43673</v>
      </c>
      <c r="E28" s="178">
        <v>94298.07</v>
      </c>
      <c r="F28" s="150"/>
      <c r="G28" s="183">
        <v>43673</v>
      </c>
      <c r="H28" s="187">
        <v>0</v>
      </c>
      <c r="I28" s="28"/>
      <c r="J28" s="55"/>
      <c r="K28" s="28">
        <v>0</v>
      </c>
      <c r="L28" s="142">
        <v>94298</v>
      </c>
      <c r="M28" s="177"/>
      <c r="N28" s="192">
        <f t="shared" si="0"/>
        <v>-7.0000000006984919E-2</v>
      </c>
    </row>
    <row r="29" spans="1:16" ht="16.5" thickBot="1" x14ac:dyDescent="0.3">
      <c r="A29" s="1"/>
      <c r="B29" s="16">
        <v>0</v>
      </c>
      <c r="C29" s="36"/>
      <c r="D29" s="181">
        <v>43674</v>
      </c>
      <c r="E29" s="188">
        <v>40721.19</v>
      </c>
      <c r="F29" s="150"/>
      <c r="G29" s="183">
        <v>43674</v>
      </c>
      <c r="H29" s="187">
        <v>150</v>
      </c>
      <c r="I29" s="40"/>
      <c r="K29" s="28"/>
      <c r="L29" s="142">
        <v>40571</v>
      </c>
      <c r="M29" s="177"/>
      <c r="N29" s="192">
        <f t="shared" si="0"/>
        <v>-0.19000000000232831</v>
      </c>
    </row>
    <row r="30" spans="1:16" ht="16.5" thickBot="1" x14ac:dyDescent="0.3">
      <c r="A30" s="1"/>
      <c r="B30" s="16">
        <v>0</v>
      </c>
      <c r="C30" s="36"/>
      <c r="D30" s="181">
        <v>43675</v>
      </c>
      <c r="E30" s="188">
        <v>67351.59</v>
      </c>
      <c r="F30" s="150"/>
      <c r="G30" s="183">
        <v>43675</v>
      </c>
      <c r="H30" s="187">
        <v>90</v>
      </c>
      <c r="I30" s="28"/>
      <c r="J30" s="55"/>
      <c r="K30" s="28"/>
      <c r="L30" s="142">
        <v>67261.5</v>
      </c>
      <c r="M30" s="177"/>
      <c r="N30" s="192">
        <f t="shared" si="0"/>
        <v>-8.999999999650754E-2</v>
      </c>
    </row>
    <row r="31" spans="1:16" ht="16.5" thickBot="1" x14ac:dyDescent="0.3">
      <c r="A31" s="1"/>
      <c r="B31" s="16">
        <v>0</v>
      </c>
      <c r="C31" s="36"/>
      <c r="D31" s="181">
        <v>43676</v>
      </c>
      <c r="E31" s="188">
        <v>98932.9</v>
      </c>
      <c r="F31" s="150"/>
      <c r="G31" s="183">
        <v>43676</v>
      </c>
      <c r="H31" s="187">
        <v>38</v>
      </c>
      <c r="I31" s="216"/>
      <c r="J31" s="55"/>
      <c r="K31" s="28">
        <v>0</v>
      </c>
      <c r="L31" s="142">
        <v>98895</v>
      </c>
      <c r="M31" s="177"/>
      <c r="N31" s="192">
        <f t="shared" si="0"/>
        <v>0.10000000000582077</v>
      </c>
    </row>
    <row r="32" spans="1:16" ht="16.5" thickBot="1" x14ac:dyDescent="0.3">
      <c r="A32" s="1"/>
      <c r="B32" s="16">
        <v>0</v>
      </c>
      <c r="C32" s="36"/>
      <c r="D32" s="181">
        <v>43677</v>
      </c>
      <c r="E32" s="188">
        <v>58612.1</v>
      </c>
      <c r="F32" s="150"/>
      <c r="G32" s="183">
        <v>43677</v>
      </c>
      <c r="H32" s="187">
        <v>0</v>
      </c>
      <c r="I32" s="28"/>
      <c r="J32" s="55" t="s">
        <v>233</v>
      </c>
      <c r="K32" s="28"/>
      <c r="L32" s="142">
        <f>33612+25000</f>
        <v>58612</v>
      </c>
      <c r="M32" s="177"/>
      <c r="N32" s="192">
        <f t="shared" si="0"/>
        <v>-9.9999999998544808E-2</v>
      </c>
    </row>
    <row r="33" spans="1:14" ht="16.5" thickBot="1" x14ac:dyDescent="0.3">
      <c r="A33" s="1"/>
      <c r="B33" s="16">
        <v>0</v>
      </c>
      <c r="C33" s="36"/>
      <c r="D33" s="181">
        <v>43678</v>
      </c>
      <c r="E33" s="188">
        <v>60715.45</v>
      </c>
      <c r="F33" s="150"/>
      <c r="G33" s="183">
        <v>43678</v>
      </c>
      <c r="H33" s="187">
        <v>0</v>
      </c>
      <c r="I33" s="28"/>
      <c r="J33" s="55"/>
      <c r="K33" s="28"/>
      <c r="L33" s="142">
        <v>60715.5</v>
      </c>
      <c r="M33" s="177"/>
      <c r="N33" s="192">
        <f t="shared" si="0"/>
        <v>5.0000000002910383E-2</v>
      </c>
    </row>
    <row r="34" spans="1:14" ht="16.5" thickBot="1" x14ac:dyDescent="0.3">
      <c r="A34" s="1"/>
      <c r="B34" s="16">
        <v>0</v>
      </c>
      <c r="C34" s="36"/>
      <c r="D34" s="181">
        <v>43679</v>
      </c>
      <c r="E34" s="188">
        <v>96272.9</v>
      </c>
      <c r="F34" s="150"/>
      <c r="G34" s="183">
        <v>43679</v>
      </c>
      <c r="H34" s="187">
        <v>0</v>
      </c>
      <c r="I34" s="40">
        <v>43679</v>
      </c>
      <c r="J34" s="55" t="s">
        <v>79</v>
      </c>
      <c r="K34" s="28">
        <v>870</v>
      </c>
      <c r="L34" s="142">
        <v>95403</v>
      </c>
      <c r="M34" s="177"/>
      <c r="N34" s="192">
        <f>L34-E34+H34+K34</f>
        <v>0.10000000000582077</v>
      </c>
    </row>
    <row r="35" spans="1:14" ht="16.5" thickBot="1" x14ac:dyDescent="0.3">
      <c r="A35" s="1"/>
      <c r="B35" s="16">
        <v>0</v>
      </c>
      <c r="C35" s="36"/>
      <c r="D35" s="181">
        <v>43680</v>
      </c>
      <c r="E35" s="188">
        <v>97263.05</v>
      </c>
      <c r="F35" s="150"/>
      <c r="G35" s="183">
        <v>43680</v>
      </c>
      <c r="H35" s="187">
        <v>0</v>
      </c>
      <c r="I35" s="28"/>
      <c r="J35" s="55"/>
      <c r="K35" s="28"/>
      <c r="L35" s="142">
        <v>97263</v>
      </c>
      <c r="M35" s="177"/>
      <c r="N35" s="192">
        <f t="shared" si="0"/>
        <v>-5.0000000002910383E-2</v>
      </c>
    </row>
    <row r="36" spans="1:14" ht="16.5" thickBot="1" x14ac:dyDescent="0.3">
      <c r="A36" s="1"/>
      <c r="B36" s="16">
        <v>0</v>
      </c>
      <c r="C36" s="36"/>
      <c r="D36" s="181">
        <v>43681</v>
      </c>
      <c r="E36" s="188">
        <v>82270.25</v>
      </c>
      <c r="F36" s="150"/>
      <c r="G36" s="183">
        <v>43681</v>
      </c>
      <c r="H36" s="187">
        <v>0</v>
      </c>
      <c r="I36" s="28"/>
      <c r="J36" s="55"/>
      <c r="K36" s="28"/>
      <c r="L36" s="142">
        <v>82270</v>
      </c>
      <c r="M36" s="177"/>
      <c r="N36" s="192">
        <f t="shared" si="0"/>
        <v>-0.25</v>
      </c>
    </row>
    <row r="37" spans="1:14" ht="16.5" thickBot="1" x14ac:dyDescent="0.3">
      <c r="A37" s="1"/>
      <c r="B37" s="16">
        <v>0</v>
      </c>
      <c r="C37" s="36"/>
      <c r="D37" s="181">
        <v>43682</v>
      </c>
      <c r="E37" s="188">
        <v>119414.69</v>
      </c>
      <c r="F37" s="150"/>
      <c r="G37" s="183">
        <v>43682</v>
      </c>
      <c r="H37" s="187">
        <v>0</v>
      </c>
      <c r="I37" s="28"/>
      <c r="J37" s="55"/>
      <c r="K37" s="28"/>
      <c r="L37" s="142">
        <v>0</v>
      </c>
      <c r="M37" s="177"/>
      <c r="N37" s="192">
        <f t="shared" ref="N37" si="1">L37-E37+H37</f>
        <v>-119414.69</v>
      </c>
    </row>
    <row r="38" spans="1:14" ht="19.5" thickBot="1" x14ac:dyDescent="0.35">
      <c r="A38" s="58"/>
      <c r="B38" s="16">
        <v>0</v>
      </c>
      <c r="C38" s="12"/>
      <c r="D38" s="130"/>
      <c r="E38" s="132">
        <v>0</v>
      </c>
      <c r="F38" s="131"/>
      <c r="G38" s="129"/>
      <c r="H38" s="153">
        <v>0</v>
      </c>
      <c r="I38" s="5"/>
      <c r="J38" s="231"/>
      <c r="K38" s="232"/>
      <c r="L38" s="226">
        <f>SUM(L5:L32)</f>
        <v>1908663.8599999999</v>
      </c>
      <c r="M38" s="201"/>
      <c r="N38" s="177"/>
    </row>
    <row r="39" spans="1:14" ht="15.75" thickBot="1" x14ac:dyDescent="0.3">
      <c r="A39" s="61"/>
      <c r="B39" s="62">
        <f>SUM(B5:B38)</f>
        <v>0</v>
      </c>
      <c r="D39" s="63" t="s">
        <v>15</v>
      </c>
      <c r="E39" s="64">
        <f>SUM(E5:E38)</f>
        <v>2256937.6</v>
      </c>
      <c r="G39" s="227" t="s">
        <v>15</v>
      </c>
      <c r="H39" s="132">
        <f>SUM(H5:H38)</f>
        <v>934.15</v>
      </c>
      <c r="I39" s="28"/>
      <c r="J39" s="65" t="s">
        <v>15</v>
      </c>
      <c r="K39" s="29">
        <f>SUM(K5:K38)</f>
        <v>98652.62</v>
      </c>
      <c r="L39" s="9"/>
      <c r="M39" s="9"/>
      <c r="N39" s="168"/>
    </row>
    <row r="40" spans="1:14" x14ac:dyDescent="0.25">
      <c r="A40" s="1"/>
      <c r="B40" s="5"/>
      <c r="E40" s="5"/>
      <c r="I40" s="5"/>
      <c r="L40" s="9"/>
      <c r="M40" s="9"/>
      <c r="N40" s="168"/>
    </row>
    <row r="41" spans="1:14" ht="16.5" thickBot="1" x14ac:dyDescent="0.3">
      <c r="A41" s="1"/>
      <c r="B41" s="5">
        <v>0</v>
      </c>
      <c r="E41" s="5"/>
      <c r="G41" s="292" t="s">
        <v>16</v>
      </c>
      <c r="H41" s="293"/>
      <c r="I41" s="228"/>
      <c r="J41" s="294">
        <f>H39+K39</f>
        <v>99586.76999999999</v>
      </c>
      <c r="K41" s="295"/>
      <c r="L41" s="67"/>
      <c r="M41" s="67"/>
      <c r="N41" s="237"/>
    </row>
    <row r="42" spans="1:14" ht="15.75" x14ac:dyDescent="0.25">
      <c r="A42" s="1"/>
      <c r="B42" s="69"/>
      <c r="C42" s="278" t="s">
        <v>17</v>
      </c>
      <c r="D42" s="278"/>
      <c r="E42" s="70">
        <f>E39-J41</f>
        <v>2157350.83</v>
      </c>
      <c r="F42" s="71"/>
      <c r="G42" s="71"/>
      <c r="H42" s="72"/>
      <c r="I42" s="72"/>
      <c r="J42" s="73"/>
      <c r="K42" s="74"/>
      <c r="L42" s="67"/>
      <c r="M42" s="67"/>
      <c r="N42" s="176"/>
    </row>
    <row r="43" spans="1:14" x14ac:dyDescent="0.25">
      <c r="A43" s="1"/>
      <c r="B43" s="75"/>
      <c r="D43" s="2" t="s">
        <v>18</v>
      </c>
      <c r="E43" s="28">
        <v>137138.45000000001</v>
      </c>
      <c r="H43" s="279" t="s">
        <v>19</v>
      </c>
      <c r="I43" s="279"/>
      <c r="J43" s="279">
        <f>E47</f>
        <v>123846.24000000043</v>
      </c>
      <c r="K43" s="280"/>
      <c r="L43" s="67"/>
      <c r="M43" s="67"/>
      <c r="N43" s="176"/>
    </row>
    <row r="44" spans="1:14" ht="15.75" thickBot="1" x14ac:dyDescent="0.3">
      <c r="A44" s="1"/>
      <c r="B44" s="75" t="s">
        <v>11</v>
      </c>
      <c r="C44" s="6" t="s">
        <v>20</v>
      </c>
      <c r="E44" s="76">
        <v>-2366416.0699999998</v>
      </c>
      <c r="H44" s="281" t="s">
        <v>1</v>
      </c>
      <c r="I44" s="281"/>
      <c r="J44" s="282">
        <f>-B4</f>
        <v>-134907.88</v>
      </c>
      <c r="K44" s="283"/>
      <c r="L44" s="67"/>
      <c r="M44" s="67"/>
      <c r="N44" s="176"/>
    </row>
    <row r="45" spans="1:14" ht="20.25" thickTop="1" thickBot="1" x14ac:dyDescent="0.3">
      <c r="A45" s="1"/>
      <c r="B45" s="75"/>
      <c r="D45" s="2" t="s">
        <v>21</v>
      </c>
      <c r="E45" s="28">
        <f>SUM(E42:E44)</f>
        <v>-71926.789999999572</v>
      </c>
      <c r="H45" s="284" t="s">
        <v>200</v>
      </c>
      <c r="I45" s="285"/>
      <c r="J45" s="286">
        <f>SUM(J42:K44)</f>
        <v>-11061.639999999577</v>
      </c>
      <c r="K45" s="287"/>
      <c r="L45" s="67"/>
      <c r="M45" s="67"/>
      <c r="N45" s="176"/>
    </row>
    <row r="46" spans="1:14" ht="16.5" thickBot="1" x14ac:dyDescent="0.3">
      <c r="A46" s="1"/>
      <c r="B46" s="75"/>
      <c r="C46" s="10" t="s">
        <v>288</v>
      </c>
      <c r="D46" s="234">
        <v>43682</v>
      </c>
      <c r="E46" s="78">
        <v>195773.03</v>
      </c>
      <c r="F46" s="229"/>
      <c r="J46" s="288"/>
      <c r="K46" s="289"/>
      <c r="L46" s="67"/>
      <c r="M46" s="67"/>
      <c r="N46" s="176"/>
    </row>
    <row r="47" spans="1:14" ht="19.5" thickBot="1" x14ac:dyDescent="0.35">
      <c r="A47" s="1"/>
      <c r="B47" s="79"/>
      <c r="C47" s="80"/>
      <c r="D47" s="80" t="s">
        <v>23</v>
      </c>
      <c r="E47" s="81">
        <f>E46+E45</f>
        <v>123846.24000000043</v>
      </c>
      <c r="F47" s="82"/>
      <c r="G47" s="82"/>
      <c r="H47" s="202"/>
      <c r="I47" s="196"/>
      <c r="J47" s="197"/>
      <c r="K47" s="198"/>
      <c r="L47" s="199"/>
      <c r="M47" s="67"/>
      <c r="N47" s="176"/>
    </row>
    <row r="51" spans="4:4" x14ac:dyDescent="0.25">
      <c r="D51" s="2" t="s">
        <v>11</v>
      </c>
    </row>
  </sheetData>
  <mergeCells count="16">
    <mergeCell ref="B1:J1"/>
    <mergeCell ref="A3:B3"/>
    <mergeCell ref="D3:F3"/>
    <mergeCell ref="G3:H3"/>
    <mergeCell ref="D4:E4"/>
    <mergeCell ref="H4:K4"/>
    <mergeCell ref="C42:D42"/>
    <mergeCell ref="H43:I43"/>
    <mergeCell ref="J43:K43"/>
    <mergeCell ref="H44:I44"/>
    <mergeCell ref="J44:K44"/>
    <mergeCell ref="H45:I45"/>
    <mergeCell ref="J45:K45"/>
    <mergeCell ref="J46:K46"/>
    <mergeCell ref="G41:H41"/>
    <mergeCell ref="J41:K41"/>
  </mergeCells>
  <pageMargins left="1.1499999999999999" right="0.15748031496062992" top="0.35433070866141736" bottom="0.35433070866141736" header="0.31496062992125984" footer="0.31496062992125984"/>
  <pageSetup scale="72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27D7-9BBB-4C3A-AED9-BA235B0EBEC9}">
  <sheetPr>
    <tabColor rgb="FFFFFF00"/>
  </sheetPr>
  <dimension ref="A1:J41"/>
  <sheetViews>
    <sheetView topLeftCell="A31" workbookViewId="0">
      <selection activeCell="C39" sqref="C39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96" t="s">
        <v>29</v>
      </c>
      <c r="D1" s="297"/>
      <c r="E1" s="298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99" t="s">
        <v>35</v>
      </c>
      <c r="I2" s="300"/>
      <c r="J2" s="301"/>
    </row>
    <row r="3" spans="1:10" x14ac:dyDescent="0.25">
      <c r="A3" s="205">
        <v>43650</v>
      </c>
      <c r="B3" s="206" t="s">
        <v>296</v>
      </c>
      <c r="C3" s="207">
        <v>76965.36</v>
      </c>
      <c r="D3" s="117"/>
      <c r="E3" s="92"/>
      <c r="F3" s="94">
        <f t="shared" ref="F3:F40" si="0">C3-E3</f>
        <v>76965.36</v>
      </c>
      <c r="H3" s="302"/>
      <c r="I3" s="303"/>
      <c r="J3" s="304"/>
    </row>
    <row r="4" spans="1:10" x14ac:dyDescent="0.25">
      <c r="A4" s="205">
        <v>43650</v>
      </c>
      <c r="B4" s="208" t="s">
        <v>297</v>
      </c>
      <c r="C4" s="207">
        <v>20179.5</v>
      </c>
      <c r="D4" s="117"/>
      <c r="E4" s="95"/>
      <c r="F4" s="96">
        <f t="shared" si="0"/>
        <v>20179.5</v>
      </c>
      <c r="H4" s="302"/>
      <c r="I4" s="303"/>
      <c r="J4" s="304"/>
    </row>
    <row r="5" spans="1:10" ht="15.75" thickBot="1" x14ac:dyDescent="0.3">
      <c r="A5" s="209">
        <v>43651</v>
      </c>
      <c r="B5" s="143" t="s">
        <v>298</v>
      </c>
      <c r="C5" s="163">
        <v>114221.75999999999</v>
      </c>
      <c r="D5" s="117"/>
      <c r="E5" s="95"/>
      <c r="F5" s="96">
        <f t="shared" si="0"/>
        <v>114221.75999999999</v>
      </c>
      <c r="H5" s="305"/>
      <c r="I5" s="306"/>
      <c r="J5" s="307"/>
    </row>
    <row r="6" spans="1:10" x14ac:dyDescent="0.25">
      <c r="A6" s="209">
        <v>43652</v>
      </c>
      <c r="B6" s="143" t="s">
        <v>299</v>
      </c>
      <c r="C6" s="163">
        <v>4497.6000000000004</v>
      </c>
      <c r="D6" s="117"/>
      <c r="E6" s="95"/>
      <c r="F6" s="99">
        <f t="shared" si="0"/>
        <v>4497.6000000000004</v>
      </c>
    </row>
    <row r="7" spans="1:10" x14ac:dyDescent="0.25">
      <c r="A7" s="209">
        <v>43652</v>
      </c>
      <c r="B7" s="143" t="s">
        <v>300</v>
      </c>
      <c r="C7" s="163">
        <v>115955.4</v>
      </c>
      <c r="D7" s="117"/>
      <c r="E7" s="95"/>
      <c r="F7" s="99">
        <f t="shared" si="0"/>
        <v>115955.4</v>
      </c>
    </row>
    <row r="8" spans="1:10" x14ac:dyDescent="0.25">
      <c r="A8" s="209">
        <v>43654</v>
      </c>
      <c r="B8" s="143" t="s">
        <v>301</v>
      </c>
      <c r="C8" s="163">
        <v>12398.98</v>
      </c>
      <c r="D8" s="117"/>
      <c r="E8" s="95"/>
      <c r="F8" s="99">
        <f t="shared" si="0"/>
        <v>12398.98</v>
      </c>
    </row>
    <row r="9" spans="1:10" x14ac:dyDescent="0.25">
      <c r="A9" s="209">
        <v>43654</v>
      </c>
      <c r="B9" s="143" t="s">
        <v>302</v>
      </c>
      <c r="C9" s="163">
        <v>8496</v>
      </c>
      <c r="D9" s="117"/>
      <c r="E9" s="95"/>
      <c r="F9" s="99">
        <f t="shared" si="0"/>
        <v>8496</v>
      </c>
    </row>
    <row r="10" spans="1:10" x14ac:dyDescent="0.25">
      <c r="A10" s="209">
        <v>43656</v>
      </c>
      <c r="B10" s="143" t="s">
        <v>303</v>
      </c>
      <c r="C10" s="163">
        <v>84468.36</v>
      </c>
      <c r="D10" s="117"/>
      <c r="E10" s="95"/>
      <c r="F10" s="99">
        <f t="shared" si="0"/>
        <v>84468.36</v>
      </c>
    </row>
    <row r="11" spans="1:10" x14ac:dyDescent="0.25">
      <c r="A11" s="209">
        <v>43657</v>
      </c>
      <c r="B11" s="144" t="s">
        <v>304</v>
      </c>
      <c r="C11" s="163">
        <v>99953.82</v>
      </c>
      <c r="D11" s="117"/>
      <c r="E11" s="95"/>
      <c r="F11" s="99">
        <f t="shared" si="0"/>
        <v>99953.82</v>
      </c>
    </row>
    <row r="12" spans="1:10" x14ac:dyDescent="0.25">
      <c r="A12" s="209">
        <v>43659</v>
      </c>
      <c r="B12" s="143" t="s">
        <v>305</v>
      </c>
      <c r="C12" s="163">
        <v>153431.70000000001</v>
      </c>
      <c r="D12" s="117"/>
      <c r="E12" s="95"/>
      <c r="F12" s="99">
        <f t="shared" si="0"/>
        <v>153431.70000000001</v>
      </c>
    </row>
    <row r="13" spans="1:10" x14ac:dyDescent="0.25">
      <c r="A13" s="190">
        <v>43660</v>
      </c>
      <c r="B13" s="145" t="s">
        <v>306</v>
      </c>
      <c r="C13" s="163">
        <v>3088.8</v>
      </c>
      <c r="D13" s="117"/>
      <c r="E13" s="95"/>
      <c r="F13" s="99">
        <f t="shared" si="0"/>
        <v>3088.8</v>
      </c>
    </row>
    <row r="14" spans="1:10" x14ac:dyDescent="0.25">
      <c r="A14" s="190">
        <v>43661</v>
      </c>
      <c r="B14" s="145" t="s">
        <v>307</v>
      </c>
      <c r="C14" s="163">
        <v>73106.100000000006</v>
      </c>
      <c r="D14" s="117"/>
      <c r="E14" s="95"/>
      <c r="F14" s="99">
        <f t="shared" si="0"/>
        <v>73106.100000000006</v>
      </c>
    </row>
    <row r="15" spans="1:10" x14ac:dyDescent="0.25">
      <c r="A15" s="190">
        <v>43662</v>
      </c>
      <c r="B15" s="145" t="s">
        <v>308</v>
      </c>
      <c r="C15" s="163">
        <v>102019.3</v>
      </c>
      <c r="D15" s="117"/>
      <c r="E15" s="95"/>
      <c r="F15" s="99">
        <f t="shared" si="0"/>
        <v>102019.3</v>
      </c>
    </row>
    <row r="16" spans="1:10" x14ac:dyDescent="0.25">
      <c r="A16" s="190">
        <v>43663</v>
      </c>
      <c r="B16" s="145" t="s">
        <v>309</v>
      </c>
      <c r="C16" s="163">
        <v>71842.17</v>
      </c>
      <c r="D16" s="117"/>
      <c r="E16" s="95"/>
      <c r="F16" s="99">
        <f t="shared" si="0"/>
        <v>71842.17</v>
      </c>
    </row>
    <row r="17" spans="1:6" x14ac:dyDescent="0.25">
      <c r="A17" s="190">
        <v>43664</v>
      </c>
      <c r="B17" s="145" t="s">
        <v>310</v>
      </c>
      <c r="C17" s="163">
        <v>121054.1</v>
      </c>
      <c r="D17" s="117"/>
      <c r="E17" s="95"/>
      <c r="F17" s="99">
        <f t="shared" si="0"/>
        <v>121054.1</v>
      </c>
    </row>
    <row r="18" spans="1:6" x14ac:dyDescent="0.25">
      <c r="A18" s="190">
        <v>43664</v>
      </c>
      <c r="B18" s="145" t="s">
        <v>311</v>
      </c>
      <c r="C18" s="163">
        <v>87444.800000000003</v>
      </c>
      <c r="D18" s="117"/>
      <c r="E18" s="95"/>
      <c r="F18" s="99">
        <f t="shared" si="0"/>
        <v>87444.800000000003</v>
      </c>
    </row>
    <row r="19" spans="1:6" x14ac:dyDescent="0.25">
      <c r="A19" s="190">
        <v>43666</v>
      </c>
      <c r="B19" s="145" t="s">
        <v>312</v>
      </c>
      <c r="C19" s="163">
        <v>0</v>
      </c>
      <c r="D19" s="117"/>
      <c r="E19" s="95"/>
      <c r="F19" s="99">
        <f t="shared" si="0"/>
        <v>0</v>
      </c>
    </row>
    <row r="20" spans="1:6" x14ac:dyDescent="0.25">
      <c r="A20" s="190">
        <v>43666</v>
      </c>
      <c r="B20" s="145" t="s">
        <v>313</v>
      </c>
      <c r="C20" s="163">
        <v>60279.76</v>
      </c>
      <c r="D20" s="117"/>
      <c r="E20" s="95"/>
      <c r="F20" s="99">
        <f t="shared" si="0"/>
        <v>60279.76</v>
      </c>
    </row>
    <row r="21" spans="1:6" x14ac:dyDescent="0.25">
      <c r="A21" s="190">
        <v>43668</v>
      </c>
      <c r="B21" s="145" t="s">
        <v>314</v>
      </c>
      <c r="C21" s="163">
        <v>47864</v>
      </c>
      <c r="D21" s="117"/>
      <c r="E21" s="95"/>
      <c r="F21" s="99">
        <f t="shared" si="0"/>
        <v>47864</v>
      </c>
    </row>
    <row r="22" spans="1:6" x14ac:dyDescent="0.25">
      <c r="A22" s="190">
        <v>43668</v>
      </c>
      <c r="B22" s="145" t="s">
        <v>315</v>
      </c>
      <c r="C22" s="163">
        <v>34530.6</v>
      </c>
      <c r="D22" s="117"/>
      <c r="E22" s="95"/>
      <c r="F22" s="99">
        <f t="shared" si="0"/>
        <v>34530.6</v>
      </c>
    </row>
    <row r="23" spans="1:6" x14ac:dyDescent="0.25">
      <c r="A23" s="190">
        <v>43670</v>
      </c>
      <c r="B23" s="145" t="s">
        <v>316</v>
      </c>
      <c r="C23" s="163">
        <v>37838.800000000003</v>
      </c>
      <c r="D23" s="117"/>
      <c r="E23" s="95"/>
      <c r="F23" s="99">
        <f t="shared" si="0"/>
        <v>37838.800000000003</v>
      </c>
    </row>
    <row r="24" spans="1:6" x14ac:dyDescent="0.25">
      <c r="A24" s="190">
        <v>43670</v>
      </c>
      <c r="B24" s="145" t="s">
        <v>317</v>
      </c>
      <c r="C24" s="163">
        <v>6025.6</v>
      </c>
      <c r="D24" s="117"/>
      <c r="E24" s="95"/>
      <c r="F24" s="99">
        <f t="shared" si="0"/>
        <v>6025.6</v>
      </c>
    </row>
    <row r="25" spans="1:6" x14ac:dyDescent="0.25">
      <c r="A25" s="190">
        <v>43671</v>
      </c>
      <c r="B25" s="145" t="s">
        <v>318</v>
      </c>
      <c r="C25" s="163">
        <v>175187.7</v>
      </c>
      <c r="D25" s="117"/>
      <c r="E25" s="95"/>
      <c r="F25" s="99">
        <f t="shared" si="0"/>
        <v>175187.7</v>
      </c>
    </row>
    <row r="26" spans="1:6" x14ac:dyDescent="0.25">
      <c r="A26" s="190">
        <v>43672</v>
      </c>
      <c r="B26" s="145" t="s">
        <v>319</v>
      </c>
      <c r="C26" s="163">
        <v>167570.12</v>
      </c>
      <c r="D26" s="117"/>
      <c r="E26" s="95"/>
      <c r="F26" s="99">
        <f t="shared" si="0"/>
        <v>167570.12</v>
      </c>
    </row>
    <row r="27" spans="1:6" x14ac:dyDescent="0.25">
      <c r="A27" s="190">
        <v>43673</v>
      </c>
      <c r="B27" s="145" t="s">
        <v>320</v>
      </c>
      <c r="C27" s="163">
        <v>41326.5</v>
      </c>
      <c r="D27" s="93"/>
      <c r="E27" s="95"/>
      <c r="F27" s="99">
        <f t="shared" si="0"/>
        <v>41326.5</v>
      </c>
    </row>
    <row r="28" spans="1:6" x14ac:dyDescent="0.25">
      <c r="A28" s="190">
        <v>43675</v>
      </c>
      <c r="B28" s="145" t="s">
        <v>321</v>
      </c>
      <c r="C28" s="163">
        <v>86678.26</v>
      </c>
      <c r="D28" s="93"/>
      <c r="E28" s="95"/>
      <c r="F28" s="99">
        <f t="shared" si="0"/>
        <v>86678.26</v>
      </c>
    </row>
    <row r="29" spans="1:6" x14ac:dyDescent="0.25">
      <c r="A29" s="190">
        <v>43676</v>
      </c>
      <c r="B29" s="145" t="s">
        <v>322</v>
      </c>
      <c r="C29" s="163">
        <v>140091.35</v>
      </c>
      <c r="D29" s="93"/>
      <c r="E29" s="95"/>
      <c r="F29" s="99">
        <f t="shared" si="0"/>
        <v>140091.35</v>
      </c>
    </row>
    <row r="30" spans="1:6" x14ac:dyDescent="0.25">
      <c r="A30" s="190">
        <v>43678</v>
      </c>
      <c r="B30" s="145" t="s">
        <v>323</v>
      </c>
      <c r="C30" s="163">
        <v>86781.75</v>
      </c>
      <c r="D30" s="93"/>
      <c r="E30" s="95"/>
      <c r="F30" s="99">
        <f t="shared" si="0"/>
        <v>86781.75</v>
      </c>
    </row>
    <row r="31" spans="1:6" x14ac:dyDescent="0.25">
      <c r="A31" s="190">
        <v>43679</v>
      </c>
      <c r="B31" s="145" t="s">
        <v>324</v>
      </c>
      <c r="C31" s="163">
        <v>103044.3</v>
      </c>
      <c r="D31" s="93"/>
      <c r="E31" s="95"/>
      <c r="F31" s="99">
        <f t="shared" si="0"/>
        <v>103044.3</v>
      </c>
    </row>
    <row r="32" spans="1:6" x14ac:dyDescent="0.25">
      <c r="A32" s="190">
        <v>43680</v>
      </c>
      <c r="B32" s="145" t="s">
        <v>325</v>
      </c>
      <c r="C32" s="163">
        <v>172100.3</v>
      </c>
      <c r="D32" s="93"/>
      <c r="E32" s="95"/>
      <c r="F32" s="99">
        <f t="shared" si="0"/>
        <v>172100.3</v>
      </c>
    </row>
    <row r="33" spans="1:6" x14ac:dyDescent="0.25">
      <c r="A33" s="190">
        <v>43680</v>
      </c>
      <c r="B33" s="145" t="s">
        <v>326</v>
      </c>
      <c r="C33" s="163">
        <v>2610</v>
      </c>
      <c r="D33" s="93"/>
      <c r="E33" s="95"/>
      <c r="F33" s="99">
        <f t="shared" si="0"/>
        <v>2610</v>
      </c>
    </row>
    <row r="34" spans="1:6" x14ac:dyDescent="0.25">
      <c r="A34" s="190">
        <v>43682</v>
      </c>
      <c r="B34" s="145" t="s">
        <v>327</v>
      </c>
      <c r="C34" s="163">
        <v>55363.28</v>
      </c>
      <c r="D34" s="93"/>
      <c r="E34" s="95"/>
      <c r="F34" s="99">
        <f t="shared" si="0"/>
        <v>55363.28</v>
      </c>
    </row>
    <row r="35" spans="1:6" x14ac:dyDescent="0.25">
      <c r="A35" s="190"/>
      <c r="B35" s="145"/>
      <c r="C35" s="163"/>
      <c r="D35" s="93"/>
      <c r="E35" s="95"/>
      <c r="F35" s="99">
        <f t="shared" si="0"/>
        <v>0</v>
      </c>
    </row>
    <row r="36" spans="1:6" x14ac:dyDescent="0.25">
      <c r="A36" s="190"/>
      <c r="B36" s="145"/>
      <c r="C36" s="163"/>
      <c r="D36" s="210"/>
      <c r="E36" s="95"/>
      <c r="F36" s="99">
        <f t="shared" si="0"/>
        <v>0</v>
      </c>
    </row>
    <row r="37" spans="1:6" x14ac:dyDescent="0.25">
      <c r="A37" s="101"/>
      <c r="B37" s="102"/>
      <c r="C37" s="95"/>
      <c r="D37" s="93"/>
      <c r="E37" s="95"/>
      <c r="F37" s="99">
        <f t="shared" si="0"/>
        <v>0</v>
      </c>
    </row>
    <row r="38" spans="1:6" x14ac:dyDescent="0.25">
      <c r="A38" s="101"/>
      <c r="B38" s="102"/>
      <c r="C38" s="95"/>
      <c r="D38" s="93"/>
      <c r="E38" s="95"/>
      <c r="F38" s="99">
        <f t="shared" si="0"/>
        <v>0</v>
      </c>
    </row>
    <row r="39" spans="1:6" x14ac:dyDescent="0.25">
      <c r="A39" s="217"/>
      <c r="B39" s="218"/>
      <c r="C39" s="219"/>
      <c r="D39" s="210"/>
      <c r="E39" s="219"/>
      <c r="F39" s="220">
        <f t="shared" si="0"/>
        <v>0</v>
      </c>
    </row>
    <row r="40" spans="1:6" ht="16.5" thickBot="1" x14ac:dyDescent="0.3">
      <c r="A40" s="103" t="s">
        <v>36</v>
      </c>
      <c r="B40" s="104"/>
      <c r="C40" s="105"/>
      <c r="D40" s="106"/>
      <c r="E40" s="107">
        <v>45272.2</v>
      </c>
      <c r="F40" s="108">
        <f t="shared" si="0"/>
        <v>-45272.2</v>
      </c>
    </row>
    <row r="41" spans="1:6" s="113" customFormat="1" ht="19.5" thickBot="1" x14ac:dyDescent="0.35">
      <c r="A41" s="109"/>
      <c r="B41" s="110"/>
      <c r="C41" s="111">
        <f>SUM(C3:C40)</f>
        <v>2366416.0700000003</v>
      </c>
      <c r="D41" s="111"/>
      <c r="E41" s="112">
        <f>SUM(E3:E40)</f>
        <v>45272.2</v>
      </c>
      <c r="F41" s="112">
        <f>SUM(F3:F40)</f>
        <v>2321143.87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E378-BEC1-4BDF-9D47-240E77297BA8}">
  <sheetPr>
    <tabColor theme="7" tint="-0.249977111117893"/>
  </sheetPr>
  <dimension ref="A1:P47"/>
  <sheetViews>
    <sheetView topLeftCell="A25" workbookViewId="0">
      <selection activeCell="G47" sqref="G4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4.7109375" style="5" customWidth="1"/>
    <col min="14" max="14" width="15.28515625" style="169" customWidth="1"/>
  </cols>
  <sheetData>
    <row r="1" spans="1:16" ht="23.25" x14ac:dyDescent="0.35">
      <c r="A1" s="1"/>
      <c r="B1" s="269" t="s">
        <v>328</v>
      </c>
      <c r="C1" s="269"/>
      <c r="D1" s="269"/>
      <c r="E1" s="269"/>
      <c r="F1" s="269"/>
      <c r="G1" s="269"/>
      <c r="H1" s="269"/>
      <c r="I1" s="269"/>
      <c r="J1" s="269"/>
      <c r="L1" s="3" t="s">
        <v>0</v>
      </c>
      <c r="M1" s="233"/>
      <c r="N1" s="168"/>
    </row>
    <row r="2" spans="1:16" x14ac:dyDescent="0.25">
      <c r="A2" s="1"/>
      <c r="B2" s="5"/>
      <c r="D2" s="238"/>
      <c r="E2" s="8"/>
      <c r="L2" s="9"/>
      <c r="M2" s="9"/>
      <c r="N2" s="168"/>
    </row>
    <row r="3" spans="1:16" ht="19.5" customHeight="1" thickBot="1" x14ac:dyDescent="0.35">
      <c r="A3" s="276" t="s">
        <v>1</v>
      </c>
      <c r="B3" s="277"/>
      <c r="C3" s="10"/>
      <c r="D3" s="270" t="s">
        <v>2</v>
      </c>
      <c r="E3" s="270"/>
      <c r="F3" s="270"/>
      <c r="G3" s="271">
        <v>2000</v>
      </c>
      <c r="H3" s="271"/>
      <c r="I3" s="5"/>
      <c r="L3" s="9"/>
      <c r="M3" s="194"/>
      <c r="N3" s="168"/>
    </row>
    <row r="4" spans="1:16" ht="20.25" thickTop="1" thickBot="1" x14ac:dyDescent="0.35">
      <c r="A4" s="120"/>
      <c r="B4" s="11">
        <v>195773.03</v>
      </c>
      <c r="C4" s="230">
        <v>43682</v>
      </c>
      <c r="D4" s="272" t="s">
        <v>3</v>
      </c>
      <c r="E4" s="273"/>
      <c r="H4" s="274" t="s">
        <v>4</v>
      </c>
      <c r="I4" s="275"/>
      <c r="J4" s="275"/>
      <c r="K4" s="275"/>
      <c r="L4" s="13" t="s">
        <v>240</v>
      </c>
      <c r="M4" s="195"/>
      <c r="O4" s="150"/>
      <c r="P4" s="150"/>
    </row>
    <row r="5" spans="1:16" ht="17.25" thickTop="1" thickBot="1" x14ac:dyDescent="0.3">
      <c r="A5" s="15"/>
      <c r="B5" s="16">
        <v>0</v>
      </c>
      <c r="C5" s="12"/>
      <c r="D5" s="181">
        <v>43683</v>
      </c>
      <c r="E5" s="178">
        <v>35326.589999999997</v>
      </c>
      <c r="F5" s="182"/>
      <c r="G5" s="183">
        <v>43683</v>
      </c>
      <c r="H5" s="184">
        <v>0</v>
      </c>
      <c r="I5" s="21"/>
      <c r="J5" s="22"/>
      <c r="K5" s="22"/>
      <c r="L5" s="142">
        <f>30000+20438.5</f>
        <v>50438.5</v>
      </c>
      <c r="M5" s="177"/>
      <c r="N5" s="260">
        <f>L5-E5</f>
        <v>15111.910000000003</v>
      </c>
      <c r="O5" s="149"/>
      <c r="P5" s="150"/>
    </row>
    <row r="6" spans="1:16" ht="16.5" thickBot="1" x14ac:dyDescent="0.3">
      <c r="A6" s="25"/>
      <c r="B6" s="16">
        <v>0</v>
      </c>
      <c r="C6" s="12"/>
      <c r="D6" s="181">
        <v>43684</v>
      </c>
      <c r="E6" s="178">
        <v>34310.6</v>
      </c>
      <c r="F6" s="185"/>
      <c r="G6" s="183">
        <v>43684</v>
      </c>
      <c r="H6" s="240">
        <v>0</v>
      </c>
      <c r="I6" s="241"/>
      <c r="J6" s="242" t="s">
        <v>6</v>
      </c>
      <c r="K6" s="243">
        <v>549</v>
      </c>
      <c r="L6" s="142">
        <v>89201</v>
      </c>
      <c r="M6" s="177"/>
      <c r="N6" s="260">
        <f>L6-E6+K17</f>
        <v>55790.400000000001</v>
      </c>
      <c r="O6" s="149">
        <v>25000</v>
      </c>
      <c r="P6" s="150" t="s">
        <v>333</v>
      </c>
    </row>
    <row r="7" spans="1:16" ht="16.5" thickBot="1" x14ac:dyDescent="0.3">
      <c r="A7" s="25"/>
      <c r="B7" s="16">
        <v>0</v>
      </c>
      <c r="C7" s="12"/>
      <c r="D7" s="181">
        <v>43685</v>
      </c>
      <c r="E7" s="178">
        <v>64409.2</v>
      </c>
      <c r="F7" s="150"/>
      <c r="G7" s="183">
        <v>43685</v>
      </c>
      <c r="H7" s="240">
        <v>38</v>
      </c>
      <c r="I7" s="258" t="s">
        <v>334</v>
      </c>
      <c r="J7" s="245" t="s">
        <v>7</v>
      </c>
      <c r="K7" s="246">
        <v>9408.5</v>
      </c>
      <c r="L7" s="142">
        <f>40000+25000+11030</f>
        <v>76030</v>
      </c>
      <c r="M7" s="177"/>
      <c r="N7" s="260">
        <f>L7-E7+H7-M7</f>
        <v>11658.800000000003</v>
      </c>
      <c r="O7" s="152">
        <v>-25000</v>
      </c>
      <c r="P7" s="150" t="s">
        <v>366</v>
      </c>
    </row>
    <row r="8" spans="1:16" ht="16.5" thickBot="1" x14ac:dyDescent="0.3">
      <c r="A8" s="25"/>
      <c r="B8" s="16">
        <v>0</v>
      </c>
      <c r="C8" s="34"/>
      <c r="D8" s="181">
        <v>43686</v>
      </c>
      <c r="E8" s="178">
        <v>98519.2</v>
      </c>
      <c r="F8" s="150"/>
      <c r="G8" s="183">
        <v>43686</v>
      </c>
      <c r="H8" s="240">
        <v>50</v>
      </c>
      <c r="I8" s="241"/>
      <c r="J8" s="242" t="s">
        <v>8</v>
      </c>
      <c r="K8" s="247">
        <f>7187.5+7187.5+7187.5+7187.5</f>
        <v>28750</v>
      </c>
      <c r="L8" s="142">
        <v>98469</v>
      </c>
      <c r="M8" s="212"/>
      <c r="N8" s="192">
        <f>L8-E8-M8+H8</f>
        <v>-0.19999999999708962</v>
      </c>
      <c r="O8" s="151"/>
      <c r="P8" s="150"/>
    </row>
    <row r="9" spans="1:16" ht="16.5" thickBot="1" x14ac:dyDescent="0.3">
      <c r="A9" s="25"/>
      <c r="B9" s="16">
        <v>0</v>
      </c>
      <c r="C9" s="36"/>
      <c r="D9" s="181">
        <v>43687</v>
      </c>
      <c r="E9" s="178">
        <v>100148.1</v>
      </c>
      <c r="F9" s="150"/>
      <c r="G9" s="183">
        <v>43687</v>
      </c>
      <c r="H9" s="240">
        <v>0</v>
      </c>
      <c r="I9" s="248">
        <v>43687</v>
      </c>
      <c r="J9" s="242" t="s">
        <v>329</v>
      </c>
      <c r="K9" s="243">
        <v>10166.84</v>
      </c>
      <c r="L9" s="142">
        <v>100148</v>
      </c>
      <c r="M9" s="177"/>
      <c r="N9" s="192">
        <f>L9-E9+H9</f>
        <v>-0.10000000000582077</v>
      </c>
      <c r="O9" s="152"/>
      <c r="P9" s="150"/>
    </row>
    <row r="10" spans="1:16" ht="16.5" thickBot="1" x14ac:dyDescent="0.3">
      <c r="A10" s="25"/>
      <c r="B10" s="16">
        <v>0</v>
      </c>
      <c r="C10" s="34"/>
      <c r="D10" s="181">
        <v>43688</v>
      </c>
      <c r="E10" s="178">
        <v>77058.75</v>
      </c>
      <c r="F10" s="150"/>
      <c r="G10" s="183">
        <v>43688</v>
      </c>
      <c r="H10" s="240">
        <v>0</v>
      </c>
      <c r="I10" s="248">
        <v>43694</v>
      </c>
      <c r="J10" s="242" t="s">
        <v>330</v>
      </c>
      <c r="K10" s="243">
        <v>9881.1299999999992</v>
      </c>
      <c r="L10" s="142">
        <v>77059</v>
      </c>
      <c r="M10" s="177"/>
      <c r="N10" s="192">
        <f>L10-E10</f>
        <v>0.25</v>
      </c>
      <c r="O10" s="150"/>
      <c r="P10" s="150"/>
    </row>
    <row r="11" spans="1:16" ht="16.5" thickBot="1" x14ac:dyDescent="0.3">
      <c r="A11" s="25"/>
      <c r="B11" s="16">
        <v>0</v>
      </c>
      <c r="C11" s="34"/>
      <c r="D11" s="181">
        <v>43689</v>
      </c>
      <c r="E11" s="178">
        <v>66761.289999999994</v>
      </c>
      <c r="F11" s="150"/>
      <c r="G11" s="183">
        <v>43689</v>
      </c>
      <c r="H11" s="240">
        <v>90</v>
      </c>
      <c r="I11" s="248">
        <v>43701</v>
      </c>
      <c r="J11" s="242" t="s">
        <v>331</v>
      </c>
      <c r="K11" s="243">
        <v>9881.1299999999992</v>
      </c>
      <c r="L11" s="142">
        <f>40000+26671</f>
        <v>66671</v>
      </c>
      <c r="M11" s="177" t="s">
        <v>11</v>
      </c>
      <c r="N11" s="192">
        <f>L11-E11+H11</f>
        <v>-0.28999999999359716</v>
      </c>
      <c r="O11" s="149"/>
      <c r="P11" s="150"/>
    </row>
    <row r="12" spans="1:16" ht="16.5" thickBot="1" x14ac:dyDescent="0.3">
      <c r="A12" s="25"/>
      <c r="B12" s="16">
        <v>0</v>
      </c>
      <c r="C12" s="34"/>
      <c r="D12" s="181">
        <v>43690</v>
      </c>
      <c r="E12" s="178">
        <v>40785.449999999997</v>
      </c>
      <c r="F12" s="150"/>
      <c r="G12" s="183">
        <v>43690</v>
      </c>
      <c r="H12" s="240">
        <v>0</v>
      </c>
      <c r="I12" s="248">
        <v>43708</v>
      </c>
      <c r="J12" s="242" t="s">
        <v>332</v>
      </c>
      <c r="K12" s="243">
        <v>9619.27</v>
      </c>
      <c r="L12" s="142">
        <v>40785.5</v>
      </c>
      <c r="M12" s="177"/>
      <c r="N12" s="192">
        <f t="shared" ref="N12:N32" si="0">L12-E12+H12</f>
        <v>5.0000000002910383E-2</v>
      </c>
      <c r="O12" s="150"/>
      <c r="P12" s="150"/>
    </row>
    <row r="13" spans="1:16" ht="16.5" thickBot="1" x14ac:dyDescent="0.3">
      <c r="A13" s="25"/>
      <c r="B13" s="16">
        <v>0</v>
      </c>
      <c r="C13" s="34"/>
      <c r="D13" s="181">
        <v>43691</v>
      </c>
      <c r="E13" s="178">
        <v>44847</v>
      </c>
      <c r="F13" s="150"/>
      <c r="G13" s="183">
        <v>43691</v>
      </c>
      <c r="H13" s="240">
        <v>0</v>
      </c>
      <c r="I13" s="249"/>
      <c r="J13" s="242" t="s">
        <v>148</v>
      </c>
      <c r="K13" s="243">
        <v>0</v>
      </c>
      <c r="L13" s="142">
        <f>30000+14847</f>
        <v>44847</v>
      </c>
      <c r="M13" s="177"/>
      <c r="N13" s="192">
        <f t="shared" si="0"/>
        <v>0</v>
      </c>
      <c r="O13" s="150"/>
      <c r="P13" s="150"/>
    </row>
    <row r="14" spans="1:16" ht="16.5" thickBot="1" x14ac:dyDescent="0.3">
      <c r="A14" s="25"/>
      <c r="B14" s="16">
        <v>0</v>
      </c>
      <c r="C14" s="36"/>
      <c r="D14" s="181">
        <v>43692</v>
      </c>
      <c r="E14" s="178">
        <v>52330.7</v>
      </c>
      <c r="F14" s="150"/>
      <c r="G14" s="183">
        <v>43692</v>
      </c>
      <c r="H14" s="240">
        <v>0</v>
      </c>
      <c r="I14" s="250"/>
      <c r="J14" s="251" t="s">
        <v>9</v>
      </c>
      <c r="K14" s="252">
        <v>0</v>
      </c>
      <c r="L14" s="142">
        <v>91820</v>
      </c>
      <c r="M14" s="177"/>
      <c r="N14" s="260">
        <f t="shared" si="0"/>
        <v>39489.300000000003</v>
      </c>
      <c r="O14" s="150"/>
      <c r="P14" s="150"/>
    </row>
    <row r="15" spans="1:16" ht="16.5" thickBot="1" x14ac:dyDescent="0.3">
      <c r="A15" s="25"/>
      <c r="B15" s="16">
        <v>0</v>
      </c>
      <c r="C15" s="36"/>
      <c r="D15" s="181">
        <v>43693</v>
      </c>
      <c r="E15" s="178">
        <v>70484.429999999993</v>
      </c>
      <c r="F15" s="150"/>
      <c r="G15" s="183">
        <v>43693</v>
      </c>
      <c r="H15" s="240">
        <v>38</v>
      </c>
      <c r="I15" s="241"/>
      <c r="J15" s="253"/>
      <c r="K15" s="243">
        <v>0</v>
      </c>
      <c r="L15" s="142">
        <v>70446.5</v>
      </c>
      <c r="M15" s="177"/>
      <c r="N15" s="192">
        <f t="shared" si="0"/>
        <v>7.0000000006984919E-2</v>
      </c>
      <c r="O15" s="150"/>
      <c r="P15" s="150"/>
    </row>
    <row r="16" spans="1:16" ht="16.5" thickBot="1" x14ac:dyDescent="0.3">
      <c r="A16" s="25"/>
      <c r="B16" s="16">
        <v>0</v>
      </c>
      <c r="C16" s="36"/>
      <c r="D16" s="181">
        <v>43694</v>
      </c>
      <c r="E16" s="178">
        <v>79535.399999999994</v>
      </c>
      <c r="F16" s="150"/>
      <c r="G16" s="183">
        <v>43694</v>
      </c>
      <c r="H16" s="240">
        <v>0</v>
      </c>
      <c r="I16" s="241"/>
      <c r="J16" s="254"/>
      <c r="K16" s="255">
        <v>0</v>
      </c>
      <c r="L16" s="142">
        <f>55000+24535.5</f>
        <v>79535.5</v>
      </c>
      <c r="M16" s="177"/>
      <c r="N16" s="192">
        <f t="shared" si="0"/>
        <v>0.10000000000582077</v>
      </c>
      <c r="O16" s="150"/>
      <c r="P16" s="149"/>
    </row>
    <row r="17" spans="1:16" ht="16.5" thickBot="1" x14ac:dyDescent="0.3">
      <c r="A17" s="25"/>
      <c r="B17" s="16">
        <v>0</v>
      </c>
      <c r="C17" s="36"/>
      <c r="D17" s="181">
        <v>43695</v>
      </c>
      <c r="E17" s="178">
        <v>85189.1</v>
      </c>
      <c r="F17" s="150"/>
      <c r="G17" s="183">
        <v>43695</v>
      </c>
      <c r="H17" s="240">
        <v>111</v>
      </c>
      <c r="I17" s="256">
        <v>43684</v>
      </c>
      <c r="J17" s="257" t="s">
        <v>12</v>
      </c>
      <c r="K17" s="255">
        <v>900</v>
      </c>
      <c r="L17" s="142">
        <v>85078</v>
      </c>
      <c r="M17" s="177"/>
      <c r="N17" s="192">
        <f t="shared" si="0"/>
        <v>-0.10000000000582077</v>
      </c>
      <c r="O17" s="150"/>
      <c r="P17" s="150"/>
    </row>
    <row r="18" spans="1:16" ht="16.5" thickBot="1" x14ac:dyDescent="0.3">
      <c r="A18" s="25"/>
      <c r="B18" s="16">
        <v>0</v>
      </c>
      <c r="C18" s="34"/>
      <c r="D18" s="181">
        <v>43696</v>
      </c>
      <c r="E18" s="178">
        <v>31859.57</v>
      </c>
      <c r="F18" s="150"/>
      <c r="G18" s="183">
        <v>43696</v>
      </c>
      <c r="H18" s="240">
        <v>95</v>
      </c>
      <c r="I18" s="44"/>
      <c r="K18" s="8"/>
      <c r="L18" s="142">
        <v>31764.5</v>
      </c>
      <c r="M18" s="177"/>
      <c r="N18" s="192">
        <f t="shared" si="0"/>
        <v>-6.9999999999708962E-2</v>
      </c>
      <c r="O18" s="150"/>
    </row>
    <row r="19" spans="1:16" ht="16.5" thickBot="1" x14ac:dyDescent="0.3">
      <c r="A19" s="25"/>
      <c r="B19" s="16">
        <v>0</v>
      </c>
      <c r="C19" s="36"/>
      <c r="D19" s="181">
        <v>43697</v>
      </c>
      <c r="E19" s="178">
        <v>37187.1</v>
      </c>
      <c r="F19" s="150"/>
      <c r="G19" s="183">
        <v>43697</v>
      </c>
      <c r="H19" s="240">
        <v>50</v>
      </c>
      <c r="I19" s="28"/>
      <c r="K19" s="8">
        <v>0</v>
      </c>
      <c r="L19" s="142">
        <v>40137</v>
      </c>
      <c r="M19" s="177"/>
      <c r="N19" s="260">
        <f t="shared" si="0"/>
        <v>2999.9000000000015</v>
      </c>
    </row>
    <row r="20" spans="1:16" ht="16.5" thickBot="1" x14ac:dyDescent="0.3">
      <c r="A20" s="25"/>
      <c r="B20" s="16">
        <v>0</v>
      </c>
      <c r="C20" s="46"/>
      <c r="D20" s="181">
        <v>43698</v>
      </c>
      <c r="E20" s="178">
        <v>59803.3</v>
      </c>
      <c r="F20" s="186"/>
      <c r="G20" s="183">
        <v>43698</v>
      </c>
      <c r="H20" s="240">
        <v>0</v>
      </c>
      <c r="I20" s="162"/>
      <c r="J20" s="48"/>
      <c r="K20" s="28" t="s">
        <v>10</v>
      </c>
      <c r="L20" s="142">
        <v>69003</v>
      </c>
      <c r="M20" s="177"/>
      <c r="N20" s="260">
        <f t="shared" si="0"/>
        <v>9199.6999999999971</v>
      </c>
    </row>
    <row r="21" spans="1:16" ht="16.5" thickBot="1" x14ac:dyDescent="0.3">
      <c r="A21" s="25"/>
      <c r="B21" s="16">
        <v>0</v>
      </c>
      <c r="C21" s="46"/>
      <c r="D21" s="181">
        <v>43699</v>
      </c>
      <c r="E21" s="178">
        <v>53990.2</v>
      </c>
      <c r="F21" s="150"/>
      <c r="G21" s="183">
        <v>43699</v>
      </c>
      <c r="H21" s="240">
        <v>0</v>
      </c>
      <c r="I21" s="33"/>
      <c r="J21" s="49"/>
      <c r="K21" s="28"/>
      <c r="L21" s="142">
        <f>30000+23990</f>
        <v>53990</v>
      </c>
      <c r="M21" s="177"/>
      <c r="N21" s="192">
        <f t="shared" si="0"/>
        <v>-0.19999999999708962</v>
      </c>
    </row>
    <row r="22" spans="1:16" ht="16.5" thickBot="1" x14ac:dyDescent="0.3">
      <c r="A22" s="25"/>
      <c r="B22" s="16">
        <v>0</v>
      </c>
      <c r="C22" s="36"/>
      <c r="D22" s="181">
        <v>43700</v>
      </c>
      <c r="E22" s="178">
        <v>92226.94</v>
      </c>
      <c r="F22" s="150"/>
      <c r="G22" s="183">
        <v>43700</v>
      </c>
      <c r="H22" s="240">
        <v>38</v>
      </c>
      <c r="I22" s="47" t="s">
        <v>11</v>
      </c>
      <c r="J22" s="50"/>
      <c r="K22" s="28">
        <v>0</v>
      </c>
      <c r="L22" s="142">
        <v>92189</v>
      </c>
      <c r="M22" s="177"/>
      <c r="N22" s="192">
        <f t="shared" si="0"/>
        <v>5.9999999997671694E-2</v>
      </c>
    </row>
    <row r="23" spans="1:16" ht="16.5" thickBot="1" x14ac:dyDescent="0.3">
      <c r="A23" s="25"/>
      <c r="B23" s="16">
        <v>0</v>
      </c>
      <c r="C23" s="36"/>
      <c r="D23" s="181">
        <v>43701</v>
      </c>
      <c r="E23" s="178">
        <v>69772.600000000006</v>
      </c>
      <c r="F23" s="150"/>
      <c r="G23" s="183">
        <v>43701</v>
      </c>
      <c r="H23" s="240">
        <v>0</v>
      </c>
      <c r="I23" s="28"/>
      <c r="J23" s="49"/>
      <c r="K23" s="28">
        <v>0</v>
      </c>
      <c r="L23" s="142">
        <f>47661+25000</f>
        <v>72661</v>
      </c>
      <c r="M23" s="177"/>
      <c r="N23" s="260">
        <f t="shared" si="0"/>
        <v>2888.3999999999942</v>
      </c>
    </row>
    <row r="24" spans="1:16" ht="16.5" thickBot="1" x14ac:dyDescent="0.3">
      <c r="A24" s="25"/>
      <c r="B24" s="16">
        <v>0</v>
      </c>
      <c r="C24" s="36"/>
      <c r="D24" s="181">
        <v>43702</v>
      </c>
      <c r="E24" s="178">
        <v>69555.259999999995</v>
      </c>
      <c r="F24" s="150"/>
      <c r="G24" s="183">
        <v>43702</v>
      </c>
      <c r="H24" s="240">
        <v>0</v>
      </c>
      <c r="I24" s="28"/>
      <c r="J24" s="56"/>
      <c r="K24" s="28">
        <v>0</v>
      </c>
      <c r="L24" s="142">
        <v>69555</v>
      </c>
      <c r="M24" s="177"/>
      <c r="N24" s="192">
        <f t="shared" si="0"/>
        <v>-0.25999999999476131</v>
      </c>
    </row>
    <row r="25" spans="1:16" ht="16.5" thickBot="1" x14ac:dyDescent="0.3">
      <c r="A25" s="25"/>
      <c r="B25" s="16">
        <v>0</v>
      </c>
      <c r="C25" s="46"/>
      <c r="D25" s="181">
        <v>43703</v>
      </c>
      <c r="E25" s="178">
        <v>63650.15</v>
      </c>
      <c r="F25" s="150"/>
      <c r="G25" s="183">
        <v>43703</v>
      </c>
      <c r="H25" s="240">
        <v>90</v>
      </c>
      <c r="I25" s="28"/>
      <c r="J25" s="52"/>
      <c r="K25" s="28"/>
      <c r="L25" s="142">
        <v>63560</v>
      </c>
      <c r="M25" s="177"/>
      <c r="N25" s="192">
        <f t="shared" si="0"/>
        <v>-0.15000000000145519</v>
      </c>
    </row>
    <row r="26" spans="1:16" ht="16.5" thickBot="1" x14ac:dyDescent="0.3">
      <c r="A26" s="25"/>
      <c r="B26" s="16">
        <v>0</v>
      </c>
      <c r="C26" s="36"/>
      <c r="D26" s="181">
        <v>43704</v>
      </c>
      <c r="E26" s="178">
        <v>25968.240000000002</v>
      </c>
      <c r="F26" s="150"/>
      <c r="G26" s="183">
        <v>43704</v>
      </c>
      <c r="H26" s="240">
        <v>0</v>
      </c>
      <c r="I26" s="40"/>
      <c r="J26" s="53"/>
      <c r="K26" s="28">
        <v>0</v>
      </c>
      <c r="L26" s="142">
        <v>25968</v>
      </c>
      <c r="M26" s="177"/>
      <c r="N26" s="192">
        <f t="shared" si="0"/>
        <v>-0.24000000000160071</v>
      </c>
    </row>
    <row r="27" spans="1:16" ht="16.5" thickBot="1" x14ac:dyDescent="0.3">
      <c r="A27" s="25"/>
      <c r="B27" s="16">
        <v>0</v>
      </c>
      <c r="C27" s="36"/>
      <c r="D27" s="181">
        <v>43705</v>
      </c>
      <c r="E27" s="178">
        <v>29318.35</v>
      </c>
      <c r="F27" s="150"/>
      <c r="G27" s="183">
        <v>43705</v>
      </c>
      <c r="H27" s="240">
        <v>0</v>
      </c>
      <c r="I27" s="40"/>
      <c r="J27" s="54"/>
      <c r="K27" s="28">
        <v>0</v>
      </c>
      <c r="L27" s="142">
        <v>29318.5</v>
      </c>
      <c r="M27" s="177"/>
      <c r="N27" s="192">
        <f t="shared" si="0"/>
        <v>0.15000000000145519</v>
      </c>
    </row>
    <row r="28" spans="1:16" ht="16.5" thickBot="1" x14ac:dyDescent="0.3">
      <c r="A28" s="25"/>
      <c r="B28" s="16">
        <v>0</v>
      </c>
      <c r="C28" s="36"/>
      <c r="D28" s="181">
        <v>43706</v>
      </c>
      <c r="E28" s="178">
        <v>91309.8</v>
      </c>
      <c r="F28" s="150"/>
      <c r="G28" s="183">
        <v>43706</v>
      </c>
      <c r="H28" s="240">
        <v>38</v>
      </c>
      <c r="I28" s="28"/>
      <c r="J28" s="55"/>
      <c r="K28" s="28">
        <v>0</v>
      </c>
      <c r="L28" s="142">
        <v>91272</v>
      </c>
      <c r="M28" s="177"/>
      <c r="N28" s="192">
        <f t="shared" si="0"/>
        <v>0.19999999999708962</v>
      </c>
    </row>
    <row r="29" spans="1:16" ht="16.5" thickBot="1" x14ac:dyDescent="0.3">
      <c r="A29" s="1"/>
      <c r="B29" s="16">
        <v>0</v>
      </c>
      <c r="C29" s="36"/>
      <c r="D29" s="181">
        <v>43707</v>
      </c>
      <c r="E29" s="178">
        <v>67048.13</v>
      </c>
      <c r="F29" s="150"/>
      <c r="G29" s="183">
        <v>43707</v>
      </c>
      <c r="H29" s="240">
        <v>0</v>
      </c>
      <c r="I29" s="40"/>
      <c r="K29" s="28"/>
      <c r="L29" s="142">
        <f>12048+30000+25000</f>
        <v>67048</v>
      </c>
      <c r="M29" s="177"/>
      <c r="N29" s="192">
        <f t="shared" si="0"/>
        <v>-0.13000000000465661</v>
      </c>
    </row>
    <row r="30" spans="1:16" ht="16.5" thickBot="1" x14ac:dyDescent="0.3">
      <c r="A30" s="1"/>
      <c r="B30" s="16">
        <v>0</v>
      </c>
      <c r="C30" s="36"/>
      <c r="D30" s="181">
        <v>43708</v>
      </c>
      <c r="E30" s="178">
        <v>76855.899999999994</v>
      </c>
      <c r="F30" s="150"/>
      <c r="G30" s="183">
        <v>43708</v>
      </c>
      <c r="H30" s="240">
        <v>50</v>
      </c>
      <c r="I30" s="28"/>
      <c r="J30" s="55"/>
      <c r="K30" s="28">
        <v>0</v>
      </c>
      <c r="L30" s="142">
        <v>76806</v>
      </c>
      <c r="M30" s="177"/>
      <c r="N30" s="192">
        <f t="shared" si="0"/>
        <v>0.10000000000582077</v>
      </c>
    </row>
    <row r="31" spans="1:16" ht="16.5" thickBot="1" x14ac:dyDescent="0.3">
      <c r="A31" s="1"/>
      <c r="B31" s="16">
        <v>0</v>
      </c>
      <c r="C31" s="36"/>
      <c r="D31" s="181">
        <v>43709</v>
      </c>
      <c r="E31" s="178">
        <v>74637.36</v>
      </c>
      <c r="F31" s="150"/>
      <c r="G31" s="183">
        <v>43709</v>
      </c>
      <c r="H31" s="240">
        <v>0</v>
      </c>
      <c r="I31" s="216"/>
      <c r="J31" s="55"/>
      <c r="K31" s="28">
        <v>0</v>
      </c>
      <c r="L31" s="142">
        <v>74637.5</v>
      </c>
      <c r="M31" s="177"/>
      <c r="N31" s="192">
        <f t="shared" si="0"/>
        <v>0.13999999999941792</v>
      </c>
    </row>
    <row r="32" spans="1:16" ht="16.5" thickBot="1" x14ac:dyDescent="0.3">
      <c r="A32" s="1"/>
      <c r="B32" s="16">
        <v>0</v>
      </c>
      <c r="C32" s="36"/>
      <c r="D32" s="181">
        <v>43710</v>
      </c>
      <c r="E32" s="178">
        <v>54007.199999999997</v>
      </c>
      <c r="F32" s="150"/>
      <c r="G32" s="183">
        <v>43710</v>
      </c>
      <c r="H32" s="240">
        <v>0</v>
      </c>
      <c r="I32" s="40">
        <v>43711</v>
      </c>
      <c r="J32" s="55" t="s">
        <v>12</v>
      </c>
      <c r="K32" s="28">
        <v>900</v>
      </c>
      <c r="L32" s="142">
        <f>20000+34007</f>
        <v>54007</v>
      </c>
      <c r="M32" s="177"/>
      <c r="N32" s="192">
        <f t="shared" si="0"/>
        <v>-0.19999999999708962</v>
      </c>
    </row>
    <row r="33" spans="1:14" ht="16.5" thickBot="1" x14ac:dyDescent="0.3">
      <c r="A33" s="1"/>
      <c r="B33" s="16">
        <v>0</v>
      </c>
      <c r="C33" s="36"/>
      <c r="D33" s="181">
        <v>43711</v>
      </c>
      <c r="E33" s="178">
        <v>79778.929999999993</v>
      </c>
      <c r="F33" s="150"/>
      <c r="G33" s="183">
        <v>43711</v>
      </c>
      <c r="H33" s="240">
        <v>38</v>
      </c>
      <c r="I33" s="40">
        <v>43711</v>
      </c>
      <c r="J33" s="55" t="s">
        <v>365</v>
      </c>
      <c r="K33" s="28">
        <v>1000</v>
      </c>
      <c r="L33" s="142">
        <v>76971</v>
      </c>
      <c r="M33" s="177"/>
      <c r="N33" s="192">
        <f>L33-E33+H33+K32+K33+K34</f>
        <v>7.0000000006984919E-2</v>
      </c>
    </row>
    <row r="34" spans="1:14" ht="19.5" thickBot="1" x14ac:dyDescent="0.35">
      <c r="A34" s="58"/>
      <c r="B34" s="16">
        <v>0</v>
      </c>
      <c r="C34" s="12"/>
      <c r="D34" s="130"/>
      <c r="E34" s="132">
        <v>0</v>
      </c>
      <c r="F34" s="131"/>
      <c r="G34" s="129"/>
      <c r="H34" s="153">
        <v>0</v>
      </c>
      <c r="I34" s="259">
        <v>43711</v>
      </c>
      <c r="J34" s="231" t="s">
        <v>79</v>
      </c>
      <c r="K34" s="232">
        <v>870</v>
      </c>
      <c r="L34" s="226">
        <f>SUM(L5:L33)</f>
        <v>1959416.5</v>
      </c>
      <c r="M34" s="201"/>
      <c r="N34" s="177">
        <f>SUM(N5:N33)</f>
        <v>137137.66000000003</v>
      </c>
    </row>
    <row r="35" spans="1:14" ht="15.75" thickBot="1" x14ac:dyDescent="0.3">
      <c r="A35" s="61"/>
      <c r="B35" s="62">
        <f>SUM(B5:B34)</f>
        <v>0</v>
      </c>
      <c r="D35" s="63" t="s">
        <v>15</v>
      </c>
      <c r="E35" s="64">
        <f>SUM(E5:E34)</f>
        <v>1826674.84</v>
      </c>
      <c r="G35" s="238" t="s">
        <v>15</v>
      </c>
      <c r="H35" s="132">
        <f>SUM(H5:H34)</f>
        <v>726</v>
      </c>
      <c r="I35" s="28"/>
      <c r="J35" s="65" t="s">
        <v>15</v>
      </c>
      <c r="K35" s="29">
        <f>SUM(K5:K34)</f>
        <v>81925.87</v>
      </c>
      <c r="L35" s="9"/>
      <c r="M35" s="9"/>
      <c r="N35" s="168"/>
    </row>
    <row r="36" spans="1:14" x14ac:dyDescent="0.25">
      <c r="A36" s="1"/>
      <c r="B36" s="5"/>
      <c r="E36" s="5"/>
      <c r="I36" s="5"/>
      <c r="L36" s="9"/>
      <c r="M36" s="9"/>
      <c r="N36" s="168"/>
    </row>
    <row r="37" spans="1:14" ht="16.5" thickBot="1" x14ac:dyDescent="0.3">
      <c r="A37" s="1"/>
      <c r="B37" s="5">
        <v>0</v>
      </c>
      <c r="E37" s="5"/>
      <c r="G37" s="292" t="s">
        <v>16</v>
      </c>
      <c r="H37" s="293"/>
      <c r="I37" s="239"/>
      <c r="J37" s="294">
        <f>H35+K35</f>
        <v>82651.87</v>
      </c>
      <c r="K37" s="295"/>
      <c r="L37" s="67"/>
      <c r="M37" s="67"/>
      <c r="N37" s="237"/>
    </row>
    <row r="38" spans="1:14" ht="15.75" x14ac:dyDescent="0.25">
      <c r="A38" s="1"/>
      <c r="B38" s="69"/>
      <c r="C38" s="278" t="s">
        <v>17</v>
      </c>
      <c r="D38" s="278"/>
      <c r="E38" s="70">
        <f>E35-J37</f>
        <v>1744022.9700000002</v>
      </c>
      <c r="F38" s="71"/>
      <c r="G38" s="71"/>
      <c r="H38" s="72"/>
      <c r="I38" s="72"/>
      <c r="J38" s="73"/>
      <c r="K38" s="74"/>
      <c r="L38" s="67"/>
      <c r="M38" s="67"/>
      <c r="N38" s="176"/>
    </row>
    <row r="39" spans="1:14" x14ac:dyDescent="0.25">
      <c r="A39" s="1"/>
      <c r="B39" s="75"/>
      <c r="D39" s="2" t="s">
        <v>18</v>
      </c>
      <c r="E39" s="28">
        <v>118473.3</v>
      </c>
      <c r="H39" s="279" t="s">
        <v>19</v>
      </c>
      <c r="I39" s="279"/>
      <c r="J39" s="279">
        <f>E43</f>
        <v>165733.8800000003</v>
      </c>
      <c r="K39" s="280"/>
      <c r="L39" s="67"/>
      <c r="M39" s="67"/>
      <c r="N39" s="176"/>
    </row>
    <row r="40" spans="1:14" ht="15.75" thickBot="1" x14ac:dyDescent="0.3">
      <c r="A40" s="1"/>
      <c r="B40" s="75" t="s">
        <v>11</v>
      </c>
      <c r="C40" s="6" t="s">
        <v>20</v>
      </c>
      <c r="E40" s="76">
        <v>-1875289.71</v>
      </c>
      <c r="H40" s="281" t="s">
        <v>1</v>
      </c>
      <c r="I40" s="281"/>
      <c r="J40" s="282">
        <f>-B4</f>
        <v>-195773.03</v>
      </c>
      <c r="K40" s="283"/>
      <c r="L40" s="67"/>
      <c r="M40" s="67"/>
      <c r="N40" s="176"/>
    </row>
    <row r="41" spans="1:14" ht="20.25" thickTop="1" thickBot="1" x14ac:dyDescent="0.3">
      <c r="A41" s="1"/>
      <c r="B41" s="75"/>
      <c r="D41" s="2" t="s">
        <v>21</v>
      </c>
      <c r="E41" s="28">
        <f>SUM(E38:E40)</f>
        <v>-12793.439999999711</v>
      </c>
      <c r="H41" s="284" t="s">
        <v>200</v>
      </c>
      <c r="I41" s="285"/>
      <c r="J41" s="286">
        <f>SUM(J38:K40)</f>
        <v>-30039.149999999703</v>
      </c>
      <c r="K41" s="287"/>
      <c r="L41" s="67"/>
      <c r="M41" s="67"/>
      <c r="N41" s="176"/>
    </row>
    <row r="42" spans="1:14" ht="16.5" thickBot="1" x14ac:dyDescent="0.3">
      <c r="A42" s="1"/>
      <c r="B42" s="75"/>
      <c r="C42" s="10" t="s">
        <v>288</v>
      </c>
      <c r="D42" s="234">
        <v>43711</v>
      </c>
      <c r="E42" s="78">
        <v>178527.32</v>
      </c>
      <c r="F42" s="229"/>
      <c r="J42" s="288"/>
      <c r="K42" s="289"/>
      <c r="L42" s="67"/>
      <c r="M42" s="67"/>
      <c r="N42" s="176"/>
    </row>
    <row r="43" spans="1:14" ht="19.5" thickBot="1" x14ac:dyDescent="0.35">
      <c r="A43" s="1"/>
      <c r="B43" s="79"/>
      <c r="C43" s="80"/>
      <c r="D43" s="80" t="s">
        <v>23</v>
      </c>
      <c r="E43" s="81">
        <f>E42+E41</f>
        <v>165733.8800000003</v>
      </c>
      <c r="F43" s="82"/>
      <c r="G43" s="82"/>
      <c r="H43" s="263" t="s">
        <v>369</v>
      </c>
      <c r="I43" s="264"/>
      <c r="J43" s="265"/>
      <c r="K43" s="266"/>
      <c r="L43" s="267"/>
      <c r="M43" s="67"/>
      <c r="N43" s="176"/>
    </row>
    <row r="47" spans="1:14" x14ac:dyDescent="0.25">
      <c r="D47" s="2" t="s">
        <v>11</v>
      </c>
    </row>
  </sheetData>
  <mergeCells count="16">
    <mergeCell ref="B1:J1"/>
    <mergeCell ref="A3:B3"/>
    <mergeCell ref="D3:F3"/>
    <mergeCell ref="G3:H3"/>
    <mergeCell ref="D4:E4"/>
    <mergeCell ref="H4:K4"/>
    <mergeCell ref="C38:D38"/>
    <mergeCell ref="H39:I39"/>
    <mergeCell ref="J39:K39"/>
    <mergeCell ref="H40:I40"/>
    <mergeCell ref="J40:K40"/>
    <mergeCell ref="H41:I41"/>
    <mergeCell ref="J41:K41"/>
    <mergeCell ref="J42:K42"/>
    <mergeCell ref="G37:H37"/>
    <mergeCell ref="J37:K37"/>
  </mergeCells>
  <pageMargins left="0.8" right="0.11811023622047245" top="0.31496062992125984" bottom="0.31496062992125984" header="0.31496062992125984" footer="0.31496062992125984"/>
  <pageSetup scale="8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6B24-3BCD-4106-AD0B-CB85FA84784D}">
  <sheetPr>
    <tabColor theme="7" tint="-0.249977111117893"/>
  </sheetPr>
  <dimension ref="A1:J41"/>
  <sheetViews>
    <sheetView workbookViewId="0">
      <selection activeCell="E44" sqref="E44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96" t="s">
        <v>29</v>
      </c>
      <c r="D1" s="297"/>
      <c r="E1" s="298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99" t="s">
        <v>35</v>
      </c>
      <c r="I2" s="300"/>
      <c r="J2" s="301"/>
    </row>
    <row r="3" spans="1:10" x14ac:dyDescent="0.25">
      <c r="A3" s="205">
        <v>43684</v>
      </c>
      <c r="B3" s="206" t="s">
        <v>335</v>
      </c>
      <c r="C3" s="207">
        <v>94716.74</v>
      </c>
      <c r="D3" s="117"/>
      <c r="E3" s="92"/>
      <c r="F3" s="94">
        <f t="shared" ref="F3:F40" si="0">C3-E3</f>
        <v>94716.74</v>
      </c>
      <c r="H3" s="302"/>
      <c r="I3" s="303"/>
      <c r="J3" s="304"/>
    </row>
    <row r="4" spans="1:10" x14ac:dyDescent="0.25">
      <c r="A4" s="205">
        <v>43685</v>
      </c>
      <c r="B4" s="208" t="s">
        <v>336</v>
      </c>
      <c r="C4" s="207">
        <v>153059.44</v>
      </c>
      <c r="D4" s="117"/>
      <c r="E4" s="95"/>
      <c r="F4" s="96">
        <f t="shared" si="0"/>
        <v>153059.44</v>
      </c>
      <c r="H4" s="302"/>
      <c r="I4" s="303"/>
      <c r="J4" s="304"/>
    </row>
    <row r="5" spans="1:10" ht="15.75" thickBot="1" x14ac:dyDescent="0.3">
      <c r="A5" s="209">
        <v>43686</v>
      </c>
      <c r="B5" s="143" t="s">
        <v>337</v>
      </c>
      <c r="C5" s="163">
        <v>164901.70000000001</v>
      </c>
      <c r="D5" s="117"/>
      <c r="E5" s="95"/>
      <c r="F5" s="96">
        <f t="shared" si="0"/>
        <v>164901.70000000001</v>
      </c>
      <c r="H5" s="305"/>
      <c r="I5" s="306"/>
      <c r="J5" s="307"/>
    </row>
    <row r="6" spans="1:10" x14ac:dyDescent="0.25">
      <c r="A6" s="209">
        <v>43687</v>
      </c>
      <c r="B6" s="143" t="s">
        <v>338</v>
      </c>
      <c r="C6" s="163">
        <v>45784.1</v>
      </c>
      <c r="D6" s="117"/>
      <c r="E6" s="95"/>
      <c r="F6" s="99">
        <f t="shared" si="0"/>
        <v>45784.1</v>
      </c>
    </row>
    <row r="7" spans="1:10" x14ac:dyDescent="0.25">
      <c r="A7" s="209">
        <v>43687</v>
      </c>
      <c r="B7" s="143" t="s">
        <v>339</v>
      </c>
      <c r="C7" s="163">
        <v>41699</v>
      </c>
      <c r="D7" s="117"/>
      <c r="E7" s="95"/>
      <c r="F7" s="99">
        <f t="shared" si="0"/>
        <v>41699</v>
      </c>
    </row>
    <row r="8" spans="1:10" x14ac:dyDescent="0.25">
      <c r="A8" s="209">
        <v>43688</v>
      </c>
      <c r="B8" s="143" t="s">
        <v>340</v>
      </c>
      <c r="C8" s="163">
        <v>4476.6400000000003</v>
      </c>
      <c r="D8" s="117"/>
      <c r="E8" s="95"/>
      <c r="F8" s="99">
        <f t="shared" si="0"/>
        <v>4476.6400000000003</v>
      </c>
    </row>
    <row r="9" spans="1:10" x14ac:dyDescent="0.25">
      <c r="A9" s="209">
        <v>43689</v>
      </c>
      <c r="B9" s="143" t="s">
        <v>341</v>
      </c>
      <c r="C9" s="163">
        <v>87394.28</v>
      </c>
      <c r="D9" s="117"/>
      <c r="E9" s="95"/>
      <c r="F9" s="99">
        <f t="shared" si="0"/>
        <v>87394.28</v>
      </c>
    </row>
    <row r="10" spans="1:10" x14ac:dyDescent="0.25">
      <c r="A10" s="209">
        <v>43689</v>
      </c>
      <c r="B10" s="143" t="s">
        <v>342</v>
      </c>
      <c r="C10" s="163">
        <v>10454.4</v>
      </c>
      <c r="D10" s="117"/>
      <c r="E10" s="95"/>
      <c r="F10" s="99">
        <f t="shared" si="0"/>
        <v>10454.4</v>
      </c>
    </row>
    <row r="11" spans="1:10" x14ac:dyDescent="0.25">
      <c r="A11" s="209">
        <v>43690</v>
      </c>
      <c r="B11" s="144" t="s">
        <v>343</v>
      </c>
      <c r="C11" s="163">
        <v>8274</v>
      </c>
      <c r="D11" s="117"/>
      <c r="E11" s="95"/>
      <c r="F11" s="99">
        <f t="shared" si="0"/>
        <v>8274</v>
      </c>
    </row>
    <row r="12" spans="1:10" x14ac:dyDescent="0.25">
      <c r="A12" s="209">
        <v>43691</v>
      </c>
      <c r="B12" s="143" t="s">
        <v>344</v>
      </c>
      <c r="C12" s="163">
        <v>89912.07</v>
      </c>
      <c r="D12" s="117"/>
      <c r="E12" s="95"/>
      <c r="F12" s="99">
        <f t="shared" si="0"/>
        <v>89912.07</v>
      </c>
    </row>
    <row r="13" spans="1:10" x14ac:dyDescent="0.25">
      <c r="A13" s="190">
        <v>43693</v>
      </c>
      <c r="B13" s="145" t="s">
        <v>345</v>
      </c>
      <c r="C13" s="163">
        <v>152593.56</v>
      </c>
      <c r="D13" s="117"/>
      <c r="E13" s="95"/>
      <c r="F13" s="99">
        <f t="shared" si="0"/>
        <v>152593.56</v>
      </c>
    </row>
    <row r="14" spans="1:10" x14ac:dyDescent="0.25">
      <c r="A14" s="190">
        <v>43694</v>
      </c>
      <c r="B14" s="145" t="s">
        <v>346</v>
      </c>
      <c r="C14" s="163">
        <v>98070.34</v>
      </c>
      <c r="D14" s="117"/>
      <c r="E14" s="95"/>
      <c r="F14" s="99">
        <f t="shared" si="0"/>
        <v>98070.34</v>
      </c>
    </row>
    <row r="15" spans="1:10" x14ac:dyDescent="0.25">
      <c r="A15" s="190">
        <v>43695</v>
      </c>
      <c r="B15" s="145" t="s">
        <v>347</v>
      </c>
      <c r="C15" s="163">
        <v>12792.8</v>
      </c>
      <c r="D15" s="117"/>
      <c r="E15" s="95"/>
      <c r="F15" s="99">
        <f t="shared" si="0"/>
        <v>12792.8</v>
      </c>
    </row>
    <row r="16" spans="1:10" x14ac:dyDescent="0.25">
      <c r="A16" s="190">
        <v>43696</v>
      </c>
      <c r="B16" s="145" t="s">
        <v>348</v>
      </c>
      <c r="C16" s="163">
        <v>82162.5</v>
      </c>
      <c r="D16" s="117"/>
      <c r="E16" s="95"/>
      <c r="F16" s="99">
        <f t="shared" si="0"/>
        <v>82162.5</v>
      </c>
    </row>
    <row r="17" spans="1:6" x14ac:dyDescent="0.25">
      <c r="A17" s="190">
        <v>43697</v>
      </c>
      <c r="B17" s="145" t="s">
        <v>349</v>
      </c>
      <c r="C17" s="163">
        <v>8255.7999999999993</v>
      </c>
      <c r="D17" s="117"/>
      <c r="E17" s="95"/>
      <c r="F17" s="99">
        <f t="shared" si="0"/>
        <v>8255.7999999999993</v>
      </c>
    </row>
    <row r="18" spans="1:6" x14ac:dyDescent="0.25">
      <c r="A18" s="190">
        <v>43698</v>
      </c>
      <c r="B18" s="145" t="s">
        <v>350</v>
      </c>
      <c r="C18" s="163">
        <v>38692</v>
      </c>
      <c r="D18" s="117"/>
      <c r="E18" s="95"/>
      <c r="F18" s="99">
        <f t="shared" si="0"/>
        <v>38692</v>
      </c>
    </row>
    <row r="19" spans="1:6" x14ac:dyDescent="0.25">
      <c r="A19" s="190">
        <v>43699</v>
      </c>
      <c r="B19" s="145" t="s">
        <v>351</v>
      </c>
      <c r="C19" s="163">
        <v>90351.2</v>
      </c>
      <c r="D19" s="117"/>
      <c r="E19" s="95"/>
      <c r="F19" s="99">
        <f t="shared" si="0"/>
        <v>90351.2</v>
      </c>
    </row>
    <row r="20" spans="1:6" x14ac:dyDescent="0.25">
      <c r="A20" s="190">
        <v>43700</v>
      </c>
      <c r="B20" s="145" t="s">
        <v>352</v>
      </c>
      <c r="C20" s="163">
        <v>131850.62</v>
      </c>
      <c r="D20" s="117"/>
      <c r="E20" s="95"/>
      <c r="F20" s="99">
        <f t="shared" si="0"/>
        <v>131850.62</v>
      </c>
    </row>
    <row r="21" spans="1:6" x14ac:dyDescent="0.25">
      <c r="A21" s="190">
        <v>43701</v>
      </c>
      <c r="B21" s="145" t="s">
        <v>353</v>
      </c>
      <c r="C21" s="163">
        <v>53811.6</v>
      </c>
      <c r="D21" s="117"/>
      <c r="E21" s="95"/>
      <c r="F21" s="99">
        <f t="shared" si="0"/>
        <v>53811.6</v>
      </c>
    </row>
    <row r="22" spans="1:6" x14ac:dyDescent="0.25">
      <c r="A22" s="190">
        <v>43703</v>
      </c>
      <c r="B22" s="145" t="s">
        <v>354</v>
      </c>
      <c r="C22" s="163">
        <v>42494.58</v>
      </c>
      <c r="D22" s="117"/>
      <c r="E22" s="95"/>
      <c r="F22" s="99">
        <f t="shared" si="0"/>
        <v>42494.58</v>
      </c>
    </row>
    <row r="23" spans="1:6" x14ac:dyDescent="0.25">
      <c r="A23" s="190">
        <v>43705</v>
      </c>
      <c r="B23" s="145" t="s">
        <v>355</v>
      </c>
      <c r="C23" s="163">
        <v>79181.8</v>
      </c>
      <c r="D23" s="117"/>
      <c r="E23" s="95"/>
      <c r="F23" s="99">
        <f t="shared" si="0"/>
        <v>79181.8</v>
      </c>
    </row>
    <row r="24" spans="1:6" x14ac:dyDescent="0.25">
      <c r="A24" s="190">
        <v>43706</v>
      </c>
      <c r="B24" s="145" t="s">
        <v>356</v>
      </c>
      <c r="C24" s="163">
        <v>73328.639999999999</v>
      </c>
      <c r="D24" s="117"/>
      <c r="E24" s="95"/>
      <c r="F24" s="99">
        <f t="shared" si="0"/>
        <v>73328.639999999999</v>
      </c>
    </row>
    <row r="25" spans="1:6" x14ac:dyDescent="0.25">
      <c r="A25" s="190">
        <v>43706</v>
      </c>
      <c r="B25" s="145" t="s">
        <v>357</v>
      </c>
      <c r="C25" s="163">
        <v>20858.599999999999</v>
      </c>
      <c r="D25" s="117"/>
      <c r="E25" s="95"/>
      <c r="F25" s="99">
        <f t="shared" si="0"/>
        <v>20858.599999999999</v>
      </c>
    </row>
    <row r="26" spans="1:6" x14ac:dyDescent="0.25">
      <c r="A26" s="190">
        <v>43707</v>
      </c>
      <c r="B26" s="145" t="s">
        <v>358</v>
      </c>
      <c r="C26" s="163">
        <v>61496.88</v>
      </c>
      <c r="D26" s="117"/>
      <c r="E26" s="95"/>
      <c r="F26" s="99">
        <f t="shared" si="0"/>
        <v>61496.88</v>
      </c>
    </row>
    <row r="27" spans="1:6" x14ac:dyDescent="0.25">
      <c r="A27" s="190">
        <v>43707</v>
      </c>
      <c r="B27" s="145" t="s">
        <v>359</v>
      </c>
      <c r="C27" s="163">
        <v>5610.8</v>
      </c>
      <c r="D27" s="93"/>
      <c r="E27" s="95"/>
      <c r="F27" s="99">
        <f t="shared" si="0"/>
        <v>5610.8</v>
      </c>
    </row>
    <row r="28" spans="1:6" x14ac:dyDescent="0.25">
      <c r="A28" s="190">
        <v>43708</v>
      </c>
      <c r="B28" s="145" t="s">
        <v>360</v>
      </c>
      <c r="C28" s="163">
        <v>2756</v>
      </c>
      <c r="D28" s="93"/>
      <c r="E28" s="95"/>
      <c r="F28" s="99">
        <f t="shared" si="0"/>
        <v>2756</v>
      </c>
    </row>
    <row r="29" spans="1:6" x14ac:dyDescent="0.25">
      <c r="A29" s="190">
        <v>43708</v>
      </c>
      <c r="B29" s="145" t="s">
        <v>361</v>
      </c>
      <c r="C29" s="163">
        <v>112904.82</v>
      </c>
      <c r="D29" s="93"/>
      <c r="E29" s="95"/>
      <c r="F29" s="99">
        <f t="shared" si="0"/>
        <v>112904.82</v>
      </c>
    </row>
    <row r="30" spans="1:6" x14ac:dyDescent="0.25">
      <c r="A30" s="190">
        <v>43709</v>
      </c>
      <c r="B30" s="145" t="s">
        <v>362</v>
      </c>
      <c r="C30" s="163">
        <v>3062.8</v>
      </c>
      <c r="D30" s="93"/>
      <c r="E30" s="95"/>
      <c r="F30" s="99">
        <f t="shared" si="0"/>
        <v>3062.8</v>
      </c>
    </row>
    <row r="31" spans="1:6" x14ac:dyDescent="0.25">
      <c r="A31" s="190">
        <v>43710</v>
      </c>
      <c r="B31" s="145" t="s">
        <v>363</v>
      </c>
      <c r="C31" s="163">
        <v>90111.1</v>
      </c>
      <c r="D31" s="93"/>
      <c r="E31" s="95"/>
      <c r="F31" s="99">
        <f t="shared" si="0"/>
        <v>90111.1</v>
      </c>
    </row>
    <row r="32" spans="1:6" x14ac:dyDescent="0.25">
      <c r="A32" s="190">
        <v>43711</v>
      </c>
      <c r="B32" s="145" t="s">
        <v>364</v>
      </c>
      <c r="C32" s="163">
        <v>63196.4</v>
      </c>
      <c r="D32" s="93"/>
      <c r="E32" s="95"/>
      <c r="F32" s="99">
        <f t="shared" si="0"/>
        <v>63196.4</v>
      </c>
    </row>
    <row r="33" spans="1:6" x14ac:dyDescent="0.25">
      <c r="A33" s="190"/>
      <c r="B33" s="145"/>
      <c r="C33" s="163"/>
      <c r="D33" s="93"/>
      <c r="E33" s="95"/>
      <c r="F33" s="99">
        <f t="shared" si="0"/>
        <v>0</v>
      </c>
    </row>
    <row r="34" spans="1:6" x14ac:dyDescent="0.25">
      <c r="A34" s="190"/>
      <c r="B34" s="145"/>
      <c r="C34" s="163"/>
      <c r="D34" s="93"/>
      <c r="E34" s="95"/>
      <c r="F34" s="99">
        <f t="shared" si="0"/>
        <v>0</v>
      </c>
    </row>
    <row r="35" spans="1:6" x14ac:dyDescent="0.25">
      <c r="A35" s="190"/>
      <c r="B35" s="145"/>
      <c r="C35" s="163"/>
      <c r="D35" s="93"/>
      <c r="E35" s="95"/>
      <c r="F35" s="99">
        <f t="shared" si="0"/>
        <v>0</v>
      </c>
    </row>
    <row r="36" spans="1:6" x14ac:dyDescent="0.25">
      <c r="A36" s="190"/>
      <c r="B36" s="145"/>
      <c r="C36" s="163"/>
      <c r="D36" s="210"/>
      <c r="E36" s="95"/>
      <c r="F36" s="99">
        <f t="shared" si="0"/>
        <v>0</v>
      </c>
    </row>
    <row r="37" spans="1:6" x14ac:dyDescent="0.25">
      <c r="A37" s="101"/>
      <c r="B37" s="102"/>
      <c r="C37" s="95"/>
      <c r="D37" s="93"/>
      <c r="E37" s="95"/>
      <c r="F37" s="99">
        <f t="shared" si="0"/>
        <v>0</v>
      </c>
    </row>
    <row r="38" spans="1:6" x14ac:dyDescent="0.25">
      <c r="A38" s="101"/>
      <c r="B38" s="102"/>
      <c r="C38" s="95"/>
      <c r="D38" s="93"/>
      <c r="E38" s="95"/>
      <c r="F38" s="99">
        <f t="shared" si="0"/>
        <v>0</v>
      </c>
    </row>
    <row r="39" spans="1:6" x14ac:dyDescent="0.25">
      <c r="A39" s="217"/>
      <c r="B39" s="218"/>
      <c r="C39" s="219"/>
      <c r="D39" s="210"/>
      <c r="E39" s="219"/>
      <c r="F39" s="220">
        <f t="shared" si="0"/>
        <v>0</v>
      </c>
    </row>
    <row r="40" spans="1:6" ht="16.5" thickBot="1" x14ac:dyDescent="0.3">
      <c r="A40" s="103" t="s">
        <v>36</v>
      </c>
      <c r="B40" s="104"/>
      <c r="C40" s="105"/>
      <c r="D40" s="106"/>
      <c r="E40" s="107">
        <v>48965.5</v>
      </c>
      <c r="F40" s="108">
        <f t="shared" si="0"/>
        <v>-48965.5</v>
      </c>
    </row>
    <row r="41" spans="1:6" s="113" customFormat="1" ht="19.5" thickBot="1" x14ac:dyDescent="0.35">
      <c r="A41" s="109"/>
      <c r="B41" s="110"/>
      <c r="C41" s="111">
        <f>SUM(C3:C40)</f>
        <v>1924255.2100000002</v>
      </c>
      <c r="D41" s="111"/>
      <c r="E41" s="112">
        <f>SUM(E3:E40)</f>
        <v>48965.5</v>
      </c>
      <c r="F41" s="112">
        <f>SUM(F3:F40)</f>
        <v>1875289.7100000002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0B820-890D-476F-8AA7-2F3F5CB569DA}">
  <sheetPr>
    <tabColor rgb="FF990033"/>
  </sheetPr>
  <dimension ref="A1:P43"/>
  <sheetViews>
    <sheetView tabSelected="1" topLeftCell="B19" workbookViewId="0">
      <selection activeCell="L37" sqref="L3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4.7109375" style="5" customWidth="1"/>
    <col min="14" max="14" width="13.85546875" style="169" bestFit="1" customWidth="1"/>
  </cols>
  <sheetData>
    <row r="1" spans="1:16" ht="23.25" x14ac:dyDescent="0.35">
      <c r="A1" s="1"/>
      <c r="B1" s="269" t="s">
        <v>368</v>
      </c>
      <c r="C1" s="269"/>
      <c r="D1" s="269"/>
      <c r="E1" s="269"/>
      <c r="F1" s="269"/>
      <c r="G1" s="269"/>
      <c r="H1" s="269"/>
      <c r="I1" s="269"/>
      <c r="J1" s="269"/>
      <c r="L1" s="3" t="s">
        <v>0</v>
      </c>
      <c r="M1" s="233"/>
      <c r="N1" s="168"/>
    </row>
    <row r="2" spans="1:16" x14ac:dyDescent="0.25">
      <c r="A2" s="1"/>
      <c r="B2" s="5"/>
      <c r="D2" s="262"/>
      <c r="E2" s="8"/>
      <c r="L2" s="9"/>
      <c r="M2" s="9"/>
      <c r="N2" s="168"/>
    </row>
    <row r="3" spans="1:16" ht="19.5" customHeight="1" thickBot="1" x14ac:dyDescent="0.35">
      <c r="A3" s="276" t="s">
        <v>1</v>
      </c>
      <c r="B3" s="277"/>
      <c r="C3" s="10"/>
      <c r="D3" s="270" t="s">
        <v>2</v>
      </c>
      <c r="E3" s="270"/>
      <c r="F3" s="270"/>
      <c r="G3" s="271">
        <v>2000</v>
      </c>
      <c r="H3" s="271"/>
      <c r="I3" s="5"/>
      <c r="L3" s="9"/>
      <c r="M3" s="194"/>
      <c r="N3" s="168"/>
    </row>
    <row r="4" spans="1:16" ht="20.25" thickTop="1" thickBot="1" x14ac:dyDescent="0.35">
      <c r="A4" s="120"/>
      <c r="B4" s="11">
        <v>178527.32</v>
      </c>
      <c r="C4" s="230">
        <v>43711</v>
      </c>
      <c r="D4" s="272" t="s">
        <v>3</v>
      </c>
      <c r="E4" s="273"/>
      <c r="H4" s="274" t="s">
        <v>4</v>
      </c>
      <c r="I4" s="275"/>
      <c r="J4" s="275"/>
      <c r="K4" s="275"/>
      <c r="L4" s="13" t="s">
        <v>240</v>
      </c>
      <c r="M4" s="195"/>
      <c r="O4" s="150"/>
      <c r="P4" s="150"/>
    </row>
    <row r="5" spans="1:16" ht="17.25" thickTop="1" thickBot="1" x14ac:dyDescent="0.3">
      <c r="A5" s="15"/>
      <c r="B5" s="16">
        <v>0</v>
      </c>
      <c r="C5" s="12"/>
      <c r="D5" s="181">
        <v>43712</v>
      </c>
      <c r="E5" s="178">
        <v>36450.15</v>
      </c>
      <c r="F5" s="182"/>
      <c r="G5" s="183">
        <v>43712</v>
      </c>
      <c r="H5" s="184">
        <v>5</v>
      </c>
      <c r="I5" s="21"/>
      <c r="J5" s="22"/>
      <c r="K5" s="22"/>
      <c r="L5" s="142">
        <v>60257.5</v>
      </c>
      <c r="M5" s="177"/>
      <c r="N5" s="260">
        <f t="shared" ref="N5:N8" si="0">L5-E5+H5</f>
        <v>23812.35</v>
      </c>
      <c r="O5" s="149"/>
      <c r="P5" s="150"/>
    </row>
    <row r="6" spans="1:16" ht="16.5" thickBot="1" x14ac:dyDescent="0.3">
      <c r="A6" s="25"/>
      <c r="B6" s="16">
        <v>0</v>
      </c>
      <c r="C6" s="12"/>
      <c r="D6" s="181">
        <v>43713</v>
      </c>
      <c r="E6" s="178">
        <v>31781.15</v>
      </c>
      <c r="F6" s="185"/>
      <c r="G6" s="183">
        <v>43713</v>
      </c>
      <c r="H6" s="240">
        <v>0</v>
      </c>
      <c r="I6" s="241"/>
      <c r="J6" s="242" t="s">
        <v>6</v>
      </c>
      <c r="K6" s="243">
        <v>549</v>
      </c>
      <c r="L6" s="142">
        <v>71170</v>
      </c>
      <c r="M6" s="177"/>
      <c r="N6" s="260">
        <f t="shared" si="0"/>
        <v>39388.85</v>
      </c>
      <c r="O6" s="149"/>
      <c r="P6" s="150"/>
    </row>
    <row r="7" spans="1:16" ht="16.5" thickBot="1" x14ac:dyDescent="0.3">
      <c r="A7" s="25"/>
      <c r="B7" s="16">
        <v>0</v>
      </c>
      <c r="C7" s="12"/>
      <c r="D7" s="181">
        <v>43714</v>
      </c>
      <c r="E7" s="178">
        <v>75335.399999999994</v>
      </c>
      <c r="F7" s="150"/>
      <c r="G7" s="183">
        <v>43714</v>
      </c>
      <c r="H7" s="240">
        <v>60</v>
      </c>
      <c r="I7" s="258" t="s">
        <v>334</v>
      </c>
      <c r="J7" s="245" t="s">
        <v>7</v>
      </c>
      <c r="K7" s="246">
        <v>9408.5</v>
      </c>
      <c r="L7" s="142">
        <v>84484.5</v>
      </c>
      <c r="M7" s="177"/>
      <c r="N7" s="192">
        <f t="shared" si="0"/>
        <v>9209.1000000000058</v>
      </c>
      <c r="O7" s="152"/>
      <c r="P7" s="150"/>
    </row>
    <row r="8" spans="1:16" ht="16.5" thickBot="1" x14ac:dyDescent="0.3">
      <c r="A8" s="25"/>
      <c r="B8" s="16">
        <v>0</v>
      </c>
      <c r="C8" s="34"/>
      <c r="D8" s="181">
        <v>43715</v>
      </c>
      <c r="E8" s="178">
        <v>53504.54</v>
      </c>
      <c r="F8" s="150"/>
      <c r="G8" s="183">
        <v>43715</v>
      </c>
      <c r="H8" s="240">
        <v>0</v>
      </c>
      <c r="I8" s="241"/>
      <c r="J8" s="242" t="s">
        <v>8</v>
      </c>
      <c r="K8" s="247">
        <f>7187.5+7187.5+7187.5+7187.5</f>
        <v>28750</v>
      </c>
      <c r="L8" s="142">
        <f>30000+23504.5</f>
        <v>53504.5</v>
      </c>
      <c r="M8" s="212"/>
      <c r="N8" s="192">
        <f t="shared" si="0"/>
        <v>-4.0000000000873115E-2</v>
      </c>
      <c r="O8" s="151"/>
      <c r="P8" s="150"/>
    </row>
    <row r="9" spans="1:16" ht="16.5" thickBot="1" x14ac:dyDescent="0.3">
      <c r="A9" s="25"/>
      <c r="B9" s="16">
        <v>0</v>
      </c>
      <c r="C9" s="36"/>
      <c r="D9" s="181">
        <v>43716</v>
      </c>
      <c r="E9" s="178">
        <v>61418.2</v>
      </c>
      <c r="F9" s="150"/>
      <c r="G9" s="183">
        <v>43716</v>
      </c>
      <c r="H9" s="240">
        <v>0</v>
      </c>
      <c r="I9" s="248">
        <v>43715</v>
      </c>
      <c r="J9" s="242" t="s">
        <v>396</v>
      </c>
      <c r="K9" s="243">
        <v>10623.98</v>
      </c>
      <c r="L9" s="142">
        <v>61418</v>
      </c>
      <c r="M9" s="177"/>
      <c r="N9" s="192">
        <f>L9-E9+H9</f>
        <v>-0.19999999999708962</v>
      </c>
      <c r="O9" s="152"/>
      <c r="P9" s="150"/>
    </row>
    <row r="10" spans="1:16" ht="16.5" thickBot="1" x14ac:dyDescent="0.3">
      <c r="A10" s="25"/>
      <c r="B10" s="16">
        <v>0</v>
      </c>
      <c r="C10" s="34"/>
      <c r="D10" s="181">
        <v>43717</v>
      </c>
      <c r="E10" s="178">
        <v>57722.47</v>
      </c>
      <c r="F10" s="150"/>
      <c r="G10" s="183">
        <v>43717</v>
      </c>
      <c r="H10" s="240">
        <v>90</v>
      </c>
      <c r="I10" s="248">
        <v>43722</v>
      </c>
      <c r="J10" s="242" t="s">
        <v>397</v>
      </c>
      <c r="K10" s="243">
        <v>9881.1299999999992</v>
      </c>
      <c r="L10" s="142">
        <v>57631</v>
      </c>
      <c r="M10" s="177"/>
      <c r="N10" s="192">
        <f t="shared" ref="N10:N19" si="1">L10-E10+H10</f>
        <v>-1.4700000000011642</v>
      </c>
      <c r="O10" s="150"/>
      <c r="P10" s="150"/>
    </row>
    <row r="11" spans="1:16" ht="16.5" thickBot="1" x14ac:dyDescent="0.3">
      <c r="A11" s="25"/>
      <c r="B11" s="16">
        <v>0</v>
      </c>
      <c r="C11" s="34"/>
      <c r="D11" s="181">
        <v>43718</v>
      </c>
      <c r="E11" s="178">
        <v>24326</v>
      </c>
      <c r="F11" s="150"/>
      <c r="G11" s="183">
        <v>43718</v>
      </c>
      <c r="H11" s="240">
        <v>0</v>
      </c>
      <c r="I11" s="248">
        <v>43729</v>
      </c>
      <c r="J11" s="242" t="s">
        <v>398</v>
      </c>
      <c r="K11" s="243">
        <v>11423.98</v>
      </c>
      <c r="L11" s="142">
        <v>24326</v>
      </c>
      <c r="M11" s="177" t="s">
        <v>11</v>
      </c>
      <c r="N11" s="192">
        <f t="shared" si="1"/>
        <v>0</v>
      </c>
      <c r="O11" s="149"/>
      <c r="P11" s="150"/>
    </row>
    <row r="12" spans="1:16" ht="16.5" thickBot="1" x14ac:dyDescent="0.3">
      <c r="A12" s="25"/>
      <c r="B12" s="16">
        <v>0</v>
      </c>
      <c r="C12" s="34"/>
      <c r="D12" s="181">
        <v>43719</v>
      </c>
      <c r="E12" s="178">
        <v>44739.23</v>
      </c>
      <c r="F12" s="150"/>
      <c r="G12" s="183">
        <v>43719</v>
      </c>
      <c r="H12" s="240">
        <v>38</v>
      </c>
      <c r="I12" s="248">
        <v>43736</v>
      </c>
      <c r="J12" s="242" t="s">
        <v>399</v>
      </c>
      <c r="K12" s="243">
        <v>10166.84</v>
      </c>
      <c r="L12" s="142">
        <v>44701</v>
      </c>
      <c r="M12" s="177"/>
      <c r="N12" s="192">
        <f t="shared" si="1"/>
        <v>-0.23000000000320142</v>
      </c>
      <c r="O12" s="150"/>
      <c r="P12" s="150"/>
    </row>
    <row r="13" spans="1:16" ht="16.5" thickBot="1" x14ac:dyDescent="0.3">
      <c r="A13" s="25"/>
      <c r="B13" s="16">
        <v>0</v>
      </c>
      <c r="C13" s="34"/>
      <c r="D13" s="181">
        <v>43720</v>
      </c>
      <c r="E13" s="178">
        <v>46688.04</v>
      </c>
      <c r="F13" s="150"/>
      <c r="G13" s="183">
        <v>43720</v>
      </c>
      <c r="H13" s="240">
        <v>0</v>
      </c>
      <c r="I13" s="249"/>
      <c r="J13" s="242" t="s">
        <v>148</v>
      </c>
      <c r="K13" s="243">
        <v>0</v>
      </c>
      <c r="L13" s="142">
        <f>53079.5+25000</f>
        <v>78079.5</v>
      </c>
      <c r="M13" s="177"/>
      <c r="N13" s="260">
        <f t="shared" si="1"/>
        <v>31391.46</v>
      </c>
      <c r="O13" s="150"/>
      <c r="P13" s="150"/>
    </row>
    <row r="14" spans="1:16" ht="16.5" thickBot="1" x14ac:dyDescent="0.3">
      <c r="A14" s="25"/>
      <c r="B14" s="16">
        <v>0</v>
      </c>
      <c r="C14" s="36"/>
      <c r="D14" s="181">
        <v>43721</v>
      </c>
      <c r="E14" s="178">
        <v>78217.149999999994</v>
      </c>
      <c r="F14" s="150"/>
      <c r="G14" s="183">
        <v>43721</v>
      </c>
      <c r="H14" s="240">
        <v>60</v>
      </c>
      <c r="I14" s="250"/>
      <c r="J14" s="251" t="s">
        <v>9</v>
      </c>
      <c r="K14" s="252">
        <v>0</v>
      </c>
      <c r="L14" s="142">
        <v>78157</v>
      </c>
      <c r="M14" s="177"/>
      <c r="N14" s="192">
        <f t="shared" si="1"/>
        <v>-0.14999999999417923</v>
      </c>
      <c r="O14" s="150"/>
      <c r="P14" s="150"/>
    </row>
    <row r="15" spans="1:16" ht="16.5" thickBot="1" x14ac:dyDescent="0.3">
      <c r="A15" s="25"/>
      <c r="B15" s="16">
        <v>0</v>
      </c>
      <c r="C15" s="36"/>
      <c r="D15" s="181">
        <v>43722</v>
      </c>
      <c r="E15" s="178">
        <v>97182.22</v>
      </c>
      <c r="F15" s="150"/>
      <c r="G15" s="183">
        <v>43722</v>
      </c>
      <c r="H15" s="240">
        <v>0</v>
      </c>
      <c r="I15" s="241"/>
      <c r="J15" s="253"/>
      <c r="K15" s="243">
        <v>0</v>
      </c>
      <c r="L15" s="142">
        <f>45000+56682</f>
        <v>101682</v>
      </c>
      <c r="M15" s="177"/>
      <c r="N15" s="260">
        <f t="shared" si="1"/>
        <v>4499.7799999999988</v>
      </c>
      <c r="O15" s="150"/>
      <c r="P15" s="150"/>
    </row>
    <row r="16" spans="1:16" ht="16.5" thickBot="1" x14ac:dyDescent="0.3">
      <c r="A16" s="25"/>
      <c r="B16" s="16">
        <v>0</v>
      </c>
      <c r="C16" s="36"/>
      <c r="D16" s="181">
        <v>43723</v>
      </c>
      <c r="E16" s="178">
        <v>113494.1</v>
      </c>
      <c r="F16" s="150"/>
      <c r="G16" s="183">
        <v>43723</v>
      </c>
      <c r="H16" s="240">
        <v>0</v>
      </c>
      <c r="I16" s="241"/>
      <c r="J16" s="254"/>
      <c r="K16" s="255">
        <v>0</v>
      </c>
      <c r="L16" s="142">
        <v>114966</v>
      </c>
      <c r="M16" s="177"/>
      <c r="N16" s="260">
        <f t="shared" si="1"/>
        <v>1471.8999999999942</v>
      </c>
      <c r="O16" s="150"/>
      <c r="P16" s="149"/>
    </row>
    <row r="17" spans="1:16" ht="16.5" thickBot="1" x14ac:dyDescent="0.3">
      <c r="A17" s="25"/>
      <c r="B17" s="16">
        <v>0</v>
      </c>
      <c r="C17" s="36"/>
      <c r="D17" s="181">
        <v>43724</v>
      </c>
      <c r="E17" s="178">
        <v>44539.55</v>
      </c>
      <c r="F17" s="150"/>
      <c r="G17" s="183">
        <v>43724</v>
      </c>
      <c r="H17" s="240">
        <v>0</v>
      </c>
      <c r="I17" s="256"/>
      <c r="J17" s="257" t="s">
        <v>12</v>
      </c>
      <c r="K17" s="255">
        <v>0</v>
      </c>
      <c r="L17" s="142">
        <f>30000+14540</f>
        <v>44540</v>
      </c>
      <c r="M17" s="177"/>
      <c r="N17" s="192">
        <f t="shared" si="1"/>
        <v>0.44999999999708962</v>
      </c>
      <c r="O17" s="150"/>
      <c r="P17" s="150"/>
    </row>
    <row r="18" spans="1:16" ht="16.5" thickBot="1" x14ac:dyDescent="0.3">
      <c r="A18" s="25"/>
      <c r="B18" s="16">
        <v>0</v>
      </c>
      <c r="C18" s="34"/>
      <c r="D18" s="181">
        <v>43725</v>
      </c>
      <c r="E18" s="178">
        <v>35457.54</v>
      </c>
      <c r="F18" s="150"/>
      <c r="G18" s="183">
        <v>43725</v>
      </c>
      <c r="H18" s="240">
        <v>0</v>
      </c>
      <c r="I18" s="44"/>
      <c r="K18" s="8"/>
      <c r="L18" s="142">
        <v>35457.5</v>
      </c>
      <c r="M18" s="177"/>
      <c r="N18" s="192">
        <f t="shared" si="1"/>
        <v>-4.0000000000873115E-2</v>
      </c>
      <c r="O18" s="150"/>
    </row>
    <row r="19" spans="1:16" ht="16.5" thickBot="1" x14ac:dyDescent="0.3">
      <c r="A19" s="25"/>
      <c r="B19" s="16">
        <v>0</v>
      </c>
      <c r="C19" s="36"/>
      <c r="D19" s="181">
        <v>43726</v>
      </c>
      <c r="E19" s="178">
        <v>52092.65</v>
      </c>
      <c r="F19" s="150"/>
      <c r="G19" s="183">
        <v>43726</v>
      </c>
      <c r="H19" s="240">
        <v>0</v>
      </c>
      <c r="I19" s="28"/>
      <c r="K19" s="8"/>
      <c r="L19" s="142">
        <v>52093</v>
      </c>
      <c r="M19" s="177"/>
      <c r="N19" s="192">
        <f t="shared" si="1"/>
        <v>0.34999999999854481</v>
      </c>
    </row>
    <row r="20" spans="1:16" ht="16.5" thickBot="1" x14ac:dyDescent="0.3">
      <c r="A20" s="25"/>
      <c r="B20" s="16">
        <v>0</v>
      </c>
      <c r="C20" s="46"/>
      <c r="D20" s="181">
        <v>43727</v>
      </c>
      <c r="E20" s="178">
        <v>47620.82</v>
      </c>
      <c r="F20" s="186"/>
      <c r="G20" s="183">
        <v>43727</v>
      </c>
      <c r="H20" s="240">
        <v>0</v>
      </c>
      <c r="I20" s="162"/>
      <c r="J20" s="48"/>
      <c r="K20" s="28"/>
      <c r="L20" s="142">
        <v>47621</v>
      </c>
      <c r="M20" s="177"/>
      <c r="N20" s="192">
        <f t="shared" ref="N20:N32" si="2">L20-E20+H20</f>
        <v>0.18000000000029104</v>
      </c>
    </row>
    <row r="21" spans="1:16" ht="16.5" thickBot="1" x14ac:dyDescent="0.3">
      <c r="A21" s="25"/>
      <c r="B21" s="16">
        <v>0</v>
      </c>
      <c r="C21" s="46"/>
      <c r="D21" s="181">
        <v>43728</v>
      </c>
      <c r="E21" s="178">
        <v>83307.72</v>
      </c>
      <c r="F21" s="150"/>
      <c r="G21" s="183">
        <v>43728</v>
      </c>
      <c r="H21" s="240">
        <v>38</v>
      </c>
      <c r="I21" s="33"/>
      <c r="J21" s="49"/>
      <c r="K21" s="28"/>
      <c r="L21" s="142">
        <f>66970+25000</f>
        <v>91970</v>
      </c>
      <c r="M21" s="177"/>
      <c r="N21" s="260">
        <f t="shared" si="2"/>
        <v>8700.2799999999988</v>
      </c>
    </row>
    <row r="22" spans="1:16" ht="16.5" thickBot="1" x14ac:dyDescent="0.3">
      <c r="A22" s="25"/>
      <c r="B22" s="16">
        <v>0</v>
      </c>
      <c r="C22" s="36"/>
      <c r="D22" s="181">
        <v>43729</v>
      </c>
      <c r="E22" s="178">
        <v>92665.75</v>
      </c>
      <c r="F22" s="150"/>
      <c r="G22" s="183">
        <v>43729</v>
      </c>
      <c r="H22" s="240">
        <v>0</v>
      </c>
      <c r="I22" s="47" t="s">
        <v>11</v>
      </c>
      <c r="J22" s="50"/>
      <c r="K22" s="28"/>
      <c r="L22" s="142">
        <f>57666+35000</f>
        <v>92666</v>
      </c>
      <c r="M22" s="177"/>
      <c r="N22" s="192">
        <f t="shared" si="2"/>
        <v>0.25</v>
      </c>
    </row>
    <row r="23" spans="1:16" ht="16.5" thickBot="1" x14ac:dyDescent="0.3">
      <c r="A23" s="25"/>
      <c r="B23" s="16">
        <v>0</v>
      </c>
      <c r="C23" s="36"/>
      <c r="D23" s="181">
        <v>43730</v>
      </c>
      <c r="E23" s="178">
        <v>81260</v>
      </c>
      <c r="F23" s="150"/>
      <c r="G23" s="183">
        <v>43730</v>
      </c>
      <c r="H23" s="240">
        <v>0</v>
      </c>
      <c r="I23" s="28"/>
      <c r="J23" s="49"/>
      <c r="K23" s="28"/>
      <c r="L23" s="142">
        <v>81260</v>
      </c>
      <c r="M23" s="177"/>
      <c r="N23" s="192">
        <f t="shared" si="2"/>
        <v>0</v>
      </c>
    </row>
    <row r="24" spans="1:16" ht="16.5" thickBot="1" x14ac:dyDescent="0.3">
      <c r="A24" s="25"/>
      <c r="B24" s="16">
        <v>0</v>
      </c>
      <c r="C24" s="36"/>
      <c r="D24" s="181">
        <v>43731</v>
      </c>
      <c r="E24" s="178">
        <v>63921.65</v>
      </c>
      <c r="F24" s="150"/>
      <c r="G24" s="183">
        <v>43731</v>
      </c>
      <c r="H24" s="240">
        <v>0</v>
      </c>
      <c r="I24" s="28"/>
      <c r="J24" s="56"/>
      <c r="K24" s="28"/>
      <c r="L24" s="142">
        <f>43922+20000</f>
        <v>63922</v>
      </c>
      <c r="M24" s="177"/>
      <c r="N24" s="192">
        <f t="shared" si="2"/>
        <v>0.34999999999854481</v>
      </c>
    </row>
    <row r="25" spans="1:16" ht="16.5" thickBot="1" x14ac:dyDescent="0.3">
      <c r="A25" s="25"/>
      <c r="B25" s="16">
        <v>0</v>
      </c>
      <c r="C25" s="46"/>
      <c r="D25" s="181">
        <v>43732</v>
      </c>
      <c r="E25" s="178">
        <v>41056.17</v>
      </c>
      <c r="F25" s="150"/>
      <c r="G25" s="183">
        <v>43732</v>
      </c>
      <c r="H25" s="240">
        <v>0</v>
      </c>
      <c r="I25" s="28"/>
      <c r="J25" s="52"/>
      <c r="K25" s="28"/>
      <c r="L25" s="142">
        <v>41056</v>
      </c>
      <c r="M25" s="177"/>
      <c r="N25" s="192">
        <f t="shared" si="2"/>
        <v>-0.16999999999825377</v>
      </c>
    </row>
    <row r="26" spans="1:16" ht="16.5" thickBot="1" x14ac:dyDescent="0.3">
      <c r="A26" s="25"/>
      <c r="B26" s="16">
        <v>0</v>
      </c>
      <c r="C26" s="36"/>
      <c r="D26" s="181">
        <v>43733</v>
      </c>
      <c r="E26" s="178">
        <v>33097</v>
      </c>
      <c r="F26" s="150"/>
      <c r="G26" s="183">
        <v>43733</v>
      </c>
      <c r="H26" s="240">
        <v>0</v>
      </c>
      <c r="I26" s="40"/>
      <c r="J26" s="53"/>
      <c r="K26" s="28"/>
      <c r="L26" s="142">
        <v>33097</v>
      </c>
      <c r="M26" s="177"/>
      <c r="N26" s="192">
        <f t="shared" si="2"/>
        <v>0</v>
      </c>
    </row>
    <row r="27" spans="1:16" ht="16.5" thickBot="1" x14ac:dyDescent="0.3">
      <c r="A27" s="25"/>
      <c r="B27" s="16">
        <v>0</v>
      </c>
      <c r="C27" s="36"/>
      <c r="D27" s="181">
        <v>43734</v>
      </c>
      <c r="E27" s="178">
        <v>41353.26</v>
      </c>
      <c r="F27" s="150"/>
      <c r="G27" s="183">
        <v>43734</v>
      </c>
      <c r="H27" s="240">
        <v>0</v>
      </c>
      <c r="I27" s="40"/>
      <c r="J27" s="54"/>
      <c r="K27" s="28"/>
      <c r="L27" s="142">
        <f>20000+21353</f>
        <v>41353</v>
      </c>
      <c r="M27" s="177"/>
      <c r="N27" s="192">
        <f t="shared" si="2"/>
        <v>-0.26000000000203727</v>
      </c>
    </row>
    <row r="28" spans="1:16" ht="16.5" thickBot="1" x14ac:dyDescent="0.3">
      <c r="A28" s="25"/>
      <c r="B28" s="16">
        <v>0</v>
      </c>
      <c r="C28" s="36"/>
      <c r="D28" s="181">
        <v>43735</v>
      </c>
      <c r="E28" s="178">
        <v>88651.5</v>
      </c>
      <c r="F28" s="150"/>
      <c r="G28" s="183">
        <v>43735</v>
      </c>
      <c r="H28" s="240">
        <v>98</v>
      </c>
      <c r="I28" s="28"/>
      <c r="J28" s="55"/>
      <c r="K28" s="28"/>
      <c r="L28" s="142">
        <v>88550</v>
      </c>
      <c r="M28" s="177"/>
      <c r="N28" s="192">
        <f t="shared" si="2"/>
        <v>-3.5</v>
      </c>
    </row>
    <row r="29" spans="1:16" ht="16.5" thickBot="1" x14ac:dyDescent="0.3">
      <c r="A29" s="1"/>
      <c r="B29" s="16">
        <v>0</v>
      </c>
      <c r="C29" s="36"/>
      <c r="D29" s="181">
        <v>43736</v>
      </c>
      <c r="E29" s="178">
        <v>68491.55</v>
      </c>
      <c r="F29" s="150"/>
      <c r="G29" s="183">
        <v>43736</v>
      </c>
      <c r="H29" s="240">
        <v>0</v>
      </c>
      <c r="I29" s="40"/>
      <c r="K29" s="28"/>
      <c r="L29" s="142">
        <f>25000+43491.5</f>
        <v>68491.5</v>
      </c>
      <c r="M29" s="177"/>
      <c r="N29" s="192">
        <f t="shared" si="2"/>
        <v>-5.0000000002910383E-2</v>
      </c>
    </row>
    <row r="30" spans="1:16" ht="16.5" thickBot="1" x14ac:dyDescent="0.3">
      <c r="A30" s="1"/>
      <c r="B30" s="16">
        <v>0</v>
      </c>
      <c r="C30" s="36"/>
      <c r="D30" s="181">
        <v>43737</v>
      </c>
      <c r="E30" s="178">
        <v>67868.95</v>
      </c>
      <c r="F30" s="150"/>
      <c r="G30" s="183">
        <v>43737</v>
      </c>
      <c r="H30" s="240">
        <v>0</v>
      </c>
      <c r="I30" s="28"/>
      <c r="J30" s="55"/>
      <c r="K30" s="28"/>
      <c r="L30" s="142">
        <v>67869</v>
      </c>
      <c r="M30" s="177"/>
      <c r="N30" s="192">
        <f t="shared" si="2"/>
        <v>5.0000000002910383E-2</v>
      </c>
    </row>
    <row r="31" spans="1:16" ht="16.5" thickBot="1" x14ac:dyDescent="0.3">
      <c r="A31" s="1"/>
      <c r="B31" s="16">
        <v>0</v>
      </c>
      <c r="C31" s="36"/>
      <c r="D31" s="181">
        <v>43738</v>
      </c>
      <c r="E31" s="178">
        <v>41300.449999999997</v>
      </c>
      <c r="F31" s="150"/>
      <c r="G31" s="183">
        <v>43738</v>
      </c>
      <c r="H31" s="240">
        <v>100</v>
      </c>
      <c r="I31" s="216"/>
      <c r="J31" s="55"/>
      <c r="K31" s="28"/>
      <c r="L31" s="142">
        <v>41200.5</v>
      </c>
      <c r="M31" s="177"/>
      <c r="N31" s="192">
        <f t="shared" si="2"/>
        <v>5.0000000002910383E-2</v>
      </c>
    </row>
    <row r="32" spans="1:16" ht="16.5" thickBot="1" x14ac:dyDescent="0.3">
      <c r="A32" s="1"/>
      <c r="B32" s="16">
        <v>0</v>
      </c>
      <c r="C32" s="36"/>
      <c r="D32" s="181">
        <v>43739</v>
      </c>
      <c r="E32" s="178">
        <v>32558.29</v>
      </c>
      <c r="F32" s="150"/>
      <c r="G32" s="183">
        <v>43739</v>
      </c>
      <c r="H32" s="240">
        <v>0</v>
      </c>
      <c r="I32" s="40"/>
      <c r="J32" s="55"/>
      <c r="K32" s="28"/>
      <c r="L32" s="142">
        <v>32558</v>
      </c>
      <c r="M32" s="177"/>
      <c r="N32" s="192">
        <f t="shared" si="2"/>
        <v>-0.29000000000087311</v>
      </c>
    </row>
    <row r="33" spans="1:14" ht="16.5" thickBot="1" x14ac:dyDescent="0.3">
      <c r="A33" s="1"/>
      <c r="B33" s="16">
        <v>0</v>
      </c>
      <c r="C33" s="36"/>
      <c r="D33" s="181">
        <v>43740</v>
      </c>
      <c r="E33" s="178">
        <v>60951</v>
      </c>
      <c r="F33" s="150"/>
      <c r="G33" s="183">
        <v>43740</v>
      </c>
      <c r="H33" s="240">
        <v>0</v>
      </c>
      <c r="I33" s="40"/>
      <c r="J33" s="55"/>
      <c r="K33" s="28"/>
      <c r="L33" s="142">
        <f>35000+25951</f>
        <v>60951</v>
      </c>
      <c r="M33" s="177"/>
      <c r="N33" s="192">
        <f>L33-E33+H33+K32+K33+K34</f>
        <v>0</v>
      </c>
    </row>
    <row r="34" spans="1:14" ht="19.5" thickBot="1" x14ac:dyDescent="0.35">
      <c r="A34" s="58"/>
      <c r="B34" s="16">
        <v>0</v>
      </c>
      <c r="C34" s="12"/>
      <c r="D34" s="130"/>
      <c r="E34" s="132">
        <v>0</v>
      </c>
      <c r="F34" s="131"/>
      <c r="G34" s="129"/>
      <c r="H34" s="153">
        <v>0</v>
      </c>
      <c r="I34" s="259"/>
      <c r="J34" s="231"/>
      <c r="K34" s="232"/>
      <c r="L34" s="226">
        <f>SUM(L5:L33)</f>
        <v>1815032.5</v>
      </c>
      <c r="M34" s="201"/>
      <c r="N34" s="177">
        <f>SUM(N5:N33)</f>
        <v>118469.00000000003</v>
      </c>
    </row>
    <row r="35" spans="1:14" ht="15.75" thickBot="1" x14ac:dyDescent="0.3">
      <c r="A35" s="61"/>
      <c r="B35" s="62">
        <f>SUM(B5:B34)</f>
        <v>0</v>
      </c>
      <c r="D35" s="63" t="s">
        <v>15</v>
      </c>
      <c r="E35" s="64">
        <f>SUM(E5:E34)</f>
        <v>1697052.4999999998</v>
      </c>
      <c r="G35" s="262" t="s">
        <v>15</v>
      </c>
      <c r="H35" s="132">
        <f>SUM(H5:H34)</f>
        <v>489</v>
      </c>
      <c r="I35" s="28"/>
      <c r="J35" s="65" t="s">
        <v>15</v>
      </c>
      <c r="K35" s="29">
        <f>SUM(K5:K34)</f>
        <v>80803.429999999993</v>
      </c>
      <c r="L35" s="9"/>
      <c r="M35" s="9"/>
      <c r="N35" s="168"/>
    </row>
    <row r="36" spans="1:14" x14ac:dyDescent="0.25">
      <c r="A36" s="1"/>
      <c r="B36" s="5"/>
      <c r="E36" s="5"/>
      <c r="I36" s="5"/>
      <c r="L36" s="9"/>
      <c r="M36" s="9"/>
      <c r="N36" s="168"/>
    </row>
    <row r="37" spans="1:14" ht="16.5" thickBot="1" x14ac:dyDescent="0.3">
      <c r="A37" s="1"/>
      <c r="B37" s="5">
        <v>0</v>
      </c>
      <c r="E37" s="5"/>
      <c r="G37" s="292" t="s">
        <v>16</v>
      </c>
      <c r="H37" s="293"/>
      <c r="I37" s="261"/>
      <c r="J37" s="294">
        <f>H35+K35</f>
        <v>81292.429999999993</v>
      </c>
      <c r="K37" s="295"/>
      <c r="L37" s="67"/>
      <c r="M37" s="67"/>
      <c r="N37" s="237"/>
    </row>
    <row r="38" spans="1:14" ht="15.75" x14ac:dyDescent="0.25">
      <c r="A38" s="1"/>
      <c r="B38" s="69"/>
      <c r="C38" s="278" t="s">
        <v>17</v>
      </c>
      <c r="D38" s="278"/>
      <c r="E38" s="70">
        <f>E35-J37</f>
        <v>1615760.0699999998</v>
      </c>
      <c r="F38" s="71"/>
      <c r="G38" s="71"/>
      <c r="H38" s="72"/>
      <c r="I38" s="72"/>
      <c r="J38" s="73"/>
      <c r="K38" s="74"/>
      <c r="L38" s="67"/>
      <c r="M38" s="67"/>
      <c r="N38" s="176"/>
    </row>
    <row r="39" spans="1:14" x14ac:dyDescent="0.25">
      <c r="A39" s="1"/>
      <c r="B39" s="75"/>
      <c r="D39" s="2" t="s">
        <v>18</v>
      </c>
      <c r="E39" s="28">
        <v>105791.96</v>
      </c>
      <c r="H39" s="279" t="s">
        <v>19</v>
      </c>
      <c r="I39" s="279"/>
      <c r="J39" s="279">
        <f>E43</f>
        <v>207789.20999999988</v>
      </c>
      <c r="K39" s="280"/>
      <c r="L39" s="67"/>
      <c r="M39" s="67"/>
      <c r="N39" s="176"/>
    </row>
    <row r="40" spans="1:14" ht="15.75" thickBot="1" x14ac:dyDescent="0.3">
      <c r="A40" s="1"/>
      <c r="B40" s="75" t="s">
        <v>11</v>
      </c>
      <c r="C40" s="6" t="s">
        <v>20</v>
      </c>
      <c r="E40" s="76">
        <v>-1689199.4</v>
      </c>
      <c r="H40" s="281" t="s">
        <v>1</v>
      </c>
      <c r="I40" s="281"/>
      <c r="J40" s="282">
        <f>-B4</f>
        <v>-178527.32</v>
      </c>
      <c r="K40" s="283"/>
      <c r="L40" s="67"/>
      <c r="M40" s="67"/>
      <c r="N40" s="176"/>
    </row>
    <row r="41" spans="1:14" ht="20.25" thickTop="1" thickBot="1" x14ac:dyDescent="0.3">
      <c r="A41" s="1"/>
      <c r="B41" s="75"/>
      <c r="D41" s="2" t="s">
        <v>21</v>
      </c>
      <c r="E41" s="28">
        <f>SUM(E38:E40)</f>
        <v>32352.629999999888</v>
      </c>
      <c r="H41" s="284" t="s">
        <v>400</v>
      </c>
      <c r="I41" s="285"/>
      <c r="J41" s="286">
        <f>SUM(J38:K40)</f>
        <v>29261.889999999868</v>
      </c>
      <c r="K41" s="287"/>
      <c r="L41" s="67"/>
      <c r="M41" s="67"/>
      <c r="N41" s="176"/>
    </row>
    <row r="42" spans="1:14" ht="16.5" thickBot="1" x14ac:dyDescent="0.3">
      <c r="A42" s="1"/>
      <c r="B42" s="75"/>
      <c r="C42" s="10" t="s">
        <v>288</v>
      </c>
      <c r="D42" s="234">
        <v>43740</v>
      </c>
      <c r="E42" s="78">
        <v>175436.58</v>
      </c>
      <c r="F42" s="229"/>
      <c r="J42" s="288"/>
      <c r="K42" s="289"/>
      <c r="L42" s="67"/>
      <c r="M42" s="67"/>
      <c r="N42" s="176"/>
    </row>
    <row r="43" spans="1:14" ht="19.5" thickBot="1" x14ac:dyDescent="0.35">
      <c r="A43" s="1"/>
      <c r="B43" s="79"/>
      <c r="C43" s="80"/>
      <c r="D43" s="80" t="s">
        <v>23</v>
      </c>
      <c r="E43" s="81">
        <f>E42+E41</f>
        <v>207789.20999999988</v>
      </c>
      <c r="F43" s="82"/>
      <c r="G43" s="82"/>
      <c r="H43" s="202"/>
      <c r="I43" s="196"/>
      <c r="J43" s="197"/>
      <c r="K43" s="198"/>
      <c r="L43" s="199"/>
      <c r="M43" s="67"/>
      <c r="N43" s="176"/>
    </row>
  </sheetData>
  <mergeCells count="16">
    <mergeCell ref="H41:I41"/>
    <mergeCell ref="J41:K41"/>
    <mergeCell ref="J42:K42"/>
    <mergeCell ref="G37:H37"/>
    <mergeCell ref="J37:K37"/>
    <mergeCell ref="C38:D38"/>
    <mergeCell ref="H39:I39"/>
    <mergeCell ref="J39:K39"/>
    <mergeCell ref="H40:I40"/>
    <mergeCell ref="J40:K40"/>
    <mergeCell ref="B1:J1"/>
    <mergeCell ref="A3:B3"/>
    <mergeCell ref="D3:F3"/>
    <mergeCell ref="G3:H3"/>
    <mergeCell ref="D4:E4"/>
    <mergeCell ref="H4:K4"/>
  </mergeCells>
  <pageMargins left="0.68" right="0.15748031496062992" top="0.35433070866141736" bottom="0" header="0.31496062992125984" footer="0.17"/>
  <pageSetup scale="8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0F61-B720-4D99-891A-10B2ABF8C260}">
  <sheetPr>
    <tabColor rgb="FF990033"/>
  </sheetPr>
  <dimension ref="A1:J41"/>
  <sheetViews>
    <sheetView topLeftCell="A19" workbookViewId="0">
      <selection activeCell="E41" sqref="E41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96" t="s">
        <v>29</v>
      </c>
      <c r="D1" s="297"/>
      <c r="E1" s="298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99" t="s">
        <v>35</v>
      </c>
      <c r="I2" s="300"/>
      <c r="J2" s="301"/>
    </row>
    <row r="3" spans="1:10" x14ac:dyDescent="0.25">
      <c r="A3" s="205">
        <v>43712</v>
      </c>
      <c r="B3" s="206" t="s">
        <v>370</v>
      </c>
      <c r="C3" s="207">
        <v>77184.2</v>
      </c>
      <c r="D3" s="117"/>
      <c r="E3" s="92"/>
      <c r="F3" s="94">
        <f t="shared" ref="F3:F40" si="0">C3-E3</f>
        <v>77184.2</v>
      </c>
      <c r="H3" s="302"/>
      <c r="I3" s="303"/>
      <c r="J3" s="304"/>
    </row>
    <row r="4" spans="1:10" x14ac:dyDescent="0.25">
      <c r="A4" s="205">
        <v>43713</v>
      </c>
      <c r="B4" s="208" t="s">
        <v>371</v>
      </c>
      <c r="C4" s="207">
        <v>106412.38</v>
      </c>
      <c r="D4" s="117"/>
      <c r="E4" s="95"/>
      <c r="F4" s="96">
        <f t="shared" si="0"/>
        <v>106412.38</v>
      </c>
      <c r="H4" s="302"/>
      <c r="I4" s="303"/>
      <c r="J4" s="304"/>
    </row>
    <row r="5" spans="1:10" ht="15.75" thickBot="1" x14ac:dyDescent="0.3">
      <c r="A5" s="209">
        <v>43714</v>
      </c>
      <c r="B5" s="143" t="s">
        <v>372</v>
      </c>
      <c r="C5" s="163">
        <v>73425.34</v>
      </c>
      <c r="D5" s="117"/>
      <c r="E5" s="95"/>
      <c r="F5" s="96">
        <f t="shared" si="0"/>
        <v>73425.34</v>
      </c>
      <c r="H5" s="305"/>
      <c r="I5" s="306"/>
      <c r="J5" s="307"/>
    </row>
    <row r="6" spans="1:10" x14ac:dyDescent="0.25">
      <c r="A6" s="209">
        <v>43715</v>
      </c>
      <c r="B6" s="143" t="s">
        <v>373</v>
      </c>
      <c r="C6" s="163">
        <v>71654.8</v>
      </c>
      <c r="D6" s="117"/>
      <c r="E6" s="95"/>
      <c r="F6" s="99">
        <f t="shared" si="0"/>
        <v>71654.8</v>
      </c>
    </row>
    <row r="7" spans="1:10" x14ac:dyDescent="0.25">
      <c r="A7" s="209">
        <v>43719</v>
      </c>
      <c r="B7" s="143" t="s">
        <v>374</v>
      </c>
      <c r="C7" s="163">
        <v>100512</v>
      </c>
      <c r="D7" s="117"/>
      <c r="E7" s="95"/>
      <c r="F7" s="99">
        <f t="shared" si="0"/>
        <v>100512</v>
      </c>
    </row>
    <row r="8" spans="1:10" x14ac:dyDescent="0.25">
      <c r="A8" s="209">
        <v>43720</v>
      </c>
      <c r="B8" s="143" t="s">
        <v>375</v>
      </c>
      <c r="C8" s="163">
        <v>131375</v>
      </c>
      <c r="D8" s="117"/>
      <c r="E8" s="95"/>
      <c r="F8" s="99">
        <f t="shared" si="0"/>
        <v>131375</v>
      </c>
    </row>
    <row r="9" spans="1:10" ht="15.75" x14ac:dyDescent="0.25">
      <c r="A9" s="209">
        <v>43720</v>
      </c>
      <c r="B9" s="268" t="s">
        <v>376</v>
      </c>
      <c r="C9" s="163">
        <v>0</v>
      </c>
      <c r="D9" s="117"/>
      <c r="E9" s="95"/>
      <c r="F9" s="99">
        <f t="shared" si="0"/>
        <v>0</v>
      </c>
    </row>
    <row r="10" spans="1:10" x14ac:dyDescent="0.25">
      <c r="A10" s="209">
        <v>43721</v>
      </c>
      <c r="B10" s="143" t="s">
        <v>377</v>
      </c>
      <c r="C10" s="163">
        <v>32571.35</v>
      </c>
      <c r="D10" s="117"/>
      <c r="E10" s="95"/>
      <c r="F10" s="99">
        <f t="shared" si="0"/>
        <v>32571.35</v>
      </c>
    </row>
    <row r="11" spans="1:10" x14ac:dyDescent="0.25">
      <c r="A11" s="209">
        <v>43721</v>
      </c>
      <c r="B11" s="144" t="s">
        <v>378</v>
      </c>
      <c r="C11" s="163">
        <v>33762.050000000003</v>
      </c>
      <c r="D11" s="117"/>
      <c r="E11" s="95"/>
      <c r="F11" s="99">
        <f t="shared" si="0"/>
        <v>33762.050000000003</v>
      </c>
    </row>
    <row r="12" spans="1:10" x14ac:dyDescent="0.25">
      <c r="A12" s="209">
        <v>43721</v>
      </c>
      <c r="B12" s="143" t="s">
        <v>379</v>
      </c>
      <c r="C12" s="163">
        <v>80541.11</v>
      </c>
      <c r="D12" s="117"/>
      <c r="E12" s="95"/>
      <c r="F12" s="99">
        <f t="shared" si="0"/>
        <v>80541.11</v>
      </c>
    </row>
    <row r="13" spans="1:10" x14ac:dyDescent="0.25">
      <c r="A13" s="190">
        <v>43722</v>
      </c>
      <c r="B13" s="145" t="s">
        <v>380</v>
      </c>
      <c r="C13" s="163">
        <v>74877.259999999995</v>
      </c>
      <c r="D13" s="117"/>
      <c r="E13" s="95"/>
      <c r="F13" s="99">
        <f t="shared" si="0"/>
        <v>74877.259999999995</v>
      </c>
    </row>
    <row r="14" spans="1:10" x14ac:dyDescent="0.25">
      <c r="A14" s="190">
        <v>43724</v>
      </c>
      <c r="B14" s="145" t="s">
        <v>381</v>
      </c>
      <c r="C14" s="163">
        <v>79575.86</v>
      </c>
      <c r="D14" s="117"/>
      <c r="E14" s="95"/>
      <c r="F14" s="99">
        <f t="shared" si="0"/>
        <v>79575.86</v>
      </c>
    </row>
    <row r="15" spans="1:10" x14ac:dyDescent="0.25">
      <c r="A15" s="190">
        <v>43726</v>
      </c>
      <c r="B15" s="145" t="s">
        <v>382</v>
      </c>
      <c r="C15" s="163">
        <v>30845.5</v>
      </c>
      <c r="D15" s="117"/>
      <c r="E15" s="95"/>
      <c r="F15" s="99">
        <f t="shared" si="0"/>
        <v>30845.5</v>
      </c>
    </row>
    <row r="16" spans="1:10" x14ac:dyDescent="0.25">
      <c r="A16" s="190">
        <v>43726</v>
      </c>
      <c r="B16" s="145" t="s">
        <v>383</v>
      </c>
      <c r="C16" s="163">
        <v>32641</v>
      </c>
      <c r="D16" s="117"/>
      <c r="E16" s="95"/>
      <c r="F16" s="99">
        <f t="shared" si="0"/>
        <v>32641</v>
      </c>
    </row>
    <row r="17" spans="1:6" x14ac:dyDescent="0.25">
      <c r="A17" s="190">
        <v>43727</v>
      </c>
      <c r="B17" s="145" t="s">
        <v>384</v>
      </c>
      <c r="C17" s="163">
        <v>104025</v>
      </c>
      <c r="D17" s="117"/>
      <c r="E17" s="95"/>
      <c r="F17" s="99">
        <f t="shared" si="0"/>
        <v>104025</v>
      </c>
    </row>
    <row r="18" spans="1:6" x14ac:dyDescent="0.25">
      <c r="A18" s="190">
        <v>43728</v>
      </c>
      <c r="B18" s="145" t="s">
        <v>385</v>
      </c>
      <c r="C18" s="163">
        <v>133640.85</v>
      </c>
      <c r="D18" s="117"/>
      <c r="E18" s="95"/>
      <c r="F18" s="99">
        <f t="shared" si="0"/>
        <v>133640.85</v>
      </c>
    </row>
    <row r="19" spans="1:6" x14ac:dyDescent="0.25">
      <c r="A19" s="190">
        <v>43729</v>
      </c>
      <c r="B19" s="145" t="s">
        <v>386</v>
      </c>
      <c r="C19" s="163">
        <v>136305.79999999999</v>
      </c>
      <c r="D19" s="117"/>
      <c r="E19" s="95"/>
      <c r="F19" s="99">
        <f t="shared" si="0"/>
        <v>136305.79999999999</v>
      </c>
    </row>
    <row r="20" spans="1:6" x14ac:dyDescent="0.25">
      <c r="A20" s="190">
        <v>43731</v>
      </c>
      <c r="B20" s="145" t="s">
        <v>387</v>
      </c>
      <c r="C20" s="163">
        <v>47184.91</v>
      </c>
      <c r="D20" s="117"/>
      <c r="E20" s="95"/>
      <c r="F20" s="99">
        <f t="shared" si="0"/>
        <v>47184.91</v>
      </c>
    </row>
    <row r="21" spans="1:6" x14ac:dyDescent="0.25">
      <c r="A21" s="190">
        <v>43733</v>
      </c>
      <c r="B21" s="145" t="s">
        <v>391</v>
      </c>
      <c r="C21" s="163">
        <v>72322.350000000006</v>
      </c>
      <c r="D21" s="117"/>
      <c r="E21" s="95"/>
      <c r="F21" s="99">
        <f t="shared" si="0"/>
        <v>72322.350000000006</v>
      </c>
    </row>
    <row r="22" spans="1:6" x14ac:dyDescent="0.25">
      <c r="A22" s="190">
        <v>43734</v>
      </c>
      <c r="B22" s="145" t="s">
        <v>388</v>
      </c>
      <c r="C22" s="163">
        <v>62821.5</v>
      </c>
      <c r="D22" s="117"/>
      <c r="E22" s="95"/>
      <c r="F22" s="99">
        <f t="shared" si="0"/>
        <v>62821.5</v>
      </c>
    </row>
    <row r="23" spans="1:6" x14ac:dyDescent="0.25">
      <c r="A23" s="190">
        <v>43734</v>
      </c>
      <c r="B23" s="145" t="s">
        <v>389</v>
      </c>
      <c r="C23" s="163">
        <v>603</v>
      </c>
      <c r="D23" s="117"/>
      <c r="E23" s="95"/>
      <c r="F23" s="99">
        <f t="shared" si="0"/>
        <v>603</v>
      </c>
    </row>
    <row r="24" spans="1:6" x14ac:dyDescent="0.25">
      <c r="A24" s="190">
        <v>43735</v>
      </c>
      <c r="B24" s="145" t="s">
        <v>390</v>
      </c>
      <c r="C24" s="163">
        <v>78410.98</v>
      </c>
      <c r="D24" s="117"/>
      <c r="E24" s="95"/>
      <c r="F24" s="99">
        <f t="shared" si="0"/>
        <v>78410.98</v>
      </c>
    </row>
    <row r="25" spans="1:6" x14ac:dyDescent="0.25">
      <c r="A25" s="190">
        <v>43736</v>
      </c>
      <c r="B25" s="145" t="s">
        <v>392</v>
      </c>
      <c r="C25" s="163">
        <v>39177.699999999997</v>
      </c>
      <c r="D25" s="117"/>
      <c r="E25" s="95"/>
      <c r="F25" s="99">
        <f t="shared" si="0"/>
        <v>39177.699999999997</v>
      </c>
    </row>
    <row r="26" spans="1:6" x14ac:dyDescent="0.25">
      <c r="A26" s="190">
        <v>43738</v>
      </c>
      <c r="B26" s="145" t="s">
        <v>393</v>
      </c>
      <c r="C26" s="163">
        <v>72722.16</v>
      </c>
      <c r="D26" s="117"/>
      <c r="E26" s="95"/>
      <c r="F26" s="99">
        <f t="shared" si="0"/>
        <v>72722.16</v>
      </c>
    </row>
    <row r="27" spans="1:6" x14ac:dyDescent="0.25">
      <c r="A27" s="190">
        <v>43738</v>
      </c>
      <c r="B27" s="145" t="s">
        <v>394</v>
      </c>
      <c r="C27" s="163">
        <v>5705</v>
      </c>
      <c r="D27" s="93"/>
      <c r="E27" s="95"/>
      <c r="F27" s="99">
        <f t="shared" si="0"/>
        <v>5705</v>
      </c>
    </row>
    <row r="28" spans="1:6" x14ac:dyDescent="0.25">
      <c r="A28" s="190">
        <v>43740</v>
      </c>
      <c r="B28" s="145" t="s">
        <v>395</v>
      </c>
      <c r="C28" s="163">
        <v>63485.4</v>
      </c>
      <c r="D28" s="93"/>
      <c r="E28" s="95"/>
      <c r="F28" s="99">
        <f t="shared" si="0"/>
        <v>63485.4</v>
      </c>
    </row>
    <row r="29" spans="1:6" x14ac:dyDescent="0.25">
      <c r="A29" s="190"/>
      <c r="B29" s="145"/>
      <c r="C29" s="163"/>
      <c r="D29" s="93"/>
      <c r="E29" s="95"/>
      <c r="F29" s="99">
        <f t="shared" si="0"/>
        <v>0</v>
      </c>
    </row>
    <row r="30" spans="1:6" x14ac:dyDescent="0.25">
      <c r="A30" s="190"/>
      <c r="B30" s="145"/>
      <c r="C30" s="163"/>
      <c r="D30" s="93"/>
      <c r="E30" s="95"/>
      <c r="F30" s="99">
        <f t="shared" si="0"/>
        <v>0</v>
      </c>
    </row>
    <row r="31" spans="1:6" x14ac:dyDescent="0.25">
      <c r="A31" s="190"/>
      <c r="B31" s="145"/>
      <c r="C31" s="163"/>
      <c r="D31" s="93"/>
      <c r="E31" s="95"/>
      <c r="F31" s="99">
        <f t="shared" si="0"/>
        <v>0</v>
      </c>
    </row>
    <row r="32" spans="1:6" x14ac:dyDescent="0.25">
      <c r="A32" s="190"/>
      <c r="B32" s="145"/>
      <c r="C32" s="163"/>
      <c r="D32" s="93"/>
      <c r="E32" s="95"/>
      <c r="F32" s="99">
        <f t="shared" si="0"/>
        <v>0</v>
      </c>
    </row>
    <row r="33" spans="1:6" x14ac:dyDescent="0.25">
      <c r="A33" s="190"/>
      <c r="B33" s="145"/>
      <c r="C33" s="163"/>
      <c r="D33" s="93"/>
      <c r="E33" s="95"/>
      <c r="F33" s="99">
        <f t="shared" si="0"/>
        <v>0</v>
      </c>
    </row>
    <row r="34" spans="1:6" x14ac:dyDescent="0.25">
      <c r="A34" s="190"/>
      <c r="B34" s="145"/>
      <c r="C34" s="163"/>
      <c r="D34" s="93"/>
      <c r="E34" s="95"/>
      <c r="F34" s="99">
        <f t="shared" si="0"/>
        <v>0</v>
      </c>
    </row>
    <row r="35" spans="1:6" x14ac:dyDescent="0.25">
      <c r="A35" s="190"/>
      <c r="B35" s="145"/>
      <c r="C35" s="163"/>
      <c r="D35" s="93"/>
      <c r="E35" s="95"/>
      <c r="F35" s="99">
        <f t="shared" si="0"/>
        <v>0</v>
      </c>
    </row>
    <row r="36" spans="1:6" x14ac:dyDescent="0.25">
      <c r="A36" s="190"/>
      <c r="B36" s="145"/>
      <c r="C36" s="163"/>
      <c r="D36" s="210"/>
      <c r="E36" s="95"/>
      <c r="F36" s="99">
        <f t="shared" si="0"/>
        <v>0</v>
      </c>
    </row>
    <row r="37" spans="1:6" x14ac:dyDescent="0.25">
      <c r="A37" s="101"/>
      <c r="B37" s="102"/>
      <c r="C37" s="95"/>
      <c r="D37" s="93"/>
      <c r="E37" s="95"/>
      <c r="F37" s="99">
        <f t="shared" si="0"/>
        <v>0</v>
      </c>
    </row>
    <row r="38" spans="1:6" x14ac:dyDescent="0.25">
      <c r="A38" s="101"/>
      <c r="B38" s="102"/>
      <c r="C38" s="95"/>
      <c r="D38" s="93"/>
      <c r="E38" s="95"/>
      <c r="F38" s="99">
        <f t="shared" si="0"/>
        <v>0</v>
      </c>
    </row>
    <row r="39" spans="1:6" x14ac:dyDescent="0.25">
      <c r="A39" s="217"/>
      <c r="B39" s="218"/>
      <c r="C39" s="219"/>
      <c r="D39" s="210"/>
      <c r="E39" s="219"/>
      <c r="F39" s="220">
        <f t="shared" si="0"/>
        <v>0</v>
      </c>
    </row>
    <row r="40" spans="1:6" ht="16.5" thickBot="1" x14ac:dyDescent="0.3">
      <c r="A40" s="103" t="s">
        <v>36</v>
      </c>
      <c r="B40" s="104"/>
      <c r="C40" s="105"/>
      <c r="D40" s="106"/>
      <c r="E40" s="107">
        <v>52583.1</v>
      </c>
      <c r="F40" s="108">
        <f t="shared" si="0"/>
        <v>-52583.1</v>
      </c>
    </row>
    <row r="41" spans="1:6" s="113" customFormat="1" ht="19.5" thickBot="1" x14ac:dyDescent="0.35">
      <c r="A41" s="109"/>
      <c r="B41" s="110"/>
      <c r="C41" s="111">
        <f>SUM(C3:C40)</f>
        <v>1741782.4999999998</v>
      </c>
      <c r="D41" s="111"/>
      <c r="E41" s="112">
        <f>SUM(E3:E40)</f>
        <v>52583.1</v>
      </c>
      <c r="F41" s="112">
        <f>SUM(F3:F40)</f>
        <v>1689199.3999999997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ACC8-63F6-4861-995F-48FDE1AF10B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J44"/>
  <sheetViews>
    <sheetView topLeftCell="A22" workbookViewId="0">
      <selection activeCell="E39" sqref="E39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21.75" thickBot="1" x14ac:dyDescent="0.4">
      <c r="A1" s="308" t="s">
        <v>87</v>
      </c>
      <c r="B1" s="309"/>
      <c r="C1" s="296" t="s">
        <v>29</v>
      </c>
      <c r="D1" s="297"/>
      <c r="E1" s="298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99" t="s">
        <v>35</v>
      </c>
      <c r="I2" s="300"/>
      <c r="J2" s="301"/>
    </row>
    <row r="3" spans="1:10" x14ac:dyDescent="0.25">
      <c r="A3" s="90">
        <v>43467</v>
      </c>
      <c r="B3" s="91" t="s">
        <v>39</v>
      </c>
      <c r="C3" s="92">
        <v>4671</v>
      </c>
      <c r="D3" s="117" t="s">
        <v>68</v>
      </c>
      <c r="E3" s="92"/>
      <c r="F3" s="94">
        <f t="shared" ref="F3:F43" si="0">C3-E3</f>
        <v>4671</v>
      </c>
      <c r="H3" s="302"/>
      <c r="I3" s="303"/>
      <c r="J3" s="304"/>
    </row>
    <row r="4" spans="1:10" x14ac:dyDescent="0.25">
      <c r="A4" s="90">
        <v>43468</v>
      </c>
      <c r="B4" s="91" t="s">
        <v>40</v>
      </c>
      <c r="C4" s="92">
        <v>119952.62</v>
      </c>
      <c r="D4" s="117" t="s">
        <v>68</v>
      </c>
      <c r="E4" s="95"/>
      <c r="F4" s="96">
        <f t="shared" si="0"/>
        <v>119952.62</v>
      </c>
      <c r="H4" s="302"/>
      <c r="I4" s="303"/>
      <c r="J4" s="304"/>
    </row>
    <row r="5" spans="1:10" ht="15.75" thickBot="1" x14ac:dyDescent="0.3">
      <c r="A5" s="97">
        <v>43469</v>
      </c>
      <c r="B5" s="98" t="s">
        <v>41</v>
      </c>
      <c r="C5" s="95">
        <v>145607</v>
      </c>
      <c r="D5" s="117" t="s">
        <v>68</v>
      </c>
      <c r="E5" s="95"/>
      <c r="F5" s="96">
        <f t="shared" si="0"/>
        <v>145607</v>
      </c>
      <c r="H5" s="305"/>
      <c r="I5" s="306"/>
      <c r="J5" s="307"/>
    </row>
    <row r="6" spans="1:10" x14ac:dyDescent="0.25">
      <c r="A6" s="97">
        <v>43470</v>
      </c>
      <c r="B6" s="98" t="s">
        <v>42</v>
      </c>
      <c r="C6" s="95">
        <v>152507.84</v>
      </c>
      <c r="D6" s="117" t="s">
        <v>68</v>
      </c>
      <c r="E6" s="95"/>
      <c r="F6" s="99">
        <f t="shared" si="0"/>
        <v>152507.84</v>
      </c>
    </row>
    <row r="7" spans="1:10" x14ac:dyDescent="0.25">
      <c r="A7" s="97">
        <v>43472</v>
      </c>
      <c r="B7" s="98" t="s">
        <v>43</v>
      </c>
      <c r="C7" s="95">
        <v>40644</v>
      </c>
      <c r="D7" s="117" t="s">
        <v>68</v>
      </c>
      <c r="E7" s="95"/>
      <c r="F7" s="99">
        <f t="shared" si="0"/>
        <v>40644</v>
      </c>
    </row>
    <row r="8" spans="1:10" x14ac:dyDescent="0.25">
      <c r="A8" s="97">
        <v>43473</v>
      </c>
      <c r="B8" s="98" t="s">
        <v>45</v>
      </c>
      <c r="C8" s="95">
        <v>61536.5</v>
      </c>
      <c r="D8" s="117" t="s">
        <v>68</v>
      </c>
      <c r="E8" s="95"/>
      <c r="F8" s="99">
        <f t="shared" si="0"/>
        <v>61536.5</v>
      </c>
    </row>
    <row r="9" spans="1:10" x14ac:dyDescent="0.25">
      <c r="A9" s="97">
        <v>43474</v>
      </c>
      <c r="B9" s="98" t="s">
        <v>44</v>
      </c>
      <c r="C9" s="95">
        <v>62011.3</v>
      </c>
      <c r="D9" s="117" t="s">
        <v>68</v>
      </c>
      <c r="E9" s="95"/>
      <c r="F9" s="99">
        <f t="shared" si="0"/>
        <v>62011.3</v>
      </c>
    </row>
    <row r="10" spans="1:10" x14ac:dyDescent="0.25">
      <c r="A10" s="97">
        <v>43475</v>
      </c>
      <c r="B10" s="98" t="s">
        <v>46</v>
      </c>
      <c r="C10" s="95">
        <v>93969.68</v>
      </c>
      <c r="D10" s="117" t="s">
        <v>68</v>
      </c>
      <c r="E10" s="95"/>
      <c r="F10" s="99">
        <f t="shared" si="0"/>
        <v>93969.68</v>
      </c>
    </row>
    <row r="11" spans="1:10" x14ac:dyDescent="0.25">
      <c r="A11" s="97">
        <v>43476</v>
      </c>
      <c r="B11" s="100" t="s">
        <v>47</v>
      </c>
      <c r="C11" s="95">
        <v>132791.54999999999</v>
      </c>
      <c r="D11" s="117" t="s">
        <v>68</v>
      </c>
      <c r="E11" s="95"/>
      <c r="F11" s="99">
        <f t="shared" si="0"/>
        <v>132791.54999999999</v>
      </c>
    </row>
    <row r="12" spans="1:10" x14ac:dyDescent="0.25">
      <c r="A12" s="97">
        <v>43477</v>
      </c>
      <c r="B12" s="98" t="s">
        <v>48</v>
      </c>
      <c r="C12" s="95">
        <v>75186</v>
      </c>
      <c r="D12" s="117" t="s">
        <v>68</v>
      </c>
      <c r="E12" s="95"/>
      <c r="F12" s="99">
        <f t="shared" si="0"/>
        <v>75186</v>
      </c>
    </row>
    <row r="13" spans="1:10" x14ac:dyDescent="0.25">
      <c r="A13" s="101">
        <v>43479</v>
      </c>
      <c r="B13" s="102" t="s">
        <v>49</v>
      </c>
      <c r="C13" s="95">
        <v>39188.449999999997</v>
      </c>
      <c r="D13" s="117" t="s">
        <v>68</v>
      </c>
      <c r="E13" s="95"/>
      <c r="F13" s="99">
        <f t="shared" si="0"/>
        <v>39188.449999999997</v>
      </c>
    </row>
    <row r="14" spans="1:10" x14ac:dyDescent="0.25">
      <c r="A14" s="101">
        <v>43481</v>
      </c>
      <c r="B14" s="102" t="s">
        <v>50</v>
      </c>
      <c r="C14" s="95">
        <v>41898.78</v>
      </c>
      <c r="D14" s="117" t="s">
        <v>68</v>
      </c>
      <c r="E14" s="95"/>
      <c r="F14" s="99">
        <f t="shared" si="0"/>
        <v>41898.78</v>
      </c>
    </row>
    <row r="15" spans="1:10" x14ac:dyDescent="0.25">
      <c r="A15" s="101">
        <v>43481</v>
      </c>
      <c r="B15" s="102" t="s">
        <v>51</v>
      </c>
      <c r="C15" s="95">
        <v>34874</v>
      </c>
      <c r="D15" s="117" t="s">
        <v>68</v>
      </c>
      <c r="E15" s="95"/>
      <c r="F15" s="99">
        <f t="shared" si="0"/>
        <v>34874</v>
      </c>
    </row>
    <row r="16" spans="1:10" x14ac:dyDescent="0.25">
      <c r="A16" s="101">
        <v>43482</v>
      </c>
      <c r="B16" s="102" t="s">
        <v>52</v>
      </c>
      <c r="C16" s="95">
        <v>124767.16</v>
      </c>
      <c r="D16" s="117" t="s">
        <v>68</v>
      </c>
      <c r="E16" s="95"/>
      <c r="F16" s="99">
        <f t="shared" si="0"/>
        <v>124767.16</v>
      </c>
    </row>
    <row r="17" spans="1:6" x14ac:dyDescent="0.25">
      <c r="A17" s="101">
        <v>43482</v>
      </c>
      <c r="B17" s="102" t="s">
        <v>53</v>
      </c>
      <c r="C17" s="95">
        <v>1294.5999999999999</v>
      </c>
      <c r="D17" s="117" t="s">
        <v>68</v>
      </c>
      <c r="E17" s="95"/>
      <c r="F17" s="99">
        <f t="shared" si="0"/>
        <v>1294.5999999999999</v>
      </c>
    </row>
    <row r="18" spans="1:6" x14ac:dyDescent="0.25">
      <c r="A18" s="101">
        <v>43483</v>
      </c>
      <c r="B18" s="102" t="s">
        <v>54</v>
      </c>
      <c r="C18" s="95">
        <v>136304.79999999999</v>
      </c>
      <c r="D18" s="117" t="s">
        <v>68</v>
      </c>
      <c r="E18" s="95"/>
      <c r="F18" s="99">
        <f t="shared" si="0"/>
        <v>136304.79999999999</v>
      </c>
    </row>
    <row r="19" spans="1:6" x14ac:dyDescent="0.25">
      <c r="A19" s="101">
        <v>43484</v>
      </c>
      <c r="B19" s="102" t="s">
        <v>55</v>
      </c>
      <c r="C19" s="95">
        <v>50318</v>
      </c>
      <c r="D19" s="117" t="s">
        <v>68</v>
      </c>
      <c r="E19" s="95"/>
      <c r="F19" s="99">
        <f t="shared" si="0"/>
        <v>50318</v>
      </c>
    </row>
    <row r="20" spans="1:6" x14ac:dyDescent="0.25">
      <c r="A20" s="101">
        <v>43485</v>
      </c>
      <c r="B20" s="102" t="s">
        <v>56</v>
      </c>
      <c r="C20" s="95">
        <v>3634.6</v>
      </c>
      <c r="D20" s="117" t="s">
        <v>68</v>
      </c>
      <c r="E20" s="95"/>
      <c r="F20" s="99">
        <f t="shared" si="0"/>
        <v>3634.6</v>
      </c>
    </row>
    <row r="21" spans="1:6" x14ac:dyDescent="0.25">
      <c r="A21" s="101">
        <v>43486</v>
      </c>
      <c r="B21" s="102" t="s">
        <v>57</v>
      </c>
      <c r="C21" s="95">
        <v>130712.54</v>
      </c>
      <c r="D21" s="117" t="s">
        <v>68</v>
      </c>
      <c r="E21" s="95"/>
      <c r="F21" s="99">
        <f t="shared" si="0"/>
        <v>130712.54</v>
      </c>
    </row>
    <row r="22" spans="1:6" x14ac:dyDescent="0.25">
      <c r="A22" s="101">
        <v>43486</v>
      </c>
      <c r="B22" s="102" t="s">
        <v>58</v>
      </c>
      <c r="C22" s="95">
        <v>9822.9</v>
      </c>
      <c r="D22" s="117" t="s">
        <v>68</v>
      </c>
      <c r="E22" s="95"/>
      <c r="F22" s="99">
        <f t="shared" si="0"/>
        <v>9822.9</v>
      </c>
    </row>
    <row r="23" spans="1:6" x14ac:dyDescent="0.25">
      <c r="A23" s="101">
        <v>43489</v>
      </c>
      <c r="B23" s="102" t="s">
        <v>59</v>
      </c>
      <c r="C23" s="95">
        <v>182837.5</v>
      </c>
      <c r="D23" s="117" t="s">
        <v>68</v>
      </c>
      <c r="E23" s="95"/>
      <c r="F23" s="99">
        <f t="shared" si="0"/>
        <v>182837.5</v>
      </c>
    </row>
    <row r="24" spans="1:6" x14ac:dyDescent="0.25">
      <c r="A24" s="101">
        <v>43490</v>
      </c>
      <c r="B24" s="102" t="s">
        <v>60</v>
      </c>
      <c r="C24" s="95">
        <v>80349.149999999994</v>
      </c>
      <c r="D24" s="117" t="s">
        <v>68</v>
      </c>
      <c r="E24" s="95"/>
      <c r="F24" s="99">
        <f t="shared" si="0"/>
        <v>80349.149999999994</v>
      </c>
    </row>
    <row r="25" spans="1:6" x14ac:dyDescent="0.25">
      <c r="A25" s="101">
        <v>43490</v>
      </c>
      <c r="B25" s="102" t="s">
        <v>61</v>
      </c>
      <c r="C25" s="95">
        <v>1164</v>
      </c>
      <c r="D25" s="117" t="s">
        <v>68</v>
      </c>
      <c r="E25" s="95"/>
      <c r="F25" s="99">
        <f t="shared" si="0"/>
        <v>1164</v>
      </c>
    </row>
    <row r="26" spans="1:6" x14ac:dyDescent="0.25">
      <c r="A26" s="101"/>
      <c r="B26" s="102"/>
      <c r="C26" s="95"/>
      <c r="D26" s="117" t="s">
        <v>68</v>
      </c>
      <c r="E26" s="95"/>
      <c r="F26" s="99">
        <f t="shared" si="0"/>
        <v>0</v>
      </c>
    </row>
    <row r="27" spans="1:6" x14ac:dyDescent="0.25">
      <c r="A27" s="101">
        <v>43490</v>
      </c>
      <c r="B27" s="102" t="s">
        <v>62</v>
      </c>
      <c r="C27" s="95">
        <v>2800</v>
      </c>
      <c r="D27" s="117" t="s">
        <v>68</v>
      </c>
      <c r="E27" s="95"/>
      <c r="F27" s="99">
        <f t="shared" si="0"/>
        <v>2800</v>
      </c>
    </row>
    <row r="28" spans="1:6" x14ac:dyDescent="0.25">
      <c r="A28" s="101">
        <v>43491</v>
      </c>
      <c r="B28" s="102" t="s">
        <v>63</v>
      </c>
      <c r="C28" s="95">
        <v>115029.7</v>
      </c>
      <c r="D28" s="117" t="s">
        <v>68</v>
      </c>
      <c r="E28" s="95"/>
      <c r="F28" s="99">
        <f t="shared" si="0"/>
        <v>115029.7</v>
      </c>
    </row>
    <row r="29" spans="1:6" x14ac:dyDescent="0.25">
      <c r="A29" s="101">
        <v>43492</v>
      </c>
      <c r="B29" s="102" t="s">
        <v>64</v>
      </c>
      <c r="C29" s="95">
        <v>2995.2</v>
      </c>
      <c r="D29" s="117" t="s">
        <v>68</v>
      </c>
      <c r="E29" s="95"/>
      <c r="F29" s="99">
        <f t="shared" si="0"/>
        <v>2995.2</v>
      </c>
    </row>
    <row r="30" spans="1:6" x14ac:dyDescent="0.25">
      <c r="A30" s="101">
        <v>43493</v>
      </c>
      <c r="B30" s="102" t="s">
        <v>65</v>
      </c>
      <c r="C30" s="95">
        <v>40438.800000000003</v>
      </c>
      <c r="D30" s="117" t="s">
        <v>68</v>
      </c>
      <c r="E30" s="95"/>
      <c r="F30" s="99">
        <f t="shared" si="0"/>
        <v>40438.800000000003</v>
      </c>
    </row>
    <row r="31" spans="1:6" x14ac:dyDescent="0.25">
      <c r="A31" s="101">
        <v>43495</v>
      </c>
      <c r="B31" s="102" t="s">
        <v>66</v>
      </c>
      <c r="C31" s="95">
        <v>35327</v>
      </c>
      <c r="D31" s="117" t="s">
        <v>68</v>
      </c>
      <c r="E31" s="95"/>
      <c r="F31" s="99">
        <f t="shared" si="0"/>
        <v>35327</v>
      </c>
    </row>
    <row r="32" spans="1:6" x14ac:dyDescent="0.25">
      <c r="A32" s="101">
        <v>43496</v>
      </c>
      <c r="B32" s="102" t="s">
        <v>67</v>
      </c>
      <c r="C32" s="95">
        <v>145984.19</v>
      </c>
      <c r="D32" s="117" t="s">
        <v>68</v>
      </c>
      <c r="E32" s="95"/>
      <c r="F32" s="99">
        <f t="shared" si="0"/>
        <v>145984.19</v>
      </c>
    </row>
    <row r="33" spans="1:6" x14ac:dyDescent="0.25">
      <c r="A33" s="125">
        <v>43497</v>
      </c>
      <c r="B33" s="123" t="s">
        <v>69</v>
      </c>
      <c r="C33" s="124">
        <v>27222</v>
      </c>
      <c r="D33" s="93"/>
      <c r="E33" s="95"/>
      <c r="F33" s="99">
        <f t="shared" si="0"/>
        <v>27222</v>
      </c>
    </row>
    <row r="34" spans="1:6" x14ac:dyDescent="0.25">
      <c r="A34" s="125">
        <v>43498</v>
      </c>
      <c r="B34" s="123" t="s">
        <v>70</v>
      </c>
      <c r="C34" s="124">
        <v>118271.08</v>
      </c>
      <c r="D34" s="93"/>
      <c r="E34" s="95"/>
      <c r="F34" s="99">
        <f t="shared" si="0"/>
        <v>118271.08</v>
      </c>
    </row>
    <row r="35" spans="1:6" x14ac:dyDescent="0.25">
      <c r="A35" s="125">
        <v>43499</v>
      </c>
      <c r="B35" s="123" t="s">
        <v>71</v>
      </c>
      <c r="C35" s="124">
        <v>37684</v>
      </c>
      <c r="D35" s="93"/>
      <c r="E35" s="95"/>
      <c r="F35" s="99">
        <f t="shared" si="0"/>
        <v>37684</v>
      </c>
    </row>
    <row r="36" spans="1:6" x14ac:dyDescent="0.25">
      <c r="A36" s="125">
        <v>43499</v>
      </c>
      <c r="B36" s="123" t="s">
        <v>72</v>
      </c>
      <c r="C36" s="124">
        <v>40213.800000000003</v>
      </c>
      <c r="D36" s="93"/>
      <c r="E36" s="95"/>
      <c r="F36" s="99">
        <f t="shared" si="0"/>
        <v>40213.800000000003</v>
      </c>
    </row>
    <row r="37" spans="1:6" x14ac:dyDescent="0.25">
      <c r="A37" s="125">
        <v>43500</v>
      </c>
      <c r="B37" s="123" t="s">
        <v>73</v>
      </c>
      <c r="C37" s="124">
        <v>54760.6</v>
      </c>
      <c r="D37" s="93"/>
      <c r="E37" s="95"/>
      <c r="F37" s="99">
        <f t="shared" si="0"/>
        <v>54760.6</v>
      </c>
    </row>
    <row r="38" spans="1:6" x14ac:dyDescent="0.25">
      <c r="A38" s="125">
        <v>43804</v>
      </c>
      <c r="B38" s="123" t="s">
        <v>74</v>
      </c>
      <c r="C38" s="124">
        <v>34905.519999999997</v>
      </c>
      <c r="D38" s="93"/>
      <c r="E38" s="95"/>
      <c r="F38" s="99">
        <f t="shared" si="0"/>
        <v>34905.519999999997</v>
      </c>
    </row>
    <row r="39" spans="1:6" x14ac:dyDescent="0.25">
      <c r="A39" s="125">
        <v>43502</v>
      </c>
      <c r="B39" s="123" t="s">
        <v>75</v>
      </c>
      <c r="C39" s="124">
        <v>138103</v>
      </c>
      <c r="D39" s="93"/>
      <c r="E39" s="95"/>
      <c r="F39" s="99">
        <f t="shared" si="0"/>
        <v>138103</v>
      </c>
    </row>
    <row r="40" spans="1:6" x14ac:dyDescent="0.25">
      <c r="A40" s="125">
        <v>43503</v>
      </c>
      <c r="B40" s="123" t="s">
        <v>76</v>
      </c>
      <c r="C40" s="124">
        <v>4057</v>
      </c>
      <c r="D40" s="93"/>
      <c r="E40" s="95"/>
      <c r="F40" s="99">
        <f t="shared" si="0"/>
        <v>4057</v>
      </c>
    </row>
    <row r="41" spans="1:6" x14ac:dyDescent="0.25">
      <c r="A41" s="125">
        <v>43504</v>
      </c>
      <c r="B41" s="123" t="s">
        <v>77</v>
      </c>
      <c r="C41" s="124">
        <v>94832.84</v>
      </c>
      <c r="D41" s="93"/>
      <c r="E41" s="95"/>
      <c r="F41" s="99">
        <f t="shared" si="0"/>
        <v>94832.84</v>
      </c>
    </row>
    <row r="42" spans="1:6" x14ac:dyDescent="0.25">
      <c r="A42" s="125">
        <v>43505</v>
      </c>
      <c r="B42" s="123" t="s">
        <v>78</v>
      </c>
      <c r="C42" s="124">
        <v>71118.559999999998</v>
      </c>
      <c r="D42" s="93"/>
      <c r="E42" s="95"/>
      <c r="F42" s="99">
        <f t="shared" si="0"/>
        <v>71118.559999999998</v>
      </c>
    </row>
    <row r="43" spans="1:6" ht="16.5" thickBot="1" x14ac:dyDescent="0.3">
      <c r="A43" s="103" t="s">
        <v>36</v>
      </c>
      <c r="B43" s="104"/>
      <c r="C43" s="105"/>
      <c r="D43" s="106"/>
      <c r="E43" s="107">
        <v>42314.400000000001</v>
      </c>
      <c r="F43" s="108">
        <f t="shared" si="0"/>
        <v>-42314.400000000001</v>
      </c>
    </row>
    <row r="44" spans="1:6" s="113" customFormat="1" ht="19.5" thickBot="1" x14ac:dyDescent="0.35">
      <c r="A44" s="109"/>
      <c r="B44" s="110"/>
      <c r="C44" s="111">
        <f>SUM(C3:C43)</f>
        <v>2689787.26</v>
      </c>
      <c r="D44" s="111"/>
      <c r="E44" s="112">
        <f>SUM(E3:E43)</f>
        <v>42314.400000000001</v>
      </c>
      <c r="F44" s="112">
        <f>SUM(F3:F43)</f>
        <v>2647472.86</v>
      </c>
    </row>
  </sheetData>
  <sortState ref="A8:C9">
    <sortCondition ref="B8:B9"/>
  </sortState>
  <mergeCells count="3">
    <mergeCell ref="C1:E1"/>
    <mergeCell ref="H2:J5"/>
    <mergeCell ref="A1:B1"/>
  </mergeCells>
  <pageMargins left="0.70866141732283472" right="0.11811023622047245" top="0.74803149606299213" bottom="0.74803149606299213" header="0.31496062992125984" footer="0.31496062992125984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2C6C-CFE3-4492-B386-D0A13257646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362DC-F1A5-482D-916B-47BC9AB79E7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E2197-D33F-43AE-9ABF-1661357E67D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45"/>
  <sheetViews>
    <sheetView topLeftCell="A19" workbookViewId="0">
      <selection activeCell="H42" sqref="H42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5703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5703125" style="2"/>
    <col min="12" max="12" width="22.5703125" style="5" customWidth="1"/>
    <col min="13" max="13" width="15.28515625" style="14" customWidth="1"/>
  </cols>
  <sheetData>
    <row r="1" spans="1:13" ht="23.25" x14ac:dyDescent="0.35">
      <c r="A1" s="1"/>
      <c r="B1" s="269" t="s">
        <v>81</v>
      </c>
      <c r="C1" s="269"/>
      <c r="D1" s="269"/>
      <c r="E1" s="269"/>
      <c r="F1" s="269"/>
      <c r="G1" s="269"/>
      <c r="H1" s="269"/>
      <c r="I1" s="269"/>
      <c r="J1" s="269"/>
      <c r="L1" s="3" t="s">
        <v>0</v>
      </c>
      <c r="M1" s="4"/>
    </row>
    <row r="2" spans="1:13" x14ac:dyDescent="0.25">
      <c r="A2" s="1"/>
      <c r="B2" s="5"/>
      <c r="D2" s="7"/>
      <c r="E2" s="8"/>
      <c r="L2" s="9"/>
      <c r="M2" s="4"/>
    </row>
    <row r="3" spans="1:13" ht="19.5" customHeight="1" thickBot="1" x14ac:dyDescent="0.35">
      <c r="A3" s="276" t="s">
        <v>1</v>
      </c>
      <c r="B3" s="277"/>
      <c r="C3" s="10"/>
      <c r="D3" s="270" t="s">
        <v>2</v>
      </c>
      <c r="E3" s="270"/>
      <c r="F3" s="270"/>
      <c r="G3" s="271">
        <v>2000</v>
      </c>
      <c r="H3" s="271"/>
      <c r="I3" s="5"/>
      <c r="L3" s="9"/>
      <c r="M3" s="4"/>
    </row>
    <row r="4" spans="1:13" ht="20.25" thickTop="1" thickBot="1" x14ac:dyDescent="0.35">
      <c r="A4" s="120"/>
      <c r="B4" s="11">
        <v>189911.38</v>
      </c>
      <c r="C4" s="12"/>
      <c r="D4" s="272" t="s">
        <v>3</v>
      </c>
      <c r="E4" s="273"/>
      <c r="H4" s="274" t="s">
        <v>4</v>
      </c>
      <c r="I4" s="275"/>
      <c r="J4" s="275"/>
      <c r="K4" s="275"/>
      <c r="L4" s="13" t="s">
        <v>5</v>
      </c>
    </row>
    <row r="5" spans="1:13" ht="17.25" thickTop="1" thickBot="1" x14ac:dyDescent="0.3">
      <c r="A5" s="15"/>
      <c r="B5" s="16">
        <v>0</v>
      </c>
      <c r="C5" s="12"/>
      <c r="D5" s="17">
        <v>43506</v>
      </c>
      <c r="E5" s="18">
        <v>41150.699999999997</v>
      </c>
      <c r="F5" s="19"/>
      <c r="G5" s="20">
        <v>43506</v>
      </c>
      <c r="H5" s="134">
        <v>0</v>
      </c>
      <c r="I5" s="21"/>
      <c r="J5" s="22"/>
      <c r="K5" s="22"/>
      <c r="L5" s="23">
        <v>70225</v>
      </c>
      <c r="M5" s="24"/>
    </row>
    <row r="6" spans="1:13" ht="16.5" thickBot="1" x14ac:dyDescent="0.3">
      <c r="A6" s="25"/>
      <c r="B6" s="16">
        <v>0</v>
      </c>
      <c r="C6" s="12"/>
      <c r="D6" s="17">
        <v>43507</v>
      </c>
      <c r="E6" s="18">
        <v>58062.2</v>
      </c>
      <c r="F6" s="26"/>
      <c r="G6" s="20">
        <v>43507</v>
      </c>
      <c r="H6" s="27">
        <v>90</v>
      </c>
      <c r="I6" s="28"/>
      <c r="J6" s="2" t="s">
        <v>6</v>
      </c>
      <c r="K6" s="29">
        <v>549</v>
      </c>
      <c r="L6" s="23">
        <f>67771.5+200</f>
        <v>67971.5</v>
      </c>
      <c r="M6" s="140"/>
    </row>
    <row r="7" spans="1:13" ht="16.5" thickBot="1" x14ac:dyDescent="0.3">
      <c r="A7" s="25"/>
      <c r="B7" s="16">
        <v>0</v>
      </c>
      <c r="C7" s="12"/>
      <c r="D7" s="17">
        <v>43508</v>
      </c>
      <c r="E7" s="18">
        <v>47182.9</v>
      </c>
      <c r="G7" s="20">
        <v>43508</v>
      </c>
      <c r="H7" s="27">
        <v>11.95</v>
      </c>
      <c r="I7" s="30">
        <v>43521</v>
      </c>
      <c r="J7" s="31" t="s">
        <v>7</v>
      </c>
      <c r="K7" s="32">
        <v>6705</v>
      </c>
      <c r="L7" s="23">
        <f>25000+22171</f>
        <v>47171</v>
      </c>
      <c r="M7" s="33"/>
    </row>
    <row r="8" spans="1:13" ht="16.5" thickBot="1" x14ac:dyDescent="0.3">
      <c r="A8" s="25"/>
      <c r="B8" s="16">
        <v>0</v>
      </c>
      <c r="C8" s="34"/>
      <c r="D8" s="17">
        <v>43509</v>
      </c>
      <c r="E8" s="18">
        <v>25799.3</v>
      </c>
      <c r="G8" s="20">
        <v>43509</v>
      </c>
      <c r="H8" s="27">
        <v>0</v>
      </c>
      <c r="I8" s="28"/>
      <c r="J8" s="2" t="s">
        <v>8</v>
      </c>
      <c r="K8" s="35">
        <f>7187.5+7187.5+7187.5+7187.5</f>
        <v>28750</v>
      </c>
      <c r="L8" s="23">
        <f>20000+5800</f>
        <v>25800</v>
      </c>
      <c r="M8" s="33"/>
    </row>
    <row r="9" spans="1:13" ht="16.5" thickBot="1" x14ac:dyDescent="0.3">
      <c r="A9" s="25"/>
      <c r="B9" s="16">
        <v>0</v>
      </c>
      <c r="C9" s="36"/>
      <c r="D9" s="17">
        <v>43510</v>
      </c>
      <c r="E9" s="18">
        <v>37753.85</v>
      </c>
      <c r="G9" s="20">
        <v>43510</v>
      </c>
      <c r="H9" s="27">
        <v>0</v>
      </c>
      <c r="I9" s="126">
        <v>43506</v>
      </c>
      <c r="J9" s="2" t="s">
        <v>82</v>
      </c>
      <c r="K9" s="29">
        <v>8842.02</v>
      </c>
      <c r="L9" s="23">
        <v>43552.5</v>
      </c>
      <c r="M9" s="33"/>
    </row>
    <row r="10" spans="1:13" ht="16.5" thickBot="1" x14ac:dyDescent="0.3">
      <c r="A10" s="25"/>
      <c r="B10" s="16">
        <v>0</v>
      </c>
      <c r="C10" s="34"/>
      <c r="D10" s="17">
        <v>43511</v>
      </c>
      <c r="E10" s="18">
        <v>74722.7</v>
      </c>
      <c r="G10" s="20">
        <v>43511</v>
      </c>
      <c r="H10" s="27">
        <v>0</v>
      </c>
      <c r="I10" s="126">
        <v>43513</v>
      </c>
      <c r="J10" s="2" t="s">
        <v>83</v>
      </c>
      <c r="K10" s="29">
        <v>9150.08</v>
      </c>
      <c r="L10" s="23">
        <v>74723</v>
      </c>
      <c r="M10" s="38"/>
    </row>
    <row r="11" spans="1:13" ht="16.5" thickBot="1" x14ac:dyDescent="0.3">
      <c r="A11" s="25"/>
      <c r="B11" s="16">
        <v>0</v>
      </c>
      <c r="C11" s="34"/>
      <c r="D11" s="17">
        <v>43512</v>
      </c>
      <c r="E11" s="18">
        <v>66227.17</v>
      </c>
      <c r="G11" s="20">
        <v>43512</v>
      </c>
      <c r="H11" s="27">
        <v>0</v>
      </c>
      <c r="I11" s="126">
        <v>43520</v>
      </c>
      <c r="J11" s="2" t="s">
        <v>84</v>
      </c>
      <c r="K11" s="29">
        <v>8864.7000000000007</v>
      </c>
      <c r="L11" s="23">
        <f>25000+41227</f>
        <v>66227</v>
      </c>
      <c r="M11" s="33"/>
    </row>
    <row r="12" spans="1:13" ht="16.5" thickBot="1" x14ac:dyDescent="0.3">
      <c r="A12" s="25"/>
      <c r="B12" s="16">
        <v>0</v>
      </c>
      <c r="C12" s="34"/>
      <c r="D12" s="17">
        <v>43513</v>
      </c>
      <c r="E12" s="18">
        <v>92846.15</v>
      </c>
      <c r="G12" s="20">
        <v>43513</v>
      </c>
      <c r="H12" s="27">
        <v>0</v>
      </c>
      <c r="I12" s="126">
        <v>43527</v>
      </c>
      <c r="J12" s="2" t="s">
        <v>85</v>
      </c>
      <c r="K12" s="29">
        <v>8556.68</v>
      </c>
      <c r="L12" s="23">
        <v>92846</v>
      </c>
      <c r="M12" s="39"/>
    </row>
    <row r="13" spans="1:13" ht="16.5" thickBot="1" x14ac:dyDescent="0.3">
      <c r="A13" s="25"/>
      <c r="B13" s="16">
        <v>0</v>
      </c>
      <c r="C13" s="34"/>
      <c r="D13" s="17">
        <v>43514</v>
      </c>
      <c r="E13" s="18">
        <v>84057.45</v>
      </c>
      <c r="G13" s="20">
        <v>43514</v>
      </c>
      <c r="H13" s="27">
        <v>100</v>
      </c>
      <c r="I13" s="126"/>
      <c r="J13" s="2" t="s">
        <v>86</v>
      </c>
      <c r="K13" s="29">
        <v>0</v>
      </c>
      <c r="L13" s="23">
        <f>20000+63958</f>
        <v>83958</v>
      </c>
      <c r="M13" s="33"/>
    </row>
    <row r="14" spans="1:13" ht="16.5" thickBot="1" x14ac:dyDescent="0.3">
      <c r="A14" s="25"/>
      <c r="B14" s="16">
        <v>0</v>
      </c>
      <c r="C14" s="36"/>
      <c r="D14" s="17">
        <v>43515</v>
      </c>
      <c r="E14" s="18">
        <v>27665.87</v>
      </c>
      <c r="G14" s="20">
        <v>43515</v>
      </c>
      <c r="H14" s="27">
        <v>0</v>
      </c>
      <c r="I14" s="126"/>
      <c r="J14" s="41" t="s">
        <v>9</v>
      </c>
      <c r="K14" s="29">
        <v>0</v>
      </c>
      <c r="L14" s="23">
        <v>27666</v>
      </c>
      <c r="M14" s="33"/>
    </row>
    <row r="15" spans="1:13" ht="16.5" thickBot="1" x14ac:dyDescent="0.3">
      <c r="A15" s="25"/>
      <c r="B15" s="16">
        <v>0</v>
      </c>
      <c r="C15" s="36"/>
      <c r="D15" s="17">
        <v>43516</v>
      </c>
      <c r="E15" s="18">
        <v>58318.01</v>
      </c>
      <c r="G15" s="20">
        <v>43516</v>
      </c>
      <c r="H15" s="27">
        <v>0</v>
      </c>
      <c r="I15" s="28"/>
      <c r="J15" s="42"/>
      <c r="K15" s="29">
        <v>0</v>
      </c>
      <c r="L15" s="23">
        <f>30000+28318</f>
        <v>58318</v>
      </c>
      <c r="M15" s="33"/>
    </row>
    <row r="16" spans="1:13" ht="16.5" thickBot="1" x14ac:dyDescent="0.3">
      <c r="A16" s="25"/>
      <c r="B16" s="16">
        <v>0</v>
      </c>
      <c r="C16" s="36"/>
      <c r="D16" s="17">
        <v>43517</v>
      </c>
      <c r="E16" s="18">
        <v>47899.839999999997</v>
      </c>
      <c r="G16" s="20">
        <v>43517</v>
      </c>
      <c r="H16" s="27">
        <v>0</v>
      </c>
      <c r="I16" s="28"/>
      <c r="J16" s="43"/>
      <c r="K16" s="8">
        <v>0</v>
      </c>
      <c r="L16" s="23">
        <v>47900</v>
      </c>
      <c r="M16" s="33"/>
    </row>
    <row r="17" spans="1:14" ht="16.5" thickBot="1" x14ac:dyDescent="0.3">
      <c r="A17" s="25"/>
      <c r="B17" s="16">
        <v>0</v>
      </c>
      <c r="C17" s="36"/>
      <c r="D17" s="17">
        <v>43518</v>
      </c>
      <c r="E17" s="18">
        <v>54086.96</v>
      </c>
      <c r="G17" s="20">
        <v>43518</v>
      </c>
      <c r="H17" s="27">
        <v>0</v>
      </c>
      <c r="I17" s="44"/>
      <c r="K17" s="8">
        <v>0</v>
      </c>
      <c r="L17" s="23">
        <v>54087</v>
      </c>
      <c r="M17" s="33"/>
    </row>
    <row r="18" spans="1:14" ht="16.5" thickBot="1" x14ac:dyDescent="0.3">
      <c r="A18" s="25"/>
      <c r="B18" s="16">
        <v>0</v>
      </c>
      <c r="C18" s="34"/>
      <c r="D18" s="17">
        <v>43519</v>
      </c>
      <c r="E18" s="18">
        <v>84494.45</v>
      </c>
      <c r="G18" s="20">
        <v>43519</v>
      </c>
      <c r="H18" s="27">
        <v>36</v>
      </c>
      <c r="I18" s="44"/>
      <c r="K18" s="8">
        <v>0</v>
      </c>
      <c r="L18" s="23">
        <f>58558.5+25000</f>
        <v>83558.5</v>
      </c>
      <c r="M18" s="33"/>
    </row>
    <row r="19" spans="1:14" ht="16.5" thickBot="1" x14ac:dyDescent="0.3">
      <c r="A19" s="25"/>
      <c r="B19" s="16">
        <v>0</v>
      </c>
      <c r="C19" s="36"/>
      <c r="D19" s="17">
        <v>43520</v>
      </c>
      <c r="E19" s="18">
        <v>99364.87</v>
      </c>
      <c r="G19" s="20">
        <v>43520</v>
      </c>
      <c r="H19" s="27">
        <v>0</v>
      </c>
      <c r="I19" s="28"/>
      <c r="K19" s="8">
        <v>0</v>
      </c>
      <c r="L19" s="23">
        <f>85000+14365</f>
        <v>99365</v>
      </c>
      <c r="M19" s="45"/>
    </row>
    <row r="20" spans="1:14" ht="16.5" thickBot="1" x14ac:dyDescent="0.3">
      <c r="A20" s="25"/>
      <c r="B20" s="16">
        <v>0</v>
      </c>
      <c r="C20" s="46"/>
      <c r="D20" s="17">
        <v>43521</v>
      </c>
      <c r="E20" s="18">
        <v>44451.88</v>
      </c>
      <c r="G20" s="20">
        <v>43521</v>
      </c>
      <c r="H20" s="27">
        <v>90</v>
      </c>
      <c r="I20" s="47"/>
      <c r="J20" s="48"/>
      <c r="K20" s="28" t="s">
        <v>10</v>
      </c>
      <c r="L20" s="23">
        <f>20000+24362</f>
        <v>44362</v>
      </c>
      <c r="M20" s="45"/>
    </row>
    <row r="21" spans="1:14" ht="16.5" thickBot="1" x14ac:dyDescent="0.3">
      <c r="A21" s="25"/>
      <c r="B21" s="16">
        <v>0</v>
      </c>
      <c r="C21" s="46"/>
      <c r="D21" s="17">
        <v>43522</v>
      </c>
      <c r="E21" s="18">
        <v>31791.85</v>
      </c>
      <c r="G21" s="20">
        <v>43522</v>
      </c>
      <c r="H21" s="27">
        <v>0</v>
      </c>
      <c r="I21" s="33"/>
      <c r="J21" s="49"/>
      <c r="K21" s="28"/>
      <c r="L21" s="23">
        <v>31792</v>
      </c>
      <c r="M21" s="33"/>
    </row>
    <row r="22" spans="1:14" ht="16.5" thickBot="1" x14ac:dyDescent="0.3">
      <c r="A22" s="25"/>
      <c r="B22" s="16">
        <v>0</v>
      </c>
      <c r="C22" s="36"/>
      <c r="D22" s="17">
        <v>43523</v>
      </c>
      <c r="E22" s="18">
        <v>48642.7</v>
      </c>
      <c r="G22" s="20">
        <v>43523</v>
      </c>
      <c r="H22" s="27">
        <v>0</v>
      </c>
      <c r="I22" s="47" t="s">
        <v>11</v>
      </c>
      <c r="J22" s="50"/>
      <c r="K22" s="28">
        <v>0</v>
      </c>
      <c r="L22" s="23">
        <f>45000+3642.5</f>
        <v>48642.5</v>
      </c>
      <c r="M22" s="45"/>
    </row>
    <row r="23" spans="1:14" ht="16.5" thickBot="1" x14ac:dyDescent="0.3">
      <c r="A23" s="25"/>
      <c r="B23" s="16">
        <v>0</v>
      </c>
      <c r="C23" s="36"/>
      <c r="D23" s="17">
        <v>43524</v>
      </c>
      <c r="E23" s="18">
        <v>44472.41</v>
      </c>
      <c r="G23" s="20">
        <v>43524</v>
      </c>
      <c r="H23" s="27">
        <v>0</v>
      </c>
      <c r="I23" s="28"/>
      <c r="J23" s="49"/>
      <c r="K23" s="28">
        <v>0</v>
      </c>
      <c r="L23" s="23">
        <v>44472.5</v>
      </c>
      <c r="M23" s="33"/>
    </row>
    <row r="24" spans="1:14" ht="16.5" thickBot="1" x14ac:dyDescent="0.3">
      <c r="A24" s="25"/>
      <c r="B24" s="16">
        <v>0</v>
      </c>
      <c r="C24" s="36"/>
      <c r="D24" s="135">
        <v>43525</v>
      </c>
      <c r="E24" s="18">
        <v>57112.66</v>
      </c>
      <c r="G24" s="136">
        <v>43525</v>
      </c>
      <c r="H24" s="27">
        <v>40</v>
      </c>
      <c r="I24" s="28"/>
      <c r="J24" s="56"/>
      <c r="K24" s="28">
        <v>0</v>
      </c>
      <c r="L24" s="23">
        <v>57073</v>
      </c>
      <c r="M24" s="33"/>
    </row>
    <row r="25" spans="1:14" ht="16.5" thickBot="1" x14ac:dyDescent="0.3">
      <c r="A25" s="25"/>
      <c r="B25" s="16">
        <v>0</v>
      </c>
      <c r="C25" s="46"/>
      <c r="D25" s="135">
        <v>43526</v>
      </c>
      <c r="E25" s="18">
        <v>78132.78</v>
      </c>
      <c r="G25" s="136">
        <v>43526</v>
      </c>
      <c r="H25" s="27">
        <v>0</v>
      </c>
      <c r="I25" s="28"/>
      <c r="J25" s="52"/>
      <c r="K25" s="28"/>
      <c r="L25" s="23">
        <f>35000+43133</f>
        <v>78133</v>
      </c>
      <c r="M25" s="33"/>
    </row>
    <row r="26" spans="1:14" ht="16.5" thickBot="1" x14ac:dyDescent="0.3">
      <c r="A26" s="25"/>
      <c r="B26" s="16">
        <v>0</v>
      </c>
      <c r="C26" s="36"/>
      <c r="D26" s="135">
        <v>43527</v>
      </c>
      <c r="E26" s="18">
        <v>86014.24</v>
      </c>
      <c r="G26" s="136">
        <v>43527</v>
      </c>
      <c r="H26" s="27">
        <v>0</v>
      </c>
      <c r="I26" s="40">
        <v>43519</v>
      </c>
      <c r="J26" s="53" t="s">
        <v>12</v>
      </c>
      <c r="K26" s="28">
        <v>900</v>
      </c>
      <c r="L26" s="23">
        <v>86014</v>
      </c>
      <c r="M26" s="33"/>
    </row>
    <row r="27" spans="1:14" ht="16.5" thickBot="1" x14ac:dyDescent="0.3">
      <c r="A27" s="25"/>
      <c r="B27" s="16">
        <v>0</v>
      </c>
      <c r="C27" s="36"/>
      <c r="D27" s="135">
        <v>43528</v>
      </c>
      <c r="E27" s="18">
        <v>81432.55</v>
      </c>
      <c r="G27" s="136">
        <v>43528</v>
      </c>
      <c r="H27" s="27">
        <v>0</v>
      </c>
      <c r="I27" s="28"/>
      <c r="J27" s="54"/>
      <c r="K27" s="28">
        <v>0</v>
      </c>
      <c r="L27" s="23">
        <f>60000+21432.5</f>
        <v>81432.5</v>
      </c>
      <c r="M27" s="33"/>
    </row>
    <row r="28" spans="1:14" ht="16.5" thickBot="1" x14ac:dyDescent="0.3">
      <c r="A28" s="25"/>
      <c r="B28" s="16">
        <v>0</v>
      </c>
      <c r="C28" s="36"/>
      <c r="D28" s="135">
        <v>43529</v>
      </c>
      <c r="E28" s="18">
        <v>25924.35</v>
      </c>
      <c r="G28" s="136">
        <v>43529</v>
      </c>
      <c r="H28" s="27">
        <v>0</v>
      </c>
      <c r="I28" s="28"/>
      <c r="J28" s="55" t="s">
        <v>13</v>
      </c>
      <c r="K28" s="28">
        <v>0</v>
      </c>
      <c r="L28" s="23">
        <v>25924.5</v>
      </c>
      <c r="M28" s="33"/>
    </row>
    <row r="29" spans="1:14" ht="16.5" thickBot="1" x14ac:dyDescent="0.3">
      <c r="A29" s="1"/>
      <c r="B29" s="16">
        <v>0</v>
      </c>
      <c r="C29" s="36"/>
      <c r="D29" s="135">
        <v>43530</v>
      </c>
      <c r="E29" s="70">
        <v>46492.94</v>
      </c>
      <c r="G29" s="136">
        <v>43530</v>
      </c>
      <c r="H29" s="27">
        <v>0</v>
      </c>
      <c r="I29" s="40">
        <v>43530</v>
      </c>
      <c r="J29" s="55" t="s">
        <v>116</v>
      </c>
      <c r="K29" s="28">
        <v>870</v>
      </c>
      <c r="L29" s="23">
        <v>52903.5</v>
      </c>
      <c r="M29" s="33"/>
    </row>
    <row r="30" spans="1:14" ht="16.5" thickBot="1" x14ac:dyDescent="0.3">
      <c r="A30" s="1"/>
      <c r="B30" s="16">
        <v>0</v>
      </c>
      <c r="C30" s="36"/>
      <c r="D30" s="135">
        <v>43531</v>
      </c>
      <c r="E30" s="70">
        <v>57227.21</v>
      </c>
      <c r="G30" s="136">
        <v>43531</v>
      </c>
      <c r="H30" s="27">
        <v>0</v>
      </c>
      <c r="I30" s="28"/>
      <c r="J30" s="55"/>
      <c r="K30" s="28"/>
      <c r="L30" s="23">
        <v>71477</v>
      </c>
      <c r="M30" s="138">
        <v>14250</v>
      </c>
      <c r="N30" t="s">
        <v>117</v>
      </c>
    </row>
    <row r="31" spans="1:14" ht="16.5" thickBot="1" x14ac:dyDescent="0.3">
      <c r="A31" s="1"/>
      <c r="B31" s="16">
        <v>0</v>
      </c>
      <c r="C31" s="36"/>
      <c r="D31" s="135">
        <v>43532</v>
      </c>
      <c r="E31" s="70">
        <v>59286.32</v>
      </c>
      <c r="G31" s="136">
        <v>43532</v>
      </c>
      <c r="H31" s="27">
        <v>0</v>
      </c>
      <c r="I31" s="28"/>
      <c r="J31" s="55"/>
      <c r="K31" s="28"/>
      <c r="L31" s="23">
        <v>45000</v>
      </c>
      <c r="M31" s="139">
        <v>-14250</v>
      </c>
      <c r="N31" t="s">
        <v>118</v>
      </c>
    </row>
    <row r="32" spans="1:14" ht="19.5" thickBot="1" x14ac:dyDescent="0.35">
      <c r="A32" s="58"/>
      <c r="B32" s="16">
        <v>0</v>
      </c>
      <c r="C32" s="12"/>
      <c r="D32" s="130"/>
      <c r="E32" s="132">
        <v>0</v>
      </c>
      <c r="F32" s="131"/>
      <c r="G32" s="129">
        <v>52903</v>
      </c>
      <c r="H32" s="133"/>
      <c r="I32" s="5"/>
      <c r="J32" s="56"/>
      <c r="K32" s="29"/>
      <c r="L32" s="137">
        <f>SUM(L5:L31)</f>
        <v>1610595</v>
      </c>
      <c r="M32" s="4"/>
    </row>
    <row r="33" spans="1:13" ht="15.75" thickBot="1" x14ac:dyDescent="0.3">
      <c r="A33" s="61"/>
      <c r="B33" s="62">
        <f>SUM(B5:B32)</f>
        <v>0</v>
      </c>
      <c r="D33" s="63" t="s">
        <v>15</v>
      </c>
      <c r="E33" s="64">
        <f>SUM(E5:E32)</f>
        <v>1560614.3099999998</v>
      </c>
      <c r="G33" s="7" t="s">
        <v>15</v>
      </c>
      <c r="H33" s="132">
        <f>SUM(H5:H32)</f>
        <v>367.95</v>
      </c>
      <c r="I33" s="28"/>
      <c r="J33" s="65" t="s">
        <v>15</v>
      </c>
      <c r="K33" s="29">
        <f>SUM(K5:K32)</f>
        <v>73187.48000000001</v>
      </c>
      <c r="L33" s="9"/>
      <c r="M33" s="4"/>
    </row>
    <row r="34" spans="1:13" x14ac:dyDescent="0.25">
      <c r="A34" s="1"/>
      <c r="B34" s="5"/>
      <c r="E34" s="5"/>
      <c r="I34" s="5"/>
      <c r="L34" s="9"/>
      <c r="M34" s="4"/>
    </row>
    <row r="35" spans="1:13" ht="16.5" thickBot="1" x14ac:dyDescent="0.3">
      <c r="A35" s="1"/>
      <c r="B35" s="5">
        <v>0</v>
      </c>
      <c r="E35" s="5"/>
      <c r="G35" s="292" t="s">
        <v>16</v>
      </c>
      <c r="H35" s="293"/>
      <c r="I35" s="66"/>
      <c r="J35" s="294">
        <f>H33+K33</f>
        <v>73555.430000000008</v>
      </c>
      <c r="K35" s="295"/>
      <c r="L35" s="67"/>
      <c r="M35" s="68"/>
    </row>
    <row r="36" spans="1:13" ht="15.75" x14ac:dyDescent="0.25">
      <c r="A36" s="1"/>
      <c r="B36" s="69"/>
      <c r="C36" s="278" t="s">
        <v>17</v>
      </c>
      <c r="D36" s="278"/>
      <c r="E36" s="70">
        <f>E33-J35</f>
        <v>1487058.88</v>
      </c>
      <c r="F36" s="71"/>
      <c r="G36" s="71"/>
      <c r="H36" s="72"/>
      <c r="I36" s="72"/>
      <c r="J36" s="73"/>
      <c r="K36" s="74"/>
      <c r="L36" s="67"/>
      <c r="M36" s="68"/>
    </row>
    <row r="37" spans="1:13" x14ac:dyDescent="0.25">
      <c r="A37" s="1"/>
      <c r="B37" s="75"/>
      <c r="D37" s="2" t="s">
        <v>18</v>
      </c>
      <c r="E37" s="28">
        <v>30941.599999999999</v>
      </c>
      <c r="H37" s="279" t="s">
        <v>19</v>
      </c>
      <c r="I37" s="279"/>
      <c r="J37" s="279">
        <f>E41</f>
        <v>248440.28999999986</v>
      </c>
      <c r="K37" s="280"/>
      <c r="L37" s="67"/>
      <c r="M37" s="68"/>
    </row>
    <row r="38" spans="1:13" ht="15.75" thickBot="1" x14ac:dyDescent="0.3">
      <c r="A38" s="1"/>
      <c r="B38" s="75" t="s">
        <v>11</v>
      </c>
      <c r="C38" s="6" t="s">
        <v>20</v>
      </c>
      <c r="E38" s="76">
        <v>-1536641.35</v>
      </c>
      <c r="H38" s="281" t="s">
        <v>1</v>
      </c>
      <c r="I38" s="281"/>
      <c r="J38" s="282">
        <f>-B4</f>
        <v>-189911.38</v>
      </c>
      <c r="K38" s="283"/>
      <c r="L38" s="67"/>
      <c r="M38" s="68"/>
    </row>
    <row r="39" spans="1:13" ht="20.25" thickTop="1" thickBot="1" x14ac:dyDescent="0.3">
      <c r="A39" s="1"/>
      <c r="B39" s="75"/>
      <c r="D39" s="2" t="s">
        <v>21</v>
      </c>
      <c r="E39" s="28">
        <f>SUM(E36:E38)</f>
        <v>-18640.870000000112</v>
      </c>
      <c r="H39" s="284" t="s">
        <v>88</v>
      </c>
      <c r="I39" s="285"/>
      <c r="J39" s="286">
        <f>SUM(J36:K38)</f>
        <v>58528.909999999858</v>
      </c>
      <c r="K39" s="287"/>
      <c r="L39" s="67"/>
      <c r="M39" s="68"/>
    </row>
    <row r="40" spans="1:13" ht="16.5" thickBot="1" x14ac:dyDescent="0.3">
      <c r="A40" s="1"/>
      <c r="B40" s="75"/>
      <c r="C40" s="10" t="s">
        <v>112</v>
      </c>
      <c r="D40" s="77"/>
      <c r="E40" s="78">
        <v>267081.15999999997</v>
      </c>
      <c r="J40" s="288"/>
      <c r="K40" s="289"/>
      <c r="L40" s="67"/>
      <c r="M40" s="68"/>
    </row>
    <row r="41" spans="1:13" ht="19.5" thickBot="1" x14ac:dyDescent="0.3">
      <c r="A41" s="1"/>
      <c r="B41" s="79"/>
      <c r="C41" s="80"/>
      <c r="D41" s="80" t="s">
        <v>23</v>
      </c>
      <c r="E41" s="81">
        <f>E40+E39</f>
        <v>248440.28999999986</v>
      </c>
      <c r="F41" s="82"/>
      <c r="G41" s="82"/>
      <c r="H41" s="83"/>
      <c r="I41" s="84"/>
      <c r="J41" s="290"/>
      <c r="K41" s="291"/>
      <c r="L41" s="67"/>
      <c r="M41" s="68"/>
    </row>
    <row r="45" spans="1:13" x14ac:dyDescent="0.25">
      <c r="D45" s="2" t="s">
        <v>11</v>
      </c>
    </row>
  </sheetData>
  <mergeCells count="17">
    <mergeCell ref="H39:I39"/>
    <mergeCell ref="J39:K39"/>
    <mergeCell ref="J40:K40"/>
    <mergeCell ref="J41:K41"/>
    <mergeCell ref="G35:H35"/>
    <mergeCell ref="J35:K35"/>
    <mergeCell ref="C36:D36"/>
    <mergeCell ref="H37:I37"/>
    <mergeCell ref="J37:K37"/>
    <mergeCell ref="H38:I38"/>
    <mergeCell ref="J38:K38"/>
    <mergeCell ref="B1:J1"/>
    <mergeCell ref="A3:B3"/>
    <mergeCell ref="D3:F3"/>
    <mergeCell ref="G3:H3"/>
    <mergeCell ref="D4:E4"/>
    <mergeCell ref="H4:K4"/>
  </mergeCells>
  <pageMargins left="0.70866141732283472" right="0.11811023622047245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J31"/>
  <sheetViews>
    <sheetView workbookViewId="0">
      <selection activeCell="C38" sqref="C38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96" t="s">
        <v>29</v>
      </c>
      <c r="D1" s="297"/>
      <c r="E1" s="298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99" t="s">
        <v>35</v>
      </c>
      <c r="I2" s="300"/>
      <c r="J2" s="301"/>
    </row>
    <row r="3" spans="1:10" x14ac:dyDescent="0.25">
      <c r="A3" s="90">
        <v>43507</v>
      </c>
      <c r="B3" s="91" t="s">
        <v>89</v>
      </c>
      <c r="C3" s="92">
        <v>92187</v>
      </c>
      <c r="D3" s="117"/>
      <c r="E3" s="92"/>
      <c r="F3" s="94">
        <f t="shared" ref="F3:F30" si="0">C3-E3</f>
        <v>92187</v>
      </c>
      <c r="H3" s="302"/>
      <c r="I3" s="303"/>
      <c r="J3" s="304"/>
    </row>
    <row r="4" spans="1:10" x14ac:dyDescent="0.25">
      <c r="A4" s="90">
        <v>43509</v>
      </c>
      <c r="B4" s="91" t="s">
        <v>90</v>
      </c>
      <c r="C4" s="92">
        <v>60452</v>
      </c>
      <c r="D4" s="117"/>
      <c r="E4" s="95"/>
      <c r="F4" s="96">
        <f t="shared" si="0"/>
        <v>60452</v>
      </c>
      <c r="H4" s="302"/>
      <c r="I4" s="303"/>
      <c r="J4" s="304"/>
    </row>
    <row r="5" spans="1:10" ht="15.75" thickBot="1" x14ac:dyDescent="0.3">
      <c r="A5" s="97">
        <v>43510</v>
      </c>
      <c r="B5" s="98" t="s">
        <v>91</v>
      </c>
      <c r="C5" s="95">
        <v>118963</v>
      </c>
      <c r="D5" s="117"/>
      <c r="E5" s="95"/>
      <c r="F5" s="96">
        <f t="shared" si="0"/>
        <v>118963</v>
      </c>
      <c r="H5" s="305"/>
      <c r="I5" s="306"/>
      <c r="J5" s="307"/>
    </row>
    <row r="6" spans="1:10" x14ac:dyDescent="0.25">
      <c r="A6" s="97">
        <v>43511</v>
      </c>
      <c r="B6" s="98" t="s">
        <v>92</v>
      </c>
      <c r="C6" s="95">
        <v>42438.84</v>
      </c>
      <c r="D6" s="117"/>
      <c r="E6" s="95"/>
      <c r="F6" s="99">
        <f t="shared" si="0"/>
        <v>42438.84</v>
      </c>
    </row>
    <row r="7" spans="1:10" x14ac:dyDescent="0.25">
      <c r="A7" s="97">
        <v>43511</v>
      </c>
      <c r="B7" s="98" t="s">
        <v>93</v>
      </c>
      <c r="C7" s="95">
        <v>4472</v>
      </c>
      <c r="D7" s="117"/>
      <c r="E7" s="95"/>
      <c r="F7" s="99">
        <f t="shared" si="0"/>
        <v>4472</v>
      </c>
    </row>
    <row r="8" spans="1:10" x14ac:dyDescent="0.25">
      <c r="A8" s="97">
        <v>43512</v>
      </c>
      <c r="B8" s="98" t="s">
        <v>94</v>
      </c>
      <c r="C8" s="95">
        <v>90362.68</v>
      </c>
      <c r="D8" s="117"/>
      <c r="E8" s="95"/>
      <c r="F8" s="99">
        <f t="shared" si="0"/>
        <v>90362.68</v>
      </c>
    </row>
    <row r="9" spans="1:10" x14ac:dyDescent="0.25">
      <c r="A9" s="97">
        <v>43513</v>
      </c>
      <c r="B9" s="98" t="s">
        <v>95</v>
      </c>
      <c r="C9" s="95">
        <v>941</v>
      </c>
      <c r="D9" s="117"/>
      <c r="E9" s="95"/>
      <c r="F9" s="99">
        <f t="shared" si="0"/>
        <v>941</v>
      </c>
    </row>
    <row r="10" spans="1:10" x14ac:dyDescent="0.25">
      <c r="A10" s="97">
        <v>43514</v>
      </c>
      <c r="B10" s="98" t="s">
        <v>96</v>
      </c>
      <c r="C10" s="95">
        <v>109512.62</v>
      </c>
      <c r="D10" s="117"/>
      <c r="E10" s="95"/>
      <c r="F10" s="99">
        <f t="shared" si="0"/>
        <v>109512.62</v>
      </c>
    </row>
    <row r="11" spans="1:10" x14ac:dyDescent="0.25">
      <c r="A11" s="97">
        <v>43514</v>
      </c>
      <c r="B11" s="100" t="s">
        <v>97</v>
      </c>
      <c r="C11" s="95">
        <v>3989.6</v>
      </c>
      <c r="D11" s="117"/>
      <c r="E11" s="95"/>
      <c r="F11" s="99">
        <f t="shared" si="0"/>
        <v>3989.6</v>
      </c>
    </row>
    <row r="12" spans="1:10" x14ac:dyDescent="0.25">
      <c r="A12" s="97">
        <v>43515</v>
      </c>
      <c r="B12" s="98" t="s">
        <v>98</v>
      </c>
      <c r="C12" s="95">
        <v>55102.5</v>
      </c>
      <c r="D12" s="117"/>
      <c r="E12" s="95"/>
      <c r="F12" s="99">
        <f t="shared" si="0"/>
        <v>55102.5</v>
      </c>
    </row>
    <row r="13" spans="1:10" x14ac:dyDescent="0.25">
      <c r="A13" s="101">
        <v>43517</v>
      </c>
      <c r="B13" s="102" t="s">
        <v>99</v>
      </c>
      <c r="C13" s="95">
        <v>93239.8</v>
      </c>
      <c r="D13" s="117"/>
      <c r="E13" s="95"/>
      <c r="F13" s="99">
        <f t="shared" si="0"/>
        <v>93239.8</v>
      </c>
    </row>
    <row r="14" spans="1:10" x14ac:dyDescent="0.25">
      <c r="A14" s="101">
        <v>43518</v>
      </c>
      <c r="B14" s="102" t="s">
        <v>100</v>
      </c>
      <c r="C14" s="95">
        <v>2626</v>
      </c>
      <c r="D14" s="117"/>
      <c r="E14" s="95"/>
      <c r="F14" s="99">
        <f t="shared" si="0"/>
        <v>2626</v>
      </c>
    </row>
    <row r="15" spans="1:10" x14ac:dyDescent="0.25">
      <c r="A15" s="101">
        <v>43519</v>
      </c>
      <c r="B15" s="102" t="s">
        <v>101</v>
      </c>
      <c r="C15" s="95">
        <v>44940</v>
      </c>
      <c r="D15" s="117"/>
      <c r="E15" s="95"/>
      <c r="F15" s="99">
        <f t="shared" si="0"/>
        <v>44940</v>
      </c>
    </row>
    <row r="16" spans="1:10" x14ac:dyDescent="0.25">
      <c r="A16" s="101">
        <v>43519</v>
      </c>
      <c r="B16" s="102" t="s">
        <v>102</v>
      </c>
      <c r="C16" s="95">
        <v>38844</v>
      </c>
      <c r="D16" s="117"/>
      <c r="E16" s="95"/>
      <c r="F16" s="99">
        <f t="shared" si="0"/>
        <v>38844</v>
      </c>
    </row>
    <row r="17" spans="1:6" x14ac:dyDescent="0.25">
      <c r="A17" s="101">
        <v>43519</v>
      </c>
      <c r="B17" s="102" t="s">
        <v>103</v>
      </c>
      <c r="C17" s="95">
        <v>28639.5</v>
      </c>
      <c r="D17" s="117"/>
      <c r="E17" s="95"/>
      <c r="F17" s="99">
        <f t="shared" si="0"/>
        <v>28639.5</v>
      </c>
    </row>
    <row r="18" spans="1:6" x14ac:dyDescent="0.25">
      <c r="A18" s="101">
        <v>43521</v>
      </c>
      <c r="B18" s="102" t="s">
        <v>104</v>
      </c>
      <c r="C18" s="95">
        <v>99361.4</v>
      </c>
      <c r="D18" s="117"/>
      <c r="E18" s="95"/>
      <c r="F18" s="99">
        <f t="shared" si="0"/>
        <v>99361.4</v>
      </c>
    </row>
    <row r="19" spans="1:6" x14ac:dyDescent="0.25">
      <c r="A19" s="101">
        <v>43518</v>
      </c>
      <c r="B19" s="102" t="s">
        <v>105</v>
      </c>
      <c r="C19" s="95">
        <v>46528</v>
      </c>
      <c r="D19" s="117"/>
      <c r="E19" s="95"/>
      <c r="F19" s="99">
        <f t="shared" si="0"/>
        <v>46528</v>
      </c>
    </row>
    <row r="20" spans="1:6" x14ac:dyDescent="0.25">
      <c r="A20" s="101">
        <v>43523</v>
      </c>
      <c r="B20" s="102" t="s">
        <v>106</v>
      </c>
      <c r="C20" s="95">
        <v>909</v>
      </c>
      <c r="D20" s="117"/>
      <c r="E20" s="95"/>
      <c r="F20" s="99">
        <f t="shared" si="0"/>
        <v>909</v>
      </c>
    </row>
    <row r="21" spans="1:6" x14ac:dyDescent="0.25">
      <c r="A21" s="101">
        <v>43524</v>
      </c>
      <c r="B21" s="102" t="s">
        <v>107</v>
      </c>
      <c r="C21" s="95">
        <v>126518</v>
      </c>
      <c r="D21" s="117"/>
      <c r="E21" s="95"/>
      <c r="F21" s="99">
        <f t="shared" si="0"/>
        <v>126518</v>
      </c>
    </row>
    <row r="22" spans="1:6" x14ac:dyDescent="0.25">
      <c r="A22" s="101">
        <v>43525</v>
      </c>
      <c r="B22" s="102" t="s">
        <v>108</v>
      </c>
      <c r="C22" s="95">
        <v>75632.3</v>
      </c>
      <c r="D22" s="117"/>
      <c r="E22" s="95"/>
      <c r="F22" s="99">
        <f t="shared" si="0"/>
        <v>75632.3</v>
      </c>
    </row>
    <row r="23" spans="1:6" x14ac:dyDescent="0.25">
      <c r="A23" s="101">
        <v>43525</v>
      </c>
      <c r="B23" s="102" t="s">
        <v>109</v>
      </c>
      <c r="C23" s="95">
        <v>5555.6</v>
      </c>
      <c r="D23" s="117"/>
      <c r="E23" s="95"/>
      <c r="F23" s="99">
        <f t="shared" si="0"/>
        <v>5555.6</v>
      </c>
    </row>
    <row r="24" spans="1:6" x14ac:dyDescent="0.25">
      <c r="A24" s="101">
        <v>43526</v>
      </c>
      <c r="B24" s="102" t="s">
        <v>110</v>
      </c>
      <c r="C24" s="95">
        <v>87203.6</v>
      </c>
      <c r="D24" s="117"/>
      <c r="E24" s="95"/>
      <c r="F24" s="99">
        <f t="shared" si="0"/>
        <v>87203.6</v>
      </c>
    </row>
    <row r="25" spans="1:6" x14ac:dyDescent="0.25">
      <c r="A25" s="101">
        <v>43528</v>
      </c>
      <c r="B25" s="102" t="s">
        <v>111</v>
      </c>
      <c r="C25" s="95">
        <v>100212.04</v>
      </c>
      <c r="D25" s="117"/>
      <c r="E25" s="95"/>
      <c r="F25" s="99">
        <f t="shared" si="0"/>
        <v>100212.04</v>
      </c>
    </row>
    <row r="26" spans="1:6" x14ac:dyDescent="0.25">
      <c r="A26" s="101">
        <v>43530</v>
      </c>
      <c r="B26" s="102" t="s">
        <v>113</v>
      </c>
      <c r="C26" s="95">
        <v>72174.86</v>
      </c>
      <c r="D26" s="117"/>
      <c r="E26" s="95"/>
      <c r="F26" s="99">
        <f t="shared" si="0"/>
        <v>72174.86</v>
      </c>
    </row>
    <row r="27" spans="1:6" x14ac:dyDescent="0.25">
      <c r="A27" s="101">
        <v>43531</v>
      </c>
      <c r="B27" s="102" t="s">
        <v>114</v>
      </c>
      <c r="C27" s="95">
        <v>119565.52</v>
      </c>
      <c r="D27" s="93"/>
      <c r="E27" s="95"/>
      <c r="F27" s="99">
        <f t="shared" si="0"/>
        <v>119565.52</v>
      </c>
    </row>
    <row r="28" spans="1:6" x14ac:dyDescent="0.25">
      <c r="A28" s="101">
        <v>43532</v>
      </c>
      <c r="B28" s="102" t="s">
        <v>115</v>
      </c>
      <c r="C28" s="95">
        <v>63764.99</v>
      </c>
      <c r="D28" s="93"/>
      <c r="E28" s="95"/>
      <c r="F28" s="99">
        <f t="shared" si="0"/>
        <v>63764.99</v>
      </c>
    </row>
    <row r="29" spans="1:6" x14ac:dyDescent="0.25">
      <c r="A29" s="101"/>
      <c r="B29" s="102"/>
      <c r="C29" s="95"/>
      <c r="D29" s="93"/>
      <c r="E29" s="95"/>
      <c r="F29" s="99">
        <f t="shared" si="0"/>
        <v>0</v>
      </c>
    </row>
    <row r="30" spans="1:6" ht="16.5" thickBot="1" x14ac:dyDescent="0.3">
      <c r="A30" s="103" t="s">
        <v>36</v>
      </c>
      <c r="B30" s="104"/>
      <c r="C30" s="105"/>
      <c r="D30" s="106"/>
      <c r="E30" s="107">
        <v>47494.5</v>
      </c>
      <c r="F30" s="108">
        <f t="shared" si="0"/>
        <v>-47494.5</v>
      </c>
    </row>
    <row r="31" spans="1:6" s="113" customFormat="1" ht="19.5" thickBot="1" x14ac:dyDescent="0.35">
      <c r="A31" s="109"/>
      <c r="B31" s="110"/>
      <c r="C31" s="111">
        <f>SUM(C3:C30)</f>
        <v>1584135.8500000003</v>
      </c>
      <c r="D31" s="111"/>
      <c r="E31" s="112">
        <f>SUM(E3:E30)</f>
        <v>47494.5</v>
      </c>
      <c r="F31" s="112">
        <f>SUM(F3:F30)</f>
        <v>1536641.3500000003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O44"/>
  <sheetViews>
    <sheetView workbookViewId="0">
      <selection activeCell="E7" sqref="E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5.28515625" style="14" customWidth="1"/>
  </cols>
  <sheetData>
    <row r="1" spans="1:15" ht="23.25" x14ac:dyDescent="0.35">
      <c r="A1" s="1"/>
      <c r="B1" s="269" t="s">
        <v>119</v>
      </c>
      <c r="C1" s="269"/>
      <c r="D1" s="269"/>
      <c r="E1" s="269"/>
      <c r="F1" s="269"/>
      <c r="G1" s="269"/>
      <c r="H1" s="269"/>
      <c r="I1" s="269"/>
      <c r="J1" s="269"/>
      <c r="L1" s="3" t="s">
        <v>0</v>
      </c>
      <c r="M1" s="4"/>
    </row>
    <row r="2" spans="1:15" x14ac:dyDescent="0.25">
      <c r="A2" s="1"/>
      <c r="B2" s="5"/>
      <c r="D2" s="7"/>
      <c r="E2" s="8"/>
      <c r="L2" s="9"/>
      <c r="M2" s="4"/>
    </row>
    <row r="3" spans="1:15" ht="19.5" customHeight="1" thickBot="1" x14ac:dyDescent="0.35">
      <c r="A3" s="276" t="s">
        <v>1</v>
      </c>
      <c r="B3" s="277"/>
      <c r="C3" s="10"/>
      <c r="D3" s="270" t="s">
        <v>2</v>
      </c>
      <c r="E3" s="270"/>
      <c r="F3" s="270"/>
      <c r="G3" s="271">
        <v>2000</v>
      </c>
      <c r="H3" s="271"/>
      <c r="I3" s="5"/>
      <c r="L3" s="9"/>
      <c r="M3" s="4"/>
    </row>
    <row r="4" spans="1:15" ht="20.25" thickTop="1" thickBot="1" x14ac:dyDescent="0.35">
      <c r="A4" s="120"/>
      <c r="B4" s="11">
        <v>267081.15999999997</v>
      </c>
      <c r="C4" s="141">
        <v>43532</v>
      </c>
      <c r="D4" s="272" t="s">
        <v>3</v>
      </c>
      <c r="E4" s="273"/>
      <c r="H4" s="274" t="s">
        <v>4</v>
      </c>
      <c r="I4" s="275"/>
      <c r="J4" s="275"/>
      <c r="K4" s="275"/>
      <c r="L4" s="13" t="s">
        <v>5</v>
      </c>
      <c r="N4" s="150"/>
      <c r="O4" s="150"/>
    </row>
    <row r="5" spans="1:15" ht="17.25" thickTop="1" thickBot="1" x14ac:dyDescent="0.3">
      <c r="A5" s="15"/>
      <c r="B5" s="16">
        <v>0</v>
      </c>
      <c r="C5" s="12"/>
      <c r="D5" s="17">
        <v>43533</v>
      </c>
      <c r="E5" s="18">
        <v>66596</v>
      </c>
      <c r="F5" s="19"/>
      <c r="G5" s="20">
        <v>43533</v>
      </c>
      <c r="H5" s="134">
        <v>0</v>
      </c>
      <c r="I5" s="21"/>
      <c r="J5" s="22"/>
      <c r="K5" s="22"/>
      <c r="L5" s="148">
        <f>30000+39117</f>
        <v>69117</v>
      </c>
      <c r="M5" s="24"/>
      <c r="N5" s="149"/>
      <c r="O5" s="150"/>
    </row>
    <row r="6" spans="1:15" ht="16.5" thickBot="1" x14ac:dyDescent="0.3">
      <c r="A6" s="25"/>
      <c r="B6" s="16">
        <v>0</v>
      </c>
      <c r="C6" s="12"/>
      <c r="D6" s="17">
        <v>43534</v>
      </c>
      <c r="E6" s="18">
        <v>69680.94</v>
      </c>
      <c r="F6" s="26"/>
      <c r="G6" s="20">
        <v>43534</v>
      </c>
      <c r="H6" s="27">
        <v>0</v>
      </c>
      <c r="I6" s="28"/>
      <c r="J6" s="2" t="s">
        <v>6</v>
      </c>
      <c r="K6" s="29">
        <v>549</v>
      </c>
      <c r="L6" s="148">
        <v>89275</v>
      </c>
      <c r="M6" s="140"/>
      <c r="N6" s="149"/>
      <c r="O6" s="150"/>
    </row>
    <row r="7" spans="1:15" ht="16.5" thickBot="1" x14ac:dyDescent="0.3">
      <c r="A7" s="25"/>
      <c r="B7" s="16">
        <v>0</v>
      </c>
      <c r="C7" s="12"/>
      <c r="D7" s="17">
        <v>43535</v>
      </c>
      <c r="E7" s="18">
        <v>78888.399999999994</v>
      </c>
      <c r="G7" s="20">
        <v>43535</v>
      </c>
      <c r="H7" s="27">
        <v>90</v>
      </c>
      <c r="I7" s="30">
        <v>43521</v>
      </c>
      <c r="J7" s="31" t="s">
        <v>7</v>
      </c>
      <c r="K7" s="32">
        <v>6705</v>
      </c>
      <c r="L7" s="23">
        <v>78798.5</v>
      </c>
      <c r="M7" s="33"/>
      <c r="N7" s="152"/>
      <c r="O7" s="150"/>
    </row>
    <row r="8" spans="1:15" ht="16.5" thickBot="1" x14ac:dyDescent="0.3">
      <c r="A8" s="25"/>
      <c r="B8" s="16">
        <v>0</v>
      </c>
      <c r="C8" s="34"/>
      <c r="D8" s="17">
        <v>43536</v>
      </c>
      <c r="E8" s="18">
        <v>43139.05</v>
      </c>
      <c r="G8" s="20">
        <v>43536</v>
      </c>
      <c r="H8" s="27">
        <v>0</v>
      </c>
      <c r="I8" s="28"/>
      <c r="J8" s="2" t="s">
        <v>8</v>
      </c>
      <c r="K8" s="35">
        <f>7187.5+7187.5+7187.5+7187.5</f>
        <v>28750</v>
      </c>
      <c r="L8" s="23">
        <f>20000+23139</f>
        <v>43139</v>
      </c>
      <c r="M8" s="33"/>
      <c r="N8" s="151"/>
      <c r="O8" s="150"/>
    </row>
    <row r="9" spans="1:15" ht="16.5" thickBot="1" x14ac:dyDescent="0.3">
      <c r="A9" s="25"/>
      <c r="B9" s="16">
        <v>0</v>
      </c>
      <c r="C9" s="36"/>
      <c r="D9" s="17">
        <v>43537</v>
      </c>
      <c r="E9" s="18">
        <v>53310.13</v>
      </c>
      <c r="G9" s="20">
        <v>43537</v>
      </c>
      <c r="H9" s="27">
        <v>0</v>
      </c>
      <c r="I9" s="126">
        <v>43533</v>
      </c>
      <c r="J9" s="2" t="s">
        <v>120</v>
      </c>
      <c r="K9" s="29">
        <v>9378.65</v>
      </c>
      <c r="L9" s="23">
        <v>53310</v>
      </c>
      <c r="M9" s="33"/>
      <c r="N9" s="150"/>
      <c r="O9" s="150"/>
    </row>
    <row r="10" spans="1:15" ht="16.5" thickBot="1" x14ac:dyDescent="0.3">
      <c r="A10" s="25"/>
      <c r="B10" s="16">
        <v>0</v>
      </c>
      <c r="C10" s="34"/>
      <c r="D10" s="17">
        <v>43538</v>
      </c>
      <c r="E10" s="18">
        <v>39116.339999999997</v>
      </c>
      <c r="G10" s="20">
        <v>43538</v>
      </c>
      <c r="H10" s="27">
        <v>0</v>
      </c>
      <c r="I10" s="126">
        <v>43540</v>
      </c>
      <c r="J10" s="2" t="s">
        <v>121</v>
      </c>
      <c r="K10" s="29">
        <v>9231.41</v>
      </c>
      <c r="L10" s="23">
        <v>39116.5</v>
      </c>
      <c r="M10" s="38"/>
      <c r="N10" s="150"/>
      <c r="O10" s="150"/>
    </row>
    <row r="11" spans="1:15" ht="16.5" thickBot="1" x14ac:dyDescent="0.3">
      <c r="A11" s="25"/>
      <c r="B11" s="16">
        <v>0</v>
      </c>
      <c r="C11" s="34"/>
      <c r="D11" s="17">
        <v>43539</v>
      </c>
      <c r="E11" s="18">
        <v>54248.65</v>
      </c>
      <c r="G11" s="20">
        <v>43539</v>
      </c>
      <c r="H11" s="27">
        <v>0</v>
      </c>
      <c r="I11" s="126">
        <v>43547</v>
      </c>
      <c r="J11" s="2" t="s">
        <v>122</v>
      </c>
      <c r="K11" s="29">
        <v>9499.16</v>
      </c>
      <c r="L11" s="148">
        <v>63085</v>
      </c>
      <c r="M11" s="33"/>
      <c r="N11" s="149"/>
      <c r="O11" s="150"/>
    </row>
    <row r="12" spans="1:15" ht="16.5" thickBot="1" x14ac:dyDescent="0.3">
      <c r="A12" s="25"/>
      <c r="B12" s="16">
        <v>0</v>
      </c>
      <c r="C12" s="34"/>
      <c r="D12" s="17">
        <v>43540</v>
      </c>
      <c r="E12" s="18">
        <v>69342.559999999998</v>
      </c>
      <c r="G12" s="20">
        <v>43540</v>
      </c>
      <c r="H12" s="27">
        <v>0</v>
      </c>
      <c r="I12" s="126">
        <v>43554</v>
      </c>
      <c r="J12" s="2" t="s">
        <v>123</v>
      </c>
      <c r="K12" s="29">
        <v>7300.88</v>
      </c>
      <c r="L12" s="23">
        <v>69342.5</v>
      </c>
      <c r="M12" s="39"/>
      <c r="N12" s="150"/>
      <c r="O12" s="150"/>
    </row>
    <row r="13" spans="1:15" ht="16.5" thickBot="1" x14ac:dyDescent="0.3">
      <c r="A13" s="25"/>
      <c r="B13" s="16">
        <v>0</v>
      </c>
      <c r="C13" s="34"/>
      <c r="D13" s="17">
        <v>43541</v>
      </c>
      <c r="E13" s="18">
        <v>87870.67</v>
      </c>
      <c r="G13" s="20">
        <v>43541</v>
      </c>
      <c r="H13" s="27">
        <v>0</v>
      </c>
      <c r="I13" s="126"/>
      <c r="J13" s="2" t="s">
        <v>148</v>
      </c>
      <c r="K13" s="29">
        <v>0</v>
      </c>
      <c r="L13" s="23">
        <v>87870.5</v>
      </c>
      <c r="M13" s="33"/>
      <c r="N13" s="150"/>
      <c r="O13" s="150"/>
    </row>
    <row r="14" spans="1:15" ht="16.5" thickBot="1" x14ac:dyDescent="0.3">
      <c r="A14" s="25"/>
      <c r="B14" s="16">
        <v>0</v>
      </c>
      <c r="C14" s="36"/>
      <c r="D14" s="17">
        <v>43542</v>
      </c>
      <c r="E14" s="18">
        <v>105903.82</v>
      </c>
      <c r="G14" s="20">
        <v>43542</v>
      </c>
      <c r="H14" s="27">
        <v>110</v>
      </c>
      <c r="I14" s="126"/>
      <c r="J14" s="41" t="s">
        <v>9</v>
      </c>
      <c r="K14" s="29">
        <v>0</v>
      </c>
      <c r="L14" s="23">
        <f>74894+30000</f>
        <v>104894</v>
      </c>
      <c r="M14" s="33"/>
      <c r="N14" s="150"/>
      <c r="O14" s="150"/>
    </row>
    <row r="15" spans="1:15" ht="16.5" thickBot="1" x14ac:dyDescent="0.3">
      <c r="A15" s="25"/>
      <c r="B15" s="16">
        <v>0</v>
      </c>
      <c r="C15" s="36"/>
      <c r="D15" s="17">
        <v>43543</v>
      </c>
      <c r="E15" s="18">
        <v>36535.949999999997</v>
      </c>
      <c r="G15" s="20">
        <v>43543</v>
      </c>
      <c r="H15" s="27">
        <v>36</v>
      </c>
      <c r="I15" s="28"/>
      <c r="J15" s="42"/>
      <c r="K15" s="29">
        <v>0</v>
      </c>
      <c r="L15" s="142">
        <v>36500</v>
      </c>
      <c r="M15" s="33"/>
      <c r="N15" s="150"/>
      <c r="O15" s="150"/>
    </row>
    <row r="16" spans="1:15" ht="16.5" thickBot="1" x14ac:dyDescent="0.3">
      <c r="A16" s="25"/>
      <c r="B16" s="16">
        <v>0</v>
      </c>
      <c r="C16" s="36"/>
      <c r="D16" s="17">
        <v>43544</v>
      </c>
      <c r="E16" s="18">
        <v>33284</v>
      </c>
      <c r="G16" s="20">
        <v>43544</v>
      </c>
      <c r="H16" s="27">
        <v>0</v>
      </c>
      <c r="I16" s="28"/>
      <c r="J16" s="43"/>
      <c r="K16" s="8">
        <v>0</v>
      </c>
      <c r="L16" s="23">
        <v>33284</v>
      </c>
      <c r="M16" s="33"/>
      <c r="N16" s="150"/>
      <c r="O16" s="149"/>
    </row>
    <row r="17" spans="1:15" ht="16.5" thickBot="1" x14ac:dyDescent="0.3">
      <c r="A17" s="25"/>
      <c r="B17" s="16">
        <v>0</v>
      </c>
      <c r="C17" s="36"/>
      <c r="D17" s="17">
        <v>43545</v>
      </c>
      <c r="E17" s="18">
        <v>55964.25</v>
      </c>
      <c r="G17" s="20">
        <v>43545</v>
      </c>
      <c r="H17" s="27">
        <v>0</v>
      </c>
      <c r="I17" s="44"/>
      <c r="K17" s="8">
        <v>0</v>
      </c>
      <c r="L17" s="23">
        <v>55964</v>
      </c>
      <c r="M17" s="33"/>
      <c r="N17" s="150"/>
      <c r="O17" s="150"/>
    </row>
    <row r="18" spans="1:15" ht="16.5" thickBot="1" x14ac:dyDescent="0.3">
      <c r="A18" s="25"/>
      <c r="B18" s="16">
        <v>0</v>
      </c>
      <c r="C18" s="34"/>
      <c r="D18" s="17">
        <v>43546</v>
      </c>
      <c r="E18" s="18">
        <v>58794.3</v>
      </c>
      <c r="G18" s="20">
        <v>43546</v>
      </c>
      <c r="H18" s="27">
        <v>0</v>
      </c>
      <c r="I18" s="44"/>
      <c r="K18" s="8">
        <v>0</v>
      </c>
      <c r="L18" s="23">
        <f>33794.5+25000</f>
        <v>58794.5</v>
      </c>
      <c r="M18" s="33"/>
    </row>
    <row r="19" spans="1:15" ht="16.5" thickBot="1" x14ac:dyDescent="0.3">
      <c r="A19" s="25"/>
      <c r="B19" s="16">
        <v>0</v>
      </c>
      <c r="C19" s="36"/>
      <c r="D19" s="17">
        <v>43547</v>
      </c>
      <c r="E19" s="18">
        <v>77263.75</v>
      </c>
      <c r="G19" s="20">
        <v>43547</v>
      </c>
      <c r="H19" s="27">
        <v>0</v>
      </c>
      <c r="I19" s="28"/>
      <c r="K19" s="8">
        <v>0</v>
      </c>
      <c r="L19" s="23">
        <v>77264</v>
      </c>
      <c r="M19" s="45"/>
    </row>
    <row r="20" spans="1:15" ht="16.5" thickBot="1" x14ac:dyDescent="0.3">
      <c r="A20" s="25"/>
      <c r="B20" s="16">
        <v>0</v>
      </c>
      <c r="C20" s="46"/>
      <c r="D20" s="17">
        <v>43548</v>
      </c>
      <c r="E20" s="18">
        <v>74450.990000000005</v>
      </c>
      <c r="G20" s="20">
        <v>43548</v>
      </c>
      <c r="H20" s="27">
        <v>0</v>
      </c>
      <c r="I20" s="47"/>
      <c r="J20" s="48"/>
      <c r="K20" s="28" t="s">
        <v>10</v>
      </c>
      <c r="L20" s="23">
        <v>74451</v>
      </c>
      <c r="M20" s="45"/>
    </row>
    <row r="21" spans="1:15" ht="16.5" thickBot="1" x14ac:dyDescent="0.3">
      <c r="A21" s="25"/>
      <c r="B21" s="16">
        <v>0</v>
      </c>
      <c r="C21" s="46"/>
      <c r="D21" s="17">
        <v>43549</v>
      </c>
      <c r="E21" s="18">
        <v>70384.789999999994</v>
      </c>
      <c r="G21" s="20">
        <v>43549</v>
      </c>
      <c r="H21" s="27">
        <v>90</v>
      </c>
      <c r="I21" s="33"/>
      <c r="J21" s="49"/>
      <c r="K21" s="28"/>
      <c r="L21" s="142">
        <f>50000+20294.5</f>
        <v>70294.5</v>
      </c>
      <c r="M21" s="33"/>
    </row>
    <row r="22" spans="1:15" ht="16.5" thickBot="1" x14ac:dyDescent="0.3">
      <c r="A22" s="25"/>
      <c r="B22" s="16">
        <v>0</v>
      </c>
      <c r="C22" s="36"/>
      <c r="D22" s="17">
        <v>43550</v>
      </c>
      <c r="E22" s="18">
        <v>33186.400000000001</v>
      </c>
      <c r="G22" s="20">
        <v>43550</v>
      </c>
      <c r="H22" s="27">
        <v>0</v>
      </c>
      <c r="I22" s="47" t="s">
        <v>11</v>
      </c>
      <c r="J22" s="50"/>
      <c r="K22" s="28">
        <v>0</v>
      </c>
      <c r="L22" s="23">
        <v>33186.5</v>
      </c>
      <c r="M22" s="45"/>
    </row>
    <row r="23" spans="1:15" ht="16.5" thickBot="1" x14ac:dyDescent="0.3">
      <c r="A23" s="25"/>
      <c r="B23" s="16">
        <v>0</v>
      </c>
      <c r="C23" s="36"/>
      <c r="D23" s="17">
        <v>43551</v>
      </c>
      <c r="E23" s="18">
        <v>48412.85</v>
      </c>
      <c r="G23" s="20">
        <v>43551</v>
      </c>
      <c r="H23" s="27">
        <v>0</v>
      </c>
      <c r="I23" s="28"/>
      <c r="J23" s="49"/>
      <c r="K23" s="28">
        <v>0</v>
      </c>
      <c r="L23" s="23">
        <v>48413</v>
      </c>
      <c r="M23" s="33"/>
    </row>
    <row r="24" spans="1:15" ht="16.5" thickBot="1" x14ac:dyDescent="0.3">
      <c r="A24" s="25"/>
      <c r="B24" s="16">
        <v>0</v>
      </c>
      <c r="C24" s="36"/>
      <c r="D24" s="17">
        <v>43552</v>
      </c>
      <c r="E24" s="18">
        <v>35969.19</v>
      </c>
      <c r="G24" s="20">
        <v>43552</v>
      </c>
      <c r="H24" s="27">
        <v>0</v>
      </c>
      <c r="I24" s="28"/>
      <c r="J24" s="56"/>
      <c r="K24" s="28">
        <v>0</v>
      </c>
      <c r="L24" s="23">
        <v>35969</v>
      </c>
      <c r="M24" s="33"/>
    </row>
    <row r="25" spans="1:15" ht="16.5" thickBot="1" x14ac:dyDescent="0.3">
      <c r="A25" s="25"/>
      <c r="B25" s="16">
        <v>0</v>
      </c>
      <c r="C25" s="46"/>
      <c r="D25" s="17">
        <v>43553</v>
      </c>
      <c r="E25" s="18">
        <v>57891.25</v>
      </c>
      <c r="G25" s="20">
        <v>43553</v>
      </c>
      <c r="H25" s="27">
        <v>0</v>
      </c>
      <c r="I25" s="28"/>
      <c r="J25" s="52"/>
      <c r="K25" s="28"/>
      <c r="L25" s="23">
        <v>57891</v>
      </c>
      <c r="M25" s="33"/>
    </row>
    <row r="26" spans="1:15" ht="16.5" thickBot="1" x14ac:dyDescent="0.3">
      <c r="A26" s="25"/>
      <c r="B26" s="16">
        <v>0</v>
      </c>
      <c r="C26" s="36"/>
      <c r="D26" s="17">
        <v>43554</v>
      </c>
      <c r="E26" s="18">
        <v>67726.78</v>
      </c>
      <c r="G26" s="20">
        <v>43554</v>
      </c>
      <c r="H26" s="27">
        <v>0</v>
      </c>
      <c r="I26" s="40">
        <v>43542</v>
      </c>
      <c r="J26" s="53" t="s">
        <v>12</v>
      </c>
      <c r="K26" s="28">
        <v>900</v>
      </c>
      <c r="L26" s="23">
        <v>67727</v>
      </c>
      <c r="M26" s="33"/>
    </row>
    <row r="27" spans="1:15" ht="16.5" thickBot="1" x14ac:dyDescent="0.3">
      <c r="A27" s="25"/>
      <c r="B27" s="16">
        <v>0</v>
      </c>
      <c r="C27" s="36"/>
      <c r="D27" s="17">
        <v>43555</v>
      </c>
      <c r="E27" s="18">
        <v>65393.95</v>
      </c>
      <c r="G27" s="20">
        <v>43555</v>
      </c>
      <c r="H27" s="27">
        <v>96</v>
      </c>
      <c r="I27" s="28"/>
      <c r="J27" s="54"/>
      <c r="K27" s="28">
        <v>0</v>
      </c>
      <c r="L27" s="23">
        <v>65298</v>
      </c>
      <c r="M27" s="33"/>
    </row>
    <row r="28" spans="1:15" ht="16.5" thickBot="1" x14ac:dyDescent="0.3">
      <c r="A28" s="25"/>
      <c r="B28" s="16">
        <v>0</v>
      </c>
      <c r="C28" s="36"/>
      <c r="D28" s="17">
        <v>43556</v>
      </c>
      <c r="E28" s="18">
        <v>45146.6</v>
      </c>
      <c r="G28" s="20">
        <v>43556</v>
      </c>
      <c r="H28" s="27">
        <v>0</v>
      </c>
      <c r="I28" s="28"/>
      <c r="J28" s="55" t="s">
        <v>13</v>
      </c>
      <c r="K28" s="28">
        <v>0</v>
      </c>
      <c r="L28" s="23">
        <v>45146.5</v>
      </c>
      <c r="M28" s="33"/>
    </row>
    <row r="29" spans="1:15" ht="16.5" thickBot="1" x14ac:dyDescent="0.3">
      <c r="A29" s="1"/>
      <c r="B29" s="16">
        <v>0</v>
      </c>
      <c r="C29" s="36"/>
      <c r="D29" s="17">
        <v>43557</v>
      </c>
      <c r="E29" s="70">
        <v>35090.629999999997</v>
      </c>
      <c r="G29" s="20">
        <v>43557</v>
      </c>
      <c r="H29" s="27">
        <v>0</v>
      </c>
      <c r="I29" s="40">
        <v>43558</v>
      </c>
      <c r="J29" s="55" t="s">
        <v>116</v>
      </c>
      <c r="K29" s="28">
        <v>870</v>
      </c>
      <c r="L29" s="23">
        <v>35090.5</v>
      </c>
      <c r="M29" s="33"/>
    </row>
    <row r="30" spans="1:15" ht="16.5" thickBot="1" x14ac:dyDescent="0.3">
      <c r="A30" s="1"/>
      <c r="B30" s="16">
        <v>0</v>
      </c>
      <c r="C30" s="36"/>
      <c r="D30" s="17">
        <v>43558</v>
      </c>
      <c r="E30" s="70">
        <v>43158.45</v>
      </c>
      <c r="G30" s="20">
        <v>43558</v>
      </c>
      <c r="H30" s="27">
        <v>0</v>
      </c>
      <c r="I30" s="28"/>
      <c r="J30" s="55"/>
      <c r="K30" s="28"/>
      <c r="L30" s="23">
        <v>42288.5</v>
      </c>
      <c r="M30" s="45"/>
    </row>
    <row r="31" spans="1:15" ht="19.5" thickBot="1" x14ac:dyDescent="0.35">
      <c r="A31" s="58"/>
      <c r="B31" s="16">
        <v>0</v>
      </c>
      <c r="C31" s="12"/>
      <c r="D31" s="130"/>
      <c r="E31" s="132">
        <v>0</v>
      </c>
      <c r="F31" s="131"/>
      <c r="G31" s="129"/>
      <c r="H31" s="133"/>
      <c r="I31" s="5"/>
      <c r="J31" s="56"/>
      <c r="K31" s="29"/>
      <c r="L31" s="137">
        <f>SUM(L5:L30)</f>
        <v>1535510</v>
      </c>
      <c r="M31" s="4"/>
    </row>
    <row r="32" spans="1:15" ht="15.75" thickBot="1" x14ac:dyDescent="0.3">
      <c r="A32" s="61"/>
      <c r="B32" s="62">
        <f>SUM(B5:B31)</f>
        <v>0</v>
      </c>
      <c r="D32" s="63" t="s">
        <v>15</v>
      </c>
      <c r="E32" s="64">
        <f>SUM(E5:E31)</f>
        <v>1506750.69</v>
      </c>
      <c r="G32" s="7" t="s">
        <v>15</v>
      </c>
      <c r="H32" s="132">
        <f>SUM(H5:H31)</f>
        <v>422</v>
      </c>
      <c r="I32" s="28"/>
      <c r="J32" s="65" t="s">
        <v>15</v>
      </c>
      <c r="K32" s="29">
        <f>SUM(K5:K31)</f>
        <v>73184.100000000006</v>
      </c>
      <c r="L32" s="9"/>
      <c r="M32" s="4"/>
    </row>
    <row r="33" spans="1:13" x14ac:dyDescent="0.25">
      <c r="A33" s="1"/>
      <c r="B33" s="5"/>
      <c r="E33" s="5"/>
      <c r="I33" s="5"/>
      <c r="L33" s="9"/>
      <c r="M33" s="4"/>
    </row>
    <row r="34" spans="1:13" ht="16.5" thickBot="1" x14ac:dyDescent="0.3">
      <c r="A34" s="1"/>
      <c r="B34" s="5">
        <v>0</v>
      </c>
      <c r="E34" s="5"/>
      <c r="G34" s="292" t="s">
        <v>16</v>
      </c>
      <c r="H34" s="293"/>
      <c r="I34" s="66"/>
      <c r="J34" s="294">
        <f>H32+K32</f>
        <v>73606.100000000006</v>
      </c>
      <c r="K34" s="295"/>
      <c r="L34" s="67"/>
      <c r="M34" s="68"/>
    </row>
    <row r="35" spans="1:13" ht="15.75" x14ac:dyDescent="0.25">
      <c r="A35" s="1"/>
      <c r="B35" s="69"/>
      <c r="C35" s="278" t="s">
        <v>17</v>
      </c>
      <c r="D35" s="278"/>
      <c r="E35" s="70">
        <f>E32-J34</f>
        <v>1433144.5899999999</v>
      </c>
      <c r="F35" s="71"/>
      <c r="G35" s="71"/>
      <c r="H35" s="72"/>
      <c r="I35" s="72"/>
      <c r="J35" s="73"/>
      <c r="K35" s="74"/>
      <c r="L35" s="67"/>
      <c r="M35" s="68"/>
    </row>
    <row r="36" spans="1:13" x14ac:dyDescent="0.25">
      <c r="A36" s="1"/>
      <c r="B36" s="75"/>
      <c r="D36" s="2" t="s">
        <v>18</v>
      </c>
      <c r="E36" s="28">
        <v>27507.18</v>
      </c>
      <c r="H36" s="279" t="s">
        <v>19</v>
      </c>
      <c r="I36" s="279"/>
      <c r="J36" s="279">
        <f>E40</f>
        <v>277192.22999999986</v>
      </c>
      <c r="K36" s="280"/>
      <c r="L36" s="67"/>
      <c r="M36" s="68"/>
    </row>
    <row r="37" spans="1:13" ht="15.75" thickBot="1" x14ac:dyDescent="0.3">
      <c r="A37" s="1"/>
      <c r="B37" s="75" t="s">
        <v>11</v>
      </c>
      <c r="C37" s="6" t="s">
        <v>20</v>
      </c>
      <c r="E37" s="76">
        <v>-1380242.42</v>
      </c>
      <c r="H37" s="281" t="s">
        <v>1</v>
      </c>
      <c r="I37" s="281"/>
      <c r="J37" s="282">
        <f>-B4</f>
        <v>-267081.15999999997</v>
      </c>
      <c r="K37" s="283"/>
      <c r="L37" s="67"/>
      <c r="M37" s="68"/>
    </row>
    <row r="38" spans="1:13" ht="20.25" thickTop="1" thickBot="1" x14ac:dyDescent="0.3">
      <c r="A38" s="1"/>
      <c r="B38" s="75"/>
      <c r="D38" s="2" t="s">
        <v>21</v>
      </c>
      <c r="E38" s="28">
        <f>SUM(E35:E37)</f>
        <v>80409.34999999986</v>
      </c>
      <c r="H38" s="284" t="s">
        <v>88</v>
      </c>
      <c r="I38" s="285"/>
      <c r="J38" s="286">
        <f>SUM(J35:K37)</f>
        <v>10111.069999999891</v>
      </c>
      <c r="K38" s="287"/>
      <c r="L38" s="67"/>
      <c r="M38" s="68"/>
    </row>
    <row r="39" spans="1:13" ht="16.5" thickBot="1" x14ac:dyDescent="0.3">
      <c r="A39" s="1"/>
      <c r="B39" s="75"/>
      <c r="C39" s="10" t="s">
        <v>124</v>
      </c>
      <c r="D39" s="77"/>
      <c r="E39" s="78">
        <v>196782.88</v>
      </c>
      <c r="J39" s="288"/>
      <c r="K39" s="289"/>
      <c r="L39" s="67"/>
      <c r="M39" s="68"/>
    </row>
    <row r="40" spans="1:13" ht="19.5" thickBot="1" x14ac:dyDescent="0.3">
      <c r="A40" s="1"/>
      <c r="B40" s="79"/>
      <c r="C40" s="80"/>
      <c r="D40" s="80" t="s">
        <v>23</v>
      </c>
      <c r="E40" s="81">
        <f>E39+E38</f>
        <v>277192.22999999986</v>
      </c>
      <c r="F40" s="82"/>
      <c r="G40" s="82"/>
      <c r="H40" s="83"/>
      <c r="I40" s="84"/>
      <c r="J40" s="290"/>
      <c r="K40" s="291"/>
      <c r="L40" s="67"/>
      <c r="M40" s="68"/>
    </row>
    <row r="44" spans="1:13" x14ac:dyDescent="0.25">
      <c r="D44" s="2" t="s">
        <v>11</v>
      </c>
    </row>
  </sheetData>
  <mergeCells count="17">
    <mergeCell ref="H38:I38"/>
    <mergeCell ref="J38:K38"/>
    <mergeCell ref="J39:K39"/>
    <mergeCell ref="J40:K40"/>
    <mergeCell ref="G34:H34"/>
    <mergeCell ref="J34:K34"/>
    <mergeCell ref="C35:D35"/>
    <mergeCell ref="H36:I36"/>
    <mergeCell ref="J36:K36"/>
    <mergeCell ref="H37:I37"/>
    <mergeCell ref="J37:K37"/>
    <mergeCell ref="B1:J1"/>
    <mergeCell ref="A3:B3"/>
    <mergeCell ref="D3:F3"/>
    <mergeCell ref="G3:H3"/>
    <mergeCell ref="D4:E4"/>
    <mergeCell ref="H4:K4"/>
  </mergeCells>
  <pageMargins left="0.51181102362204722" right="0.11811023622047245" top="0.15748031496062992" bottom="0" header="0.31496062992125984" footer="0.31496062992125984"/>
  <pageSetup scale="8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J31"/>
  <sheetViews>
    <sheetView topLeftCell="A10" workbookViewId="0">
      <selection activeCell="D27" sqref="D26:D2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96" t="s">
        <v>29</v>
      </c>
      <c r="D1" s="297"/>
      <c r="E1" s="298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99" t="s">
        <v>35</v>
      </c>
      <c r="I2" s="300"/>
      <c r="J2" s="301"/>
    </row>
    <row r="3" spans="1:10" x14ac:dyDescent="0.25">
      <c r="A3" s="90">
        <v>43533</v>
      </c>
      <c r="B3" s="91" t="s">
        <v>125</v>
      </c>
      <c r="C3" s="92">
        <v>76996.5</v>
      </c>
      <c r="D3" s="117"/>
      <c r="E3" s="92"/>
      <c r="F3" s="94">
        <f t="shared" ref="F3:F30" si="0">C3-E3</f>
        <v>76996.5</v>
      </c>
      <c r="H3" s="302"/>
      <c r="I3" s="303"/>
      <c r="J3" s="304"/>
    </row>
    <row r="4" spans="1:10" x14ac:dyDescent="0.25">
      <c r="A4" s="90">
        <v>43534</v>
      </c>
      <c r="B4" s="91" t="s">
        <v>126</v>
      </c>
      <c r="C4" s="92">
        <v>4846.3999999999996</v>
      </c>
      <c r="D4" s="117"/>
      <c r="E4" s="95"/>
      <c r="F4" s="96">
        <f t="shared" si="0"/>
        <v>4846.3999999999996</v>
      </c>
      <c r="H4" s="302"/>
      <c r="I4" s="303"/>
      <c r="J4" s="304"/>
    </row>
    <row r="5" spans="1:10" ht="15.75" thickBot="1" x14ac:dyDescent="0.3">
      <c r="A5" s="97">
        <v>43535</v>
      </c>
      <c r="B5" s="98" t="s">
        <v>127</v>
      </c>
      <c r="C5" s="95">
        <v>97388.68</v>
      </c>
      <c r="D5" s="117"/>
      <c r="E5" s="95"/>
      <c r="F5" s="96">
        <f t="shared" si="0"/>
        <v>97388.68</v>
      </c>
      <c r="H5" s="305"/>
      <c r="I5" s="306"/>
      <c r="J5" s="307"/>
    </row>
    <row r="6" spans="1:10" x14ac:dyDescent="0.25">
      <c r="A6" s="97">
        <v>43536</v>
      </c>
      <c r="B6" s="143" t="s">
        <v>128</v>
      </c>
      <c r="C6" s="95">
        <v>77231</v>
      </c>
      <c r="D6" s="117"/>
      <c r="E6" s="95"/>
      <c r="F6" s="99">
        <f t="shared" si="0"/>
        <v>77231</v>
      </c>
    </row>
    <row r="7" spans="1:10" x14ac:dyDescent="0.25">
      <c r="A7" s="97">
        <v>43536</v>
      </c>
      <c r="B7" s="143" t="s">
        <v>129</v>
      </c>
      <c r="C7" s="95">
        <v>31447.3</v>
      </c>
      <c r="D7" s="117"/>
      <c r="E7" s="95"/>
      <c r="F7" s="99">
        <f t="shared" si="0"/>
        <v>31447.3</v>
      </c>
    </row>
    <row r="8" spans="1:10" x14ac:dyDescent="0.25">
      <c r="A8" s="97">
        <v>43538</v>
      </c>
      <c r="B8" s="143" t="s">
        <v>130</v>
      </c>
      <c r="C8" s="95">
        <v>95045.8</v>
      </c>
      <c r="D8" s="117"/>
      <c r="E8" s="95"/>
      <c r="F8" s="99">
        <f t="shared" si="0"/>
        <v>95045.8</v>
      </c>
    </row>
    <row r="9" spans="1:10" x14ac:dyDescent="0.25">
      <c r="A9" s="97">
        <v>43539</v>
      </c>
      <c r="B9" s="143" t="s">
        <v>131</v>
      </c>
      <c r="C9" s="95">
        <v>32808.5</v>
      </c>
      <c r="D9" s="117"/>
      <c r="E9" s="95"/>
      <c r="F9" s="99">
        <f t="shared" si="0"/>
        <v>32808.5</v>
      </c>
    </row>
    <row r="10" spans="1:10" x14ac:dyDescent="0.25">
      <c r="A10" s="97">
        <v>43540</v>
      </c>
      <c r="B10" s="143" t="s">
        <v>132</v>
      </c>
      <c r="C10" s="95">
        <v>139630.44</v>
      </c>
      <c r="D10" s="117"/>
      <c r="E10" s="95"/>
      <c r="F10" s="99">
        <f t="shared" si="0"/>
        <v>139630.44</v>
      </c>
    </row>
    <row r="11" spans="1:10" x14ac:dyDescent="0.25">
      <c r="A11" s="97">
        <v>43541</v>
      </c>
      <c r="B11" s="144" t="s">
        <v>133</v>
      </c>
      <c r="C11" s="95">
        <v>23079.3</v>
      </c>
      <c r="D11" s="117"/>
      <c r="E11" s="95"/>
      <c r="F11" s="99">
        <f t="shared" si="0"/>
        <v>23079.3</v>
      </c>
    </row>
    <row r="12" spans="1:10" x14ac:dyDescent="0.25">
      <c r="A12" s="97">
        <v>43542</v>
      </c>
      <c r="B12" s="143" t="s">
        <v>134</v>
      </c>
      <c r="C12" s="95">
        <v>10664</v>
      </c>
      <c r="D12" s="117"/>
      <c r="E12" s="95"/>
      <c r="F12" s="99">
        <f t="shared" si="0"/>
        <v>10664</v>
      </c>
    </row>
    <row r="13" spans="1:10" x14ac:dyDescent="0.25">
      <c r="A13" s="101">
        <v>43543</v>
      </c>
      <c r="B13" s="145" t="s">
        <v>135</v>
      </c>
      <c r="C13" s="95">
        <v>58655.6</v>
      </c>
      <c r="D13" s="117"/>
      <c r="E13" s="95"/>
      <c r="F13" s="99">
        <f t="shared" si="0"/>
        <v>58655.6</v>
      </c>
    </row>
    <row r="14" spans="1:10" x14ac:dyDescent="0.25">
      <c r="A14" s="101">
        <v>43545</v>
      </c>
      <c r="B14" s="145" t="s">
        <v>136</v>
      </c>
      <c r="C14" s="95">
        <v>10674.8</v>
      </c>
      <c r="D14" s="117"/>
      <c r="E14" s="95"/>
      <c r="F14" s="99">
        <f t="shared" si="0"/>
        <v>10674.8</v>
      </c>
    </row>
    <row r="15" spans="1:10" x14ac:dyDescent="0.25">
      <c r="A15" s="101">
        <v>43545</v>
      </c>
      <c r="B15" s="145" t="s">
        <v>137</v>
      </c>
      <c r="C15" s="95">
        <v>89407</v>
      </c>
      <c r="D15" s="117"/>
      <c r="E15" s="95"/>
      <c r="F15" s="99">
        <f t="shared" si="0"/>
        <v>89407</v>
      </c>
    </row>
    <row r="16" spans="1:10" x14ac:dyDescent="0.25">
      <c r="A16" s="101">
        <v>43546</v>
      </c>
      <c r="B16" s="145" t="s">
        <v>138</v>
      </c>
      <c r="C16" s="95">
        <v>102479.64</v>
      </c>
      <c r="D16" s="117"/>
      <c r="E16" s="95"/>
      <c r="F16" s="99">
        <f t="shared" si="0"/>
        <v>102479.64</v>
      </c>
    </row>
    <row r="17" spans="1:6" x14ac:dyDescent="0.25">
      <c r="A17" s="101">
        <v>43547</v>
      </c>
      <c r="B17" s="145" t="s">
        <v>139</v>
      </c>
      <c r="C17" s="95">
        <v>102253.12</v>
      </c>
      <c r="D17" s="117"/>
      <c r="E17" s="95"/>
      <c r="F17" s="99">
        <f t="shared" si="0"/>
        <v>102253.12</v>
      </c>
    </row>
    <row r="18" spans="1:6" x14ac:dyDescent="0.25">
      <c r="A18" s="101">
        <v>43550</v>
      </c>
      <c r="B18" s="145" t="s">
        <v>140</v>
      </c>
      <c r="C18" s="95">
        <v>55455.4</v>
      </c>
      <c r="D18" s="117"/>
      <c r="E18" s="95"/>
      <c r="F18" s="99">
        <f t="shared" si="0"/>
        <v>55455.4</v>
      </c>
    </row>
    <row r="19" spans="1:6" x14ac:dyDescent="0.25">
      <c r="A19" s="101">
        <v>43550</v>
      </c>
      <c r="B19" s="102" t="s">
        <v>141</v>
      </c>
      <c r="C19" s="95">
        <v>61207.8</v>
      </c>
      <c r="D19" s="117"/>
      <c r="E19" s="95"/>
      <c r="F19" s="99">
        <f t="shared" si="0"/>
        <v>61207.8</v>
      </c>
    </row>
    <row r="20" spans="1:6" x14ac:dyDescent="0.25">
      <c r="A20" s="101">
        <v>43553</v>
      </c>
      <c r="B20" s="102" t="s">
        <v>142</v>
      </c>
      <c r="C20" s="95">
        <v>45693.78</v>
      </c>
      <c r="D20" s="117"/>
      <c r="E20" s="95"/>
      <c r="F20" s="99">
        <f t="shared" si="0"/>
        <v>45693.78</v>
      </c>
    </row>
    <row r="21" spans="1:6" x14ac:dyDescent="0.25">
      <c r="A21" s="101">
        <v>43554</v>
      </c>
      <c r="B21" s="102" t="s">
        <v>143</v>
      </c>
      <c r="C21" s="95">
        <v>93941.94</v>
      </c>
      <c r="D21" s="117"/>
      <c r="E21" s="95"/>
      <c r="F21" s="99">
        <f t="shared" si="0"/>
        <v>93941.94</v>
      </c>
    </row>
    <row r="22" spans="1:6" x14ac:dyDescent="0.25">
      <c r="A22" s="101">
        <v>43550</v>
      </c>
      <c r="B22" s="102" t="s">
        <v>144</v>
      </c>
      <c r="C22" s="95">
        <v>44156.6</v>
      </c>
      <c r="D22" s="117"/>
      <c r="E22" s="95"/>
      <c r="F22" s="99">
        <f t="shared" si="0"/>
        <v>44156.6</v>
      </c>
    </row>
    <row r="23" spans="1:6" x14ac:dyDescent="0.25">
      <c r="A23" s="101">
        <v>43550</v>
      </c>
      <c r="B23" s="102" t="s">
        <v>145</v>
      </c>
      <c r="C23" s="95">
        <v>51031.6</v>
      </c>
      <c r="D23" s="117"/>
      <c r="E23" s="95"/>
      <c r="F23" s="99">
        <f t="shared" si="0"/>
        <v>51031.6</v>
      </c>
    </row>
    <row r="24" spans="1:6" x14ac:dyDescent="0.25">
      <c r="A24" s="101">
        <v>43557</v>
      </c>
      <c r="B24" s="102" t="s">
        <v>146</v>
      </c>
      <c r="C24" s="95">
        <v>96651.22</v>
      </c>
      <c r="D24" s="117"/>
      <c r="E24" s="95"/>
      <c r="F24" s="99">
        <f t="shared" si="0"/>
        <v>96651.22</v>
      </c>
    </row>
    <row r="25" spans="1:6" x14ac:dyDescent="0.25">
      <c r="A25" s="101">
        <v>43558</v>
      </c>
      <c r="B25" s="102" t="s">
        <v>147</v>
      </c>
      <c r="C25" s="95">
        <v>1160</v>
      </c>
      <c r="D25" s="117"/>
      <c r="E25" s="95"/>
      <c r="F25" s="99">
        <f t="shared" si="0"/>
        <v>1160</v>
      </c>
    </row>
    <row r="26" spans="1:6" x14ac:dyDescent="0.25">
      <c r="A26" s="101"/>
      <c r="B26" s="102"/>
      <c r="C26" s="95"/>
      <c r="D26" s="117"/>
      <c r="E26" s="95"/>
      <c r="F26" s="99">
        <f t="shared" si="0"/>
        <v>0</v>
      </c>
    </row>
    <row r="27" spans="1:6" x14ac:dyDescent="0.25">
      <c r="A27" s="101"/>
      <c r="B27" s="102"/>
      <c r="C27" s="95"/>
      <c r="D27" s="93"/>
      <c r="E27" s="95"/>
      <c r="F27" s="99">
        <f t="shared" si="0"/>
        <v>0</v>
      </c>
    </row>
    <row r="28" spans="1:6" x14ac:dyDescent="0.25">
      <c r="A28" s="101"/>
      <c r="B28" s="102"/>
      <c r="C28" s="95"/>
      <c r="D28" s="93"/>
      <c r="E28" s="95"/>
      <c r="F28" s="99">
        <f t="shared" si="0"/>
        <v>0</v>
      </c>
    </row>
    <row r="29" spans="1:6" x14ac:dyDescent="0.25">
      <c r="A29" s="101"/>
      <c r="B29" s="102"/>
      <c r="C29" s="95"/>
      <c r="D29" s="93"/>
      <c r="E29" s="95"/>
      <c r="F29" s="99">
        <f t="shared" si="0"/>
        <v>0</v>
      </c>
    </row>
    <row r="30" spans="1:6" ht="16.5" thickBot="1" x14ac:dyDescent="0.3">
      <c r="A30" s="103" t="s">
        <v>36</v>
      </c>
      <c r="B30" s="104"/>
      <c r="C30" s="105"/>
      <c r="D30" s="106"/>
      <c r="E30" s="107">
        <v>21664</v>
      </c>
      <c r="F30" s="108">
        <f t="shared" si="0"/>
        <v>-21664</v>
      </c>
    </row>
    <row r="31" spans="1:6" s="113" customFormat="1" ht="19.5" thickBot="1" x14ac:dyDescent="0.35">
      <c r="A31" s="109"/>
      <c r="B31" s="110"/>
      <c r="C31" s="111">
        <f>SUM(C3:C30)</f>
        <v>1401906.4200000002</v>
      </c>
      <c r="D31" s="111"/>
      <c r="E31" s="112">
        <f>SUM(E3:E30)</f>
        <v>21664</v>
      </c>
      <c r="F31" s="112">
        <f>SUM(F3:F30)</f>
        <v>1380242.4200000002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O53"/>
  <sheetViews>
    <sheetView topLeftCell="A31" workbookViewId="0">
      <selection activeCell="G56" sqref="G56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5.28515625" style="169" customWidth="1"/>
  </cols>
  <sheetData>
    <row r="1" spans="1:15" ht="23.25" x14ac:dyDescent="0.35">
      <c r="A1" s="1"/>
      <c r="B1" s="269" t="s">
        <v>153</v>
      </c>
      <c r="C1" s="269"/>
      <c r="D1" s="269"/>
      <c r="E1" s="269"/>
      <c r="F1" s="269"/>
      <c r="G1" s="269"/>
      <c r="H1" s="269"/>
      <c r="I1" s="269"/>
      <c r="J1" s="269"/>
      <c r="L1" s="3" t="s">
        <v>0</v>
      </c>
      <c r="M1" s="168"/>
    </row>
    <row r="2" spans="1:15" x14ac:dyDescent="0.25">
      <c r="A2" s="1"/>
      <c r="B2" s="5"/>
      <c r="D2" s="146"/>
      <c r="E2" s="8"/>
      <c r="L2" s="9"/>
      <c r="M2" s="168"/>
    </row>
    <row r="3" spans="1:15" ht="19.5" customHeight="1" thickBot="1" x14ac:dyDescent="0.35">
      <c r="A3" s="276" t="s">
        <v>1</v>
      </c>
      <c r="B3" s="277"/>
      <c r="C3" s="10"/>
      <c r="D3" s="270" t="s">
        <v>2</v>
      </c>
      <c r="E3" s="270"/>
      <c r="F3" s="270"/>
      <c r="G3" s="271">
        <v>2000</v>
      </c>
      <c r="H3" s="271"/>
      <c r="I3" s="5"/>
      <c r="L3" s="9"/>
      <c r="M3" s="168"/>
    </row>
    <row r="4" spans="1:15" ht="20.25" thickTop="1" thickBot="1" x14ac:dyDescent="0.35">
      <c r="A4" s="120"/>
      <c r="B4" s="11">
        <v>196782.88</v>
      </c>
      <c r="C4" s="141">
        <v>43558</v>
      </c>
      <c r="D4" s="272" t="s">
        <v>3</v>
      </c>
      <c r="E4" s="273"/>
      <c r="H4" s="274" t="s">
        <v>4</v>
      </c>
      <c r="I4" s="275"/>
      <c r="J4" s="275"/>
      <c r="K4" s="275"/>
      <c r="L4" s="13" t="s">
        <v>5</v>
      </c>
      <c r="N4" s="150"/>
      <c r="O4" s="150"/>
    </row>
    <row r="5" spans="1:15" ht="17.25" thickTop="1" thickBot="1" x14ac:dyDescent="0.3">
      <c r="A5" s="15"/>
      <c r="B5" s="16">
        <v>0</v>
      </c>
      <c r="C5" s="12"/>
      <c r="D5" s="17">
        <v>43559</v>
      </c>
      <c r="E5" s="18">
        <v>40993.15</v>
      </c>
      <c r="F5" s="19"/>
      <c r="G5" s="20">
        <v>43559</v>
      </c>
      <c r="H5" s="134">
        <v>0</v>
      </c>
      <c r="I5" s="21"/>
      <c r="J5" s="22"/>
      <c r="K5" s="22"/>
      <c r="L5" s="142">
        <f>20000+20993</f>
        <v>40993</v>
      </c>
      <c r="M5" s="170"/>
      <c r="N5" s="149"/>
      <c r="O5" s="150"/>
    </row>
    <row r="6" spans="1:15" ht="16.5" thickBot="1" x14ac:dyDescent="0.3">
      <c r="A6" s="25"/>
      <c r="B6" s="16">
        <v>0</v>
      </c>
      <c r="C6" s="12"/>
      <c r="D6" s="17">
        <v>43560</v>
      </c>
      <c r="E6" s="178">
        <v>51920.55</v>
      </c>
      <c r="F6" s="26"/>
      <c r="G6" s="20">
        <v>43560</v>
      </c>
      <c r="H6" s="27">
        <v>0</v>
      </c>
      <c r="I6" s="28"/>
      <c r="J6" s="2" t="s">
        <v>6</v>
      </c>
      <c r="K6" s="29">
        <v>549</v>
      </c>
      <c r="L6" s="142">
        <v>51920.5</v>
      </c>
      <c r="M6" s="171"/>
      <c r="N6" s="149"/>
      <c r="O6" s="150"/>
    </row>
    <row r="7" spans="1:15" ht="16.5" thickBot="1" x14ac:dyDescent="0.3">
      <c r="A7" s="25"/>
      <c r="B7" s="16">
        <v>0</v>
      </c>
      <c r="C7" s="12"/>
      <c r="D7" s="17">
        <v>43561</v>
      </c>
      <c r="E7" s="178">
        <v>57366.59</v>
      </c>
      <c r="G7" s="20">
        <v>43561</v>
      </c>
      <c r="H7" s="27">
        <v>0</v>
      </c>
      <c r="I7" s="30" t="s">
        <v>197</v>
      </c>
      <c r="J7" s="31" t="s">
        <v>7</v>
      </c>
      <c r="K7" s="32">
        <v>9349</v>
      </c>
      <c r="L7" s="142">
        <v>60800.5</v>
      </c>
      <c r="M7" s="172"/>
      <c r="N7" s="152"/>
      <c r="O7" s="150"/>
    </row>
    <row r="8" spans="1:15" ht="16.5" thickBot="1" x14ac:dyDescent="0.3">
      <c r="A8" s="25"/>
      <c r="B8" s="16">
        <v>0</v>
      </c>
      <c r="C8" s="34"/>
      <c r="D8" s="17">
        <v>43562</v>
      </c>
      <c r="E8" s="178">
        <v>49248.36</v>
      </c>
      <c r="G8" s="20">
        <v>43562</v>
      </c>
      <c r="H8" s="27">
        <v>0</v>
      </c>
      <c r="I8" s="28"/>
      <c r="J8" s="2" t="s">
        <v>8</v>
      </c>
      <c r="K8" s="35">
        <f>7187.5+7187.5+7187.5+7187.5</f>
        <v>28750</v>
      </c>
      <c r="L8" s="142">
        <v>49248</v>
      </c>
      <c r="M8" s="172"/>
      <c r="N8" s="151"/>
      <c r="O8" s="150"/>
    </row>
    <row r="9" spans="1:15" ht="16.5" thickBot="1" x14ac:dyDescent="0.3">
      <c r="A9" s="25"/>
      <c r="B9" s="16">
        <v>0</v>
      </c>
      <c r="C9" s="36"/>
      <c r="D9" s="17">
        <v>43563</v>
      </c>
      <c r="E9" s="178">
        <v>47245.51</v>
      </c>
      <c r="G9" s="20">
        <v>43563</v>
      </c>
      <c r="H9" s="27">
        <v>127</v>
      </c>
      <c r="I9" s="126">
        <v>43561</v>
      </c>
      <c r="J9" s="2" t="s">
        <v>149</v>
      </c>
      <c r="K9" s="29">
        <v>7929.45</v>
      </c>
      <c r="L9" s="142">
        <v>57184.5</v>
      </c>
      <c r="M9" s="172"/>
      <c r="N9" s="150"/>
      <c r="O9" s="150"/>
    </row>
    <row r="10" spans="1:15" ht="16.5" thickBot="1" x14ac:dyDescent="0.3">
      <c r="A10" s="25"/>
      <c r="B10" s="16">
        <v>0</v>
      </c>
      <c r="C10" s="34"/>
      <c r="D10" s="17">
        <v>43564</v>
      </c>
      <c r="E10" s="178">
        <v>43903.35</v>
      </c>
      <c r="G10" s="20">
        <v>43564</v>
      </c>
      <c r="H10" s="27">
        <v>0</v>
      </c>
      <c r="I10" s="126">
        <v>43568</v>
      </c>
      <c r="J10" s="2" t="s">
        <v>150</v>
      </c>
      <c r="K10" s="29">
        <v>7300.88</v>
      </c>
      <c r="L10" s="142">
        <f>30000+16903.5</f>
        <v>46903.5</v>
      </c>
      <c r="M10" s="173"/>
      <c r="N10" s="150"/>
      <c r="O10" s="150"/>
    </row>
    <row r="11" spans="1:15" ht="16.5" thickBot="1" x14ac:dyDescent="0.3">
      <c r="A11" s="25"/>
      <c r="B11" s="16">
        <v>0</v>
      </c>
      <c r="C11" s="34"/>
      <c r="D11" s="17">
        <v>43565</v>
      </c>
      <c r="E11" s="178">
        <v>26922.15</v>
      </c>
      <c r="G11" s="20">
        <v>43565</v>
      </c>
      <c r="H11" s="27">
        <v>0</v>
      </c>
      <c r="I11" s="126">
        <v>43575</v>
      </c>
      <c r="J11" s="2" t="s">
        <v>151</v>
      </c>
      <c r="K11" s="29">
        <v>7700.88</v>
      </c>
      <c r="L11" s="142">
        <v>31678</v>
      </c>
      <c r="M11" s="172"/>
      <c r="N11" s="149"/>
      <c r="O11" s="150"/>
    </row>
    <row r="12" spans="1:15" ht="16.5" thickBot="1" x14ac:dyDescent="0.3">
      <c r="A12" s="25"/>
      <c r="B12" s="16">
        <v>0</v>
      </c>
      <c r="C12" s="34"/>
      <c r="D12" s="17">
        <v>43566</v>
      </c>
      <c r="E12" s="178">
        <v>33202.449999999997</v>
      </c>
      <c r="G12" s="20">
        <v>43566</v>
      </c>
      <c r="H12" s="27">
        <v>10</v>
      </c>
      <c r="I12" s="126">
        <v>43582</v>
      </c>
      <c r="J12" s="2" t="s">
        <v>152</v>
      </c>
      <c r="K12" s="29">
        <v>7743.74</v>
      </c>
      <c r="L12" s="142">
        <v>33192.5</v>
      </c>
      <c r="M12" s="174"/>
      <c r="N12" s="150"/>
      <c r="O12" s="150"/>
    </row>
    <row r="13" spans="1:15" ht="16.5" thickBot="1" x14ac:dyDescent="0.3">
      <c r="A13" s="25"/>
      <c r="B13" s="16">
        <v>0</v>
      </c>
      <c r="C13" s="34"/>
      <c r="D13" s="17">
        <v>43567</v>
      </c>
      <c r="E13" s="178">
        <v>47470.35</v>
      </c>
      <c r="G13" s="20">
        <v>43567</v>
      </c>
      <c r="H13" s="27">
        <v>40</v>
      </c>
      <c r="I13" s="126">
        <v>43589</v>
      </c>
      <c r="J13" s="2" t="s">
        <v>198</v>
      </c>
      <c r="K13" s="29">
        <v>10343.74</v>
      </c>
      <c r="L13" s="142">
        <v>47430.5</v>
      </c>
      <c r="M13" s="172"/>
      <c r="N13" s="150"/>
      <c r="O13" s="150"/>
    </row>
    <row r="14" spans="1:15" ht="16.5" thickBot="1" x14ac:dyDescent="0.3">
      <c r="A14" s="25"/>
      <c r="B14" s="16">
        <v>0</v>
      </c>
      <c r="C14" s="36"/>
      <c r="D14" s="17">
        <v>43568</v>
      </c>
      <c r="E14" s="178">
        <v>54133.41</v>
      </c>
      <c r="G14" s="20">
        <v>43568</v>
      </c>
      <c r="H14" s="27">
        <v>0</v>
      </c>
      <c r="I14" s="126"/>
      <c r="J14" s="41" t="s">
        <v>9</v>
      </c>
      <c r="K14" s="29">
        <v>0</v>
      </c>
      <c r="L14" s="142">
        <v>54133.5</v>
      </c>
      <c r="M14" s="172"/>
      <c r="N14" s="150"/>
      <c r="O14" s="150"/>
    </row>
    <row r="15" spans="1:15" ht="16.5" thickBot="1" x14ac:dyDescent="0.3">
      <c r="A15" s="25"/>
      <c r="B15" s="16">
        <v>0</v>
      </c>
      <c r="C15" s="36"/>
      <c r="D15" s="17">
        <v>43569</v>
      </c>
      <c r="E15" s="178">
        <v>105868.13</v>
      </c>
      <c r="G15" s="20">
        <v>43569</v>
      </c>
      <c r="H15" s="27">
        <v>0</v>
      </c>
      <c r="I15" s="28"/>
      <c r="J15" s="42"/>
      <c r="K15" s="29">
        <v>0</v>
      </c>
      <c r="L15" s="142">
        <f>85868+20000</f>
        <v>105868</v>
      </c>
      <c r="M15" s="172"/>
      <c r="N15" s="150"/>
      <c r="O15" s="150"/>
    </row>
    <row r="16" spans="1:15" ht="16.5" thickBot="1" x14ac:dyDescent="0.3">
      <c r="A16" s="25"/>
      <c r="B16" s="16">
        <v>0</v>
      </c>
      <c r="C16" s="36"/>
      <c r="D16" s="17">
        <v>43570</v>
      </c>
      <c r="E16" s="178">
        <v>60062.42</v>
      </c>
      <c r="G16" s="20">
        <v>43570</v>
      </c>
      <c r="H16" s="27">
        <v>90</v>
      </c>
      <c r="I16" s="28"/>
      <c r="J16" s="43"/>
      <c r="K16" s="8">
        <v>0</v>
      </c>
      <c r="L16" s="142">
        <v>60709.5</v>
      </c>
      <c r="M16" s="172"/>
      <c r="N16" s="150"/>
      <c r="O16" s="149"/>
    </row>
    <row r="17" spans="1:15" ht="16.5" thickBot="1" x14ac:dyDescent="0.3">
      <c r="A17" s="25"/>
      <c r="B17" s="16">
        <v>0</v>
      </c>
      <c r="C17" s="36"/>
      <c r="D17" s="17">
        <v>43571</v>
      </c>
      <c r="E17" s="178">
        <v>66860.5</v>
      </c>
      <c r="G17" s="20">
        <v>43571</v>
      </c>
      <c r="H17" s="27">
        <v>67</v>
      </c>
      <c r="I17" s="166">
        <v>43571</v>
      </c>
      <c r="J17" s="167" t="s">
        <v>12</v>
      </c>
      <c r="K17" s="8">
        <v>900</v>
      </c>
      <c r="L17" s="142">
        <f>50000+15893</f>
        <v>65893</v>
      </c>
      <c r="M17" s="172"/>
      <c r="N17" s="150"/>
      <c r="O17" s="150"/>
    </row>
    <row r="18" spans="1:15" ht="16.5" thickBot="1" x14ac:dyDescent="0.3">
      <c r="A18" s="25"/>
      <c r="B18" s="16">
        <v>0</v>
      </c>
      <c r="C18" s="34"/>
      <c r="D18" s="17">
        <v>43572</v>
      </c>
      <c r="E18" s="18">
        <v>42393.2</v>
      </c>
      <c r="G18" s="20">
        <v>43572</v>
      </c>
      <c r="H18" s="27">
        <v>0</v>
      </c>
      <c r="I18" s="44"/>
      <c r="K18" s="8">
        <v>0</v>
      </c>
      <c r="L18" s="142">
        <v>42393</v>
      </c>
      <c r="M18" s="172"/>
    </row>
    <row r="19" spans="1:15" ht="16.5" thickBot="1" x14ac:dyDescent="0.3">
      <c r="A19" s="25"/>
      <c r="B19" s="16">
        <v>0</v>
      </c>
      <c r="C19" s="36"/>
      <c r="D19" s="17">
        <v>43573</v>
      </c>
      <c r="E19" s="18">
        <v>62830.17</v>
      </c>
      <c r="G19" s="20">
        <v>43573</v>
      </c>
      <c r="H19" s="160">
        <v>0</v>
      </c>
      <c r="I19" s="28"/>
      <c r="K19" s="8">
        <v>0</v>
      </c>
      <c r="L19" s="142">
        <v>62830</v>
      </c>
      <c r="M19" s="175"/>
    </row>
    <row r="20" spans="1:15" ht="16.5" thickBot="1" x14ac:dyDescent="0.3">
      <c r="A20" s="25"/>
      <c r="B20" s="16">
        <v>0</v>
      </c>
      <c r="C20" s="46"/>
      <c r="D20" s="17">
        <v>43574</v>
      </c>
      <c r="E20" s="158">
        <v>0</v>
      </c>
      <c r="F20" s="161" t="s">
        <v>170</v>
      </c>
      <c r="G20" s="20">
        <v>43574</v>
      </c>
      <c r="H20" s="159">
        <v>0</v>
      </c>
      <c r="I20" s="162" t="s">
        <v>171</v>
      </c>
      <c r="J20" s="48"/>
      <c r="K20" s="28" t="s">
        <v>10</v>
      </c>
      <c r="L20" s="157">
        <v>0</v>
      </c>
      <c r="M20" s="175"/>
    </row>
    <row r="21" spans="1:15" ht="16.5" thickBot="1" x14ac:dyDescent="0.3">
      <c r="A21" s="25"/>
      <c r="B21" s="16">
        <v>0</v>
      </c>
      <c r="C21" s="46"/>
      <c r="D21" s="17">
        <v>43575</v>
      </c>
      <c r="E21" s="18">
        <v>48326.2</v>
      </c>
      <c r="G21" s="20">
        <v>43575</v>
      </c>
      <c r="H21" s="27">
        <v>0</v>
      </c>
      <c r="I21" s="33"/>
      <c r="J21" s="49"/>
      <c r="K21" s="28"/>
      <c r="L21" s="142">
        <f>20000+28326</f>
        <v>48326</v>
      </c>
      <c r="M21" s="172"/>
    </row>
    <row r="22" spans="1:15" ht="16.5" thickBot="1" x14ac:dyDescent="0.3">
      <c r="A22" s="25"/>
      <c r="B22" s="16">
        <v>0</v>
      </c>
      <c r="C22" s="36"/>
      <c r="D22" s="17">
        <v>43576</v>
      </c>
      <c r="E22" s="18">
        <v>90019.7</v>
      </c>
      <c r="G22" s="20">
        <v>43576</v>
      </c>
      <c r="H22" s="27">
        <v>0</v>
      </c>
      <c r="I22" s="47" t="s">
        <v>11</v>
      </c>
      <c r="J22" s="50"/>
      <c r="K22" s="28">
        <v>0</v>
      </c>
      <c r="L22" s="142">
        <v>90020</v>
      </c>
      <c r="M22" s="175"/>
    </row>
    <row r="23" spans="1:15" ht="16.5" thickBot="1" x14ac:dyDescent="0.3">
      <c r="A23" s="25"/>
      <c r="B23" s="16">
        <v>0</v>
      </c>
      <c r="C23" s="36"/>
      <c r="D23" s="17">
        <v>43577</v>
      </c>
      <c r="E23" s="18">
        <v>72864.759999999995</v>
      </c>
      <c r="G23" s="20">
        <v>43577</v>
      </c>
      <c r="H23" s="27">
        <v>100</v>
      </c>
      <c r="I23" s="28"/>
      <c r="J23" s="49"/>
      <c r="K23" s="28">
        <v>0</v>
      </c>
      <c r="L23" s="142">
        <f>30000+42764.5</f>
        <v>72764.5</v>
      </c>
      <c r="M23" s="172"/>
    </row>
    <row r="24" spans="1:15" ht="16.5" thickBot="1" x14ac:dyDescent="0.3">
      <c r="A24" s="25"/>
      <c r="B24" s="16">
        <v>0</v>
      </c>
      <c r="C24" s="36"/>
      <c r="D24" s="17">
        <v>43578</v>
      </c>
      <c r="E24" s="18">
        <v>22749.3</v>
      </c>
      <c r="G24" s="20">
        <v>43578</v>
      </c>
      <c r="H24" s="27">
        <v>80.599999999999994</v>
      </c>
      <c r="I24" s="28"/>
      <c r="J24" s="56"/>
      <c r="K24" s="28">
        <v>0</v>
      </c>
      <c r="L24" s="142">
        <v>22668.5</v>
      </c>
      <c r="M24" s="172"/>
    </row>
    <row r="25" spans="1:15" ht="16.5" thickBot="1" x14ac:dyDescent="0.3">
      <c r="A25" s="25"/>
      <c r="B25" s="16">
        <v>0</v>
      </c>
      <c r="C25" s="46"/>
      <c r="D25" s="17">
        <v>43579</v>
      </c>
      <c r="E25" s="18">
        <v>38187.5</v>
      </c>
      <c r="G25" s="20">
        <v>43579</v>
      </c>
      <c r="H25" s="27">
        <v>0</v>
      </c>
      <c r="I25" s="28"/>
      <c r="J25" s="52"/>
      <c r="K25" s="28"/>
      <c r="L25" s="142">
        <v>38187.5</v>
      </c>
      <c r="M25" s="172"/>
    </row>
    <row r="26" spans="1:15" ht="16.5" thickBot="1" x14ac:dyDescent="0.3">
      <c r="A26" s="25"/>
      <c r="B26" s="16">
        <v>0</v>
      </c>
      <c r="C26" s="36"/>
      <c r="D26" s="17">
        <v>43580</v>
      </c>
      <c r="E26" s="178">
        <v>54166.23</v>
      </c>
      <c r="G26" s="20">
        <v>43580</v>
      </c>
      <c r="H26" s="27">
        <v>10</v>
      </c>
      <c r="I26" s="40"/>
      <c r="J26" s="53"/>
      <c r="K26" s="28">
        <v>0</v>
      </c>
      <c r="L26" s="142">
        <v>59671</v>
      </c>
      <c r="M26" s="172"/>
    </row>
    <row r="27" spans="1:15" ht="16.5" thickBot="1" x14ac:dyDescent="0.3">
      <c r="A27" s="25"/>
      <c r="B27" s="16">
        <v>0</v>
      </c>
      <c r="C27" s="36"/>
      <c r="D27" s="17">
        <v>43581</v>
      </c>
      <c r="E27" s="18">
        <v>75312.259999999995</v>
      </c>
      <c r="G27" s="20">
        <v>43581</v>
      </c>
      <c r="H27" s="27">
        <v>60</v>
      </c>
      <c r="I27" s="28"/>
      <c r="J27" s="54"/>
      <c r="K27" s="28">
        <v>0</v>
      </c>
      <c r="L27" s="142">
        <f>20000+30000+25252</f>
        <v>75252</v>
      </c>
      <c r="M27" s="172"/>
    </row>
    <row r="28" spans="1:15" ht="16.5" thickBot="1" x14ac:dyDescent="0.3">
      <c r="A28" s="25"/>
      <c r="B28" s="16">
        <v>0</v>
      </c>
      <c r="C28" s="36"/>
      <c r="D28" s="17">
        <v>43582</v>
      </c>
      <c r="E28" s="18">
        <v>88190.3</v>
      </c>
      <c r="G28" s="20">
        <v>43582</v>
      </c>
      <c r="H28" s="132">
        <v>37</v>
      </c>
      <c r="I28" s="28"/>
      <c r="J28" s="55"/>
      <c r="K28" s="28">
        <v>0</v>
      </c>
      <c r="L28" s="142">
        <v>88153</v>
      </c>
      <c r="M28" s="172"/>
    </row>
    <row r="29" spans="1:15" ht="16.5" thickBot="1" x14ac:dyDescent="0.3">
      <c r="A29" s="1"/>
      <c r="B29" s="16">
        <v>0</v>
      </c>
      <c r="C29" s="36"/>
      <c r="D29" s="17">
        <v>43583</v>
      </c>
      <c r="E29" s="154">
        <v>85465.52</v>
      </c>
      <c r="G29" s="20">
        <v>43583</v>
      </c>
      <c r="H29" s="132">
        <v>0</v>
      </c>
      <c r="I29" s="40"/>
      <c r="K29" s="28"/>
      <c r="L29" s="142">
        <v>85465.5</v>
      </c>
      <c r="M29" s="172"/>
    </row>
    <row r="30" spans="1:15" ht="16.5" thickBot="1" x14ac:dyDescent="0.3">
      <c r="A30" s="1"/>
      <c r="B30" s="16">
        <v>0</v>
      </c>
      <c r="C30" s="36"/>
      <c r="D30" s="17">
        <v>43584</v>
      </c>
      <c r="E30" s="154">
        <v>125254.51</v>
      </c>
      <c r="G30" s="20">
        <v>43584</v>
      </c>
      <c r="H30" s="132">
        <v>90</v>
      </c>
      <c r="I30" s="28"/>
      <c r="J30" s="55"/>
      <c r="K30" s="28"/>
      <c r="L30" s="142">
        <f>55164.5+50000+20000</f>
        <v>125164.5</v>
      </c>
      <c r="M30" s="175"/>
    </row>
    <row r="31" spans="1:15" ht="16.5" thickBot="1" x14ac:dyDescent="0.3">
      <c r="A31" s="1"/>
      <c r="B31" s="16">
        <v>0</v>
      </c>
      <c r="C31" s="36"/>
      <c r="D31" s="17">
        <v>43585</v>
      </c>
      <c r="E31" s="154">
        <v>61064.35</v>
      </c>
      <c r="G31" s="20">
        <v>43585</v>
      </c>
      <c r="H31" s="132">
        <v>0</v>
      </c>
      <c r="I31" s="28"/>
      <c r="J31" s="55"/>
      <c r="K31" s="28"/>
      <c r="L31" s="142">
        <f>25000+20000+16064.5</f>
        <v>61064.5</v>
      </c>
      <c r="M31" s="175"/>
    </row>
    <row r="32" spans="1:15" ht="16.5" thickBot="1" x14ac:dyDescent="0.3">
      <c r="A32" s="1"/>
      <c r="B32" s="16">
        <v>0</v>
      </c>
      <c r="C32" s="36"/>
      <c r="D32" s="17">
        <v>43586</v>
      </c>
      <c r="E32" s="154">
        <v>59906.2</v>
      </c>
      <c r="G32" s="20">
        <v>43586</v>
      </c>
      <c r="H32" s="132">
        <v>0</v>
      </c>
      <c r="I32" s="28"/>
      <c r="J32" s="55"/>
      <c r="K32" s="28"/>
      <c r="L32" s="142">
        <v>59906</v>
      </c>
      <c r="M32" s="175"/>
    </row>
    <row r="33" spans="1:13" ht="16.5" thickBot="1" x14ac:dyDescent="0.3">
      <c r="A33" s="1"/>
      <c r="B33" s="16">
        <v>0</v>
      </c>
      <c r="C33" s="36"/>
      <c r="D33" s="17">
        <v>43587</v>
      </c>
      <c r="E33" s="154">
        <v>78175.520000000004</v>
      </c>
      <c r="G33" s="20">
        <v>43587</v>
      </c>
      <c r="H33" s="132">
        <v>0</v>
      </c>
      <c r="I33" s="40">
        <v>43587</v>
      </c>
      <c r="J33" s="55" t="s">
        <v>116</v>
      </c>
      <c r="K33" s="28">
        <v>870</v>
      </c>
      <c r="L33" s="142">
        <v>77305.56</v>
      </c>
      <c r="M33" s="175"/>
    </row>
    <row r="34" spans="1:13" ht="16.5" thickBot="1" x14ac:dyDescent="0.3">
      <c r="A34" s="1"/>
      <c r="B34" s="16">
        <v>0</v>
      </c>
      <c r="C34" s="36"/>
      <c r="D34" s="17">
        <v>43588</v>
      </c>
      <c r="E34" s="155">
        <v>83709.13</v>
      </c>
      <c r="G34" s="20">
        <v>43588</v>
      </c>
      <c r="H34" s="132">
        <v>30</v>
      </c>
      <c r="I34" s="28"/>
      <c r="J34" s="55"/>
      <c r="K34" s="28"/>
      <c r="L34" s="142">
        <v>83679</v>
      </c>
      <c r="M34" s="175"/>
    </row>
    <row r="35" spans="1:13" ht="16.5" thickBot="1" x14ac:dyDescent="0.3">
      <c r="A35" s="1"/>
      <c r="B35" s="16">
        <v>0</v>
      </c>
      <c r="C35" s="36"/>
      <c r="D35" s="17">
        <v>43589</v>
      </c>
      <c r="E35" s="155">
        <v>87119.32</v>
      </c>
      <c r="G35" s="20">
        <v>43589</v>
      </c>
      <c r="H35" s="132">
        <v>0</v>
      </c>
      <c r="I35" s="28"/>
      <c r="J35" s="55"/>
      <c r="K35" s="28"/>
      <c r="L35" s="142">
        <f>35000+20000+32120</f>
        <v>87120</v>
      </c>
      <c r="M35" s="175"/>
    </row>
    <row r="36" spans="1:13" ht="16.5" thickBot="1" x14ac:dyDescent="0.3">
      <c r="A36" s="1"/>
      <c r="B36" s="16">
        <v>0</v>
      </c>
      <c r="C36" s="36"/>
      <c r="D36" s="17">
        <v>43590</v>
      </c>
      <c r="E36" s="155">
        <v>86762.22</v>
      </c>
      <c r="G36" s="20">
        <v>43590</v>
      </c>
      <c r="H36" s="132">
        <v>0</v>
      </c>
      <c r="I36" s="28"/>
      <c r="J36" s="55"/>
      <c r="K36" s="28"/>
      <c r="L36" s="142">
        <f>50000+36762</f>
        <v>86762</v>
      </c>
      <c r="M36" s="175"/>
    </row>
    <row r="37" spans="1:13" ht="16.5" thickBot="1" x14ac:dyDescent="0.3">
      <c r="A37" s="1"/>
      <c r="B37" s="16">
        <v>0</v>
      </c>
      <c r="C37" s="36"/>
      <c r="D37" s="17">
        <v>43591</v>
      </c>
      <c r="E37" s="155">
        <v>126559.31</v>
      </c>
      <c r="G37" s="20">
        <v>43591</v>
      </c>
      <c r="H37" s="132">
        <v>38</v>
      </c>
      <c r="I37" s="28"/>
      <c r="J37" s="55"/>
      <c r="K37" s="28"/>
      <c r="L37" s="142">
        <v>126521.31</v>
      </c>
      <c r="M37" s="175"/>
    </row>
    <row r="38" spans="1:13" ht="16.5" thickBot="1" x14ac:dyDescent="0.3">
      <c r="A38" s="1"/>
      <c r="B38" s="16">
        <v>0</v>
      </c>
      <c r="C38" s="36"/>
      <c r="D38" s="17">
        <v>43592</v>
      </c>
      <c r="E38" s="155">
        <v>48177.62</v>
      </c>
      <c r="G38" s="20">
        <v>43592</v>
      </c>
      <c r="H38" s="132">
        <v>0</v>
      </c>
      <c r="I38" s="28"/>
      <c r="J38" s="55"/>
      <c r="K38" s="28"/>
      <c r="L38" s="142">
        <v>48177.5</v>
      </c>
      <c r="M38" s="175"/>
    </row>
    <row r="39" spans="1:13" ht="16.5" thickBot="1" x14ac:dyDescent="0.3">
      <c r="A39" s="1"/>
      <c r="B39" s="16">
        <v>0</v>
      </c>
      <c r="C39" s="36"/>
      <c r="D39" s="17">
        <v>43593</v>
      </c>
      <c r="E39" s="155">
        <v>57678</v>
      </c>
      <c r="G39" s="20">
        <v>43593</v>
      </c>
      <c r="H39" s="132">
        <v>0</v>
      </c>
      <c r="I39" s="28"/>
      <c r="J39" s="55"/>
      <c r="K39" s="28"/>
      <c r="L39" s="142">
        <f>37678+20000</f>
        <v>57678</v>
      </c>
      <c r="M39" s="175"/>
    </row>
    <row r="40" spans="1:13" ht="19.5" thickBot="1" x14ac:dyDescent="0.35">
      <c r="A40" s="58"/>
      <c r="B40" s="16">
        <v>0</v>
      </c>
      <c r="C40" s="12"/>
      <c r="D40" s="130"/>
      <c r="E40" s="132">
        <v>0</v>
      </c>
      <c r="F40" s="131"/>
      <c r="G40" s="129"/>
      <c r="H40" s="153">
        <v>0</v>
      </c>
      <c r="I40" s="5"/>
      <c r="J40" s="56"/>
      <c r="K40" s="29"/>
      <c r="L40" s="165">
        <f>SUM(L5:L39)</f>
        <v>2205064.37</v>
      </c>
      <c r="M40" s="177"/>
    </row>
    <row r="41" spans="1:13" ht="15.75" thickBot="1" x14ac:dyDescent="0.3">
      <c r="A41" s="61"/>
      <c r="B41" s="62">
        <f>SUM(B5:B40)</f>
        <v>0</v>
      </c>
      <c r="D41" s="63" t="s">
        <v>15</v>
      </c>
      <c r="E41" s="64">
        <f>SUM(E5:E40)</f>
        <v>2180108.2400000002</v>
      </c>
      <c r="G41" s="146" t="s">
        <v>15</v>
      </c>
      <c r="H41" s="132">
        <f>SUM(H5:H40)</f>
        <v>779.6</v>
      </c>
      <c r="I41" s="28"/>
      <c r="J41" s="65" t="s">
        <v>15</v>
      </c>
      <c r="K41" s="29">
        <f>SUM(K5:K40)</f>
        <v>81436.69</v>
      </c>
      <c r="L41" s="9"/>
      <c r="M41" s="168"/>
    </row>
    <row r="42" spans="1:13" x14ac:dyDescent="0.25">
      <c r="A42" s="1"/>
      <c r="B42" s="5"/>
      <c r="E42" s="5"/>
      <c r="I42" s="5"/>
      <c r="L42" s="9"/>
      <c r="M42" s="168"/>
    </row>
    <row r="43" spans="1:13" ht="16.5" thickBot="1" x14ac:dyDescent="0.3">
      <c r="A43" s="1"/>
      <c r="B43" s="5">
        <v>0</v>
      </c>
      <c r="E43" s="5"/>
      <c r="G43" s="292" t="s">
        <v>16</v>
      </c>
      <c r="H43" s="293"/>
      <c r="I43" s="147"/>
      <c r="J43" s="294">
        <f>H41+K41</f>
        <v>82216.290000000008</v>
      </c>
      <c r="K43" s="295"/>
      <c r="L43" s="67"/>
      <c r="M43" s="176"/>
    </row>
    <row r="44" spans="1:13" ht="15.75" x14ac:dyDescent="0.25">
      <c r="A44" s="1"/>
      <c r="B44" s="69"/>
      <c r="C44" s="278" t="s">
        <v>17</v>
      </c>
      <c r="D44" s="278"/>
      <c r="E44" s="70">
        <f>E41-J43</f>
        <v>2097891.9500000002</v>
      </c>
      <c r="F44" s="71"/>
      <c r="G44" s="71"/>
      <c r="H44" s="72"/>
      <c r="I44" s="72"/>
      <c r="J44" s="73"/>
      <c r="K44" s="74"/>
      <c r="L44" s="67"/>
      <c r="M44" s="176"/>
    </row>
    <row r="45" spans="1:13" x14ac:dyDescent="0.25">
      <c r="A45" s="1"/>
      <c r="B45" s="75"/>
      <c r="D45" s="2" t="s">
        <v>18</v>
      </c>
      <c r="E45" s="28">
        <v>80867.91</v>
      </c>
      <c r="H45" s="279" t="s">
        <v>19</v>
      </c>
      <c r="I45" s="279"/>
      <c r="J45" s="279">
        <f>E49</f>
        <v>164192.70000000019</v>
      </c>
      <c r="K45" s="280"/>
      <c r="L45" s="67"/>
      <c r="M45" s="176"/>
    </row>
    <row r="46" spans="1:13" ht="15.75" thickBot="1" x14ac:dyDescent="0.3">
      <c r="A46" s="1"/>
      <c r="B46" s="75" t="s">
        <v>11</v>
      </c>
      <c r="C46" s="6" t="s">
        <v>20</v>
      </c>
      <c r="E46" s="76">
        <v>-2221338.16</v>
      </c>
      <c r="H46" s="281" t="s">
        <v>1</v>
      </c>
      <c r="I46" s="281"/>
      <c r="J46" s="282">
        <f>-B4</f>
        <v>-196782.88</v>
      </c>
      <c r="K46" s="283"/>
      <c r="L46" s="67"/>
      <c r="M46" s="176"/>
    </row>
    <row r="47" spans="1:13" ht="20.25" thickTop="1" thickBot="1" x14ac:dyDescent="0.3">
      <c r="A47" s="1"/>
      <c r="B47" s="75"/>
      <c r="D47" s="2" t="s">
        <v>21</v>
      </c>
      <c r="E47" s="28">
        <f>SUM(E44:E46)</f>
        <v>-42578.299999999814</v>
      </c>
      <c r="H47" s="310" t="s">
        <v>200</v>
      </c>
      <c r="I47" s="311"/>
      <c r="J47" s="312">
        <f>SUM(J44:K46)</f>
        <v>-32590.179999999818</v>
      </c>
      <c r="K47" s="313"/>
      <c r="L47" s="67"/>
      <c r="M47" s="176"/>
    </row>
    <row r="48" spans="1:13" ht="16.5" thickBot="1" x14ac:dyDescent="0.3">
      <c r="A48" s="1"/>
      <c r="B48" s="75"/>
      <c r="C48" s="10" t="s">
        <v>124</v>
      </c>
      <c r="D48" s="77"/>
      <c r="E48" s="78">
        <v>206771</v>
      </c>
      <c r="J48" s="288"/>
      <c r="K48" s="289"/>
      <c r="L48" s="67"/>
      <c r="M48" s="176"/>
    </row>
    <row r="49" spans="1:13" ht="19.5" thickBot="1" x14ac:dyDescent="0.3">
      <c r="A49" s="1"/>
      <c r="B49" s="79"/>
      <c r="C49" s="80"/>
      <c r="D49" s="80" t="s">
        <v>23</v>
      </c>
      <c r="E49" s="81">
        <f>E48+E47</f>
        <v>164192.70000000019</v>
      </c>
      <c r="F49" s="82"/>
      <c r="G49" s="82"/>
      <c r="H49" s="83"/>
      <c r="I49" s="84"/>
      <c r="J49" s="290"/>
      <c r="K49" s="291"/>
      <c r="L49" s="67"/>
      <c r="M49" s="176"/>
    </row>
    <row r="53" spans="1:13" x14ac:dyDescent="0.25">
      <c r="D53" s="2" t="s">
        <v>11</v>
      </c>
    </row>
  </sheetData>
  <mergeCells count="17">
    <mergeCell ref="B1:J1"/>
    <mergeCell ref="A3:B3"/>
    <mergeCell ref="D3:F3"/>
    <mergeCell ref="G3:H3"/>
    <mergeCell ref="D4:E4"/>
    <mergeCell ref="H4:K4"/>
    <mergeCell ref="C44:D44"/>
    <mergeCell ref="H45:I45"/>
    <mergeCell ref="J45:K45"/>
    <mergeCell ref="H46:I46"/>
    <mergeCell ref="J46:K46"/>
    <mergeCell ref="H47:I47"/>
    <mergeCell ref="J47:K47"/>
    <mergeCell ref="J48:K48"/>
    <mergeCell ref="J49:K49"/>
    <mergeCell ref="G43:H43"/>
    <mergeCell ref="J43:K43"/>
  </mergeCells>
  <pageMargins left="1.1023622047244095" right="0.11811023622047245" top="0.15748031496062992" bottom="7.874015748031496E-2" header="0.31496062992125984" footer="0.31496062992125984"/>
  <pageSetup scale="7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J51"/>
  <sheetViews>
    <sheetView topLeftCell="A40" workbookViewId="0">
      <selection activeCell="D59" sqref="D59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96" t="s">
        <v>29</v>
      </c>
      <c r="D1" s="297"/>
      <c r="E1" s="298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99" t="s">
        <v>35</v>
      </c>
      <c r="I2" s="300"/>
      <c r="J2" s="301"/>
    </row>
    <row r="3" spans="1:10" x14ac:dyDescent="0.25">
      <c r="A3" s="90">
        <v>43559</v>
      </c>
      <c r="B3" s="91" t="s">
        <v>154</v>
      </c>
      <c r="C3" s="92">
        <v>83132.5</v>
      </c>
      <c r="D3" s="117"/>
      <c r="E3" s="92"/>
      <c r="F3" s="94">
        <f t="shared" ref="F3:F50" si="0">C3-E3</f>
        <v>83132.5</v>
      </c>
      <c r="H3" s="302"/>
      <c r="I3" s="303"/>
      <c r="J3" s="304"/>
    </row>
    <row r="4" spans="1:10" x14ac:dyDescent="0.25">
      <c r="A4" s="90">
        <v>43560</v>
      </c>
      <c r="B4" s="156" t="s">
        <v>155</v>
      </c>
      <c r="C4" s="92">
        <v>70428.941000000006</v>
      </c>
      <c r="D4" s="117"/>
      <c r="E4" s="95"/>
      <c r="F4" s="96">
        <f t="shared" si="0"/>
        <v>70428.941000000006</v>
      </c>
      <c r="H4" s="302"/>
      <c r="I4" s="303"/>
      <c r="J4" s="304"/>
    </row>
    <row r="5" spans="1:10" ht="15.75" thickBot="1" x14ac:dyDescent="0.3">
      <c r="A5" s="97">
        <v>43561</v>
      </c>
      <c r="B5" s="98" t="s">
        <v>156</v>
      </c>
      <c r="C5" s="95">
        <v>1040</v>
      </c>
      <c r="D5" s="117"/>
      <c r="E5" s="95"/>
      <c r="F5" s="96">
        <f t="shared" si="0"/>
        <v>1040</v>
      </c>
      <c r="H5" s="305"/>
      <c r="I5" s="306"/>
      <c r="J5" s="307"/>
    </row>
    <row r="6" spans="1:10" x14ac:dyDescent="0.25">
      <c r="A6" s="97">
        <v>43562</v>
      </c>
      <c r="B6" s="143" t="s">
        <v>157</v>
      </c>
      <c r="C6" s="95">
        <v>6124</v>
      </c>
      <c r="D6" s="117"/>
      <c r="E6" s="95"/>
      <c r="F6" s="99">
        <f t="shared" si="0"/>
        <v>6124</v>
      </c>
    </row>
    <row r="7" spans="1:10" x14ac:dyDescent="0.25">
      <c r="A7" s="97">
        <v>43562</v>
      </c>
      <c r="B7" s="143" t="s">
        <v>158</v>
      </c>
      <c r="C7" s="95">
        <v>10087</v>
      </c>
      <c r="D7" s="117"/>
      <c r="E7" s="95"/>
      <c r="F7" s="99">
        <f t="shared" si="0"/>
        <v>10087</v>
      </c>
    </row>
    <row r="8" spans="1:10" x14ac:dyDescent="0.25">
      <c r="A8" s="97">
        <v>43563</v>
      </c>
      <c r="B8" s="143" t="s">
        <v>159</v>
      </c>
      <c r="C8" s="95">
        <v>625.6</v>
      </c>
      <c r="D8" s="117"/>
      <c r="E8" s="95"/>
      <c r="F8" s="99">
        <f t="shared" si="0"/>
        <v>625.6</v>
      </c>
    </row>
    <row r="9" spans="1:10" x14ac:dyDescent="0.25">
      <c r="A9" s="97">
        <v>43563</v>
      </c>
      <c r="B9" s="143" t="s">
        <v>160</v>
      </c>
      <c r="C9" s="95">
        <v>81787.5</v>
      </c>
      <c r="D9" s="117"/>
      <c r="E9" s="95"/>
      <c r="F9" s="99">
        <f t="shared" si="0"/>
        <v>81787.5</v>
      </c>
    </row>
    <row r="10" spans="1:10" x14ac:dyDescent="0.25">
      <c r="A10" s="97">
        <v>43563</v>
      </c>
      <c r="B10" s="143" t="s">
        <v>161</v>
      </c>
      <c r="C10" s="95">
        <v>9014.6</v>
      </c>
      <c r="D10" s="117"/>
      <c r="E10" s="95"/>
      <c r="F10" s="99">
        <f t="shared" si="0"/>
        <v>9014.6</v>
      </c>
    </row>
    <row r="11" spans="1:10" x14ac:dyDescent="0.25">
      <c r="A11" s="97">
        <v>43564</v>
      </c>
      <c r="B11" s="144" t="s">
        <v>162</v>
      </c>
      <c r="C11" s="95">
        <v>41012.6</v>
      </c>
      <c r="D11" s="117"/>
      <c r="E11" s="95"/>
      <c r="F11" s="99">
        <f t="shared" si="0"/>
        <v>41012.6</v>
      </c>
    </row>
    <row r="12" spans="1:10" x14ac:dyDescent="0.25">
      <c r="A12" s="97">
        <v>43566</v>
      </c>
      <c r="B12" s="143" t="s">
        <v>163</v>
      </c>
      <c r="C12" s="95">
        <v>101020.24</v>
      </c>
      <c r="D12" s="117"/>
      <c r="E12" s="95"/>
      <c r="F12" s="99">
        <f t="shared" si="0"/>
        <v>101020.24</v>
      </c>
    </row>
    <row r="13" spans="1:10" x14ac:dyDescent="0.25">
      <c r="A13" s="101">
        <v>43567</v>
      </c>
      <c r="B13" s="145" t="s">
        <v>164</v>
      </c>
      <c r="C13" s="95">
        <v>70051.600000000006</v>
      </c>
      <c r="D13" s="117"/>
      <c r="E13" s="95"/>
      <c r="F13" s="99">
        <f t="shared" si="0"/>
        <v>70051.600000000006</v>
      </c>
    </row>
    <row r="14" spans="1:10" x14ac:dyDescent="0.25">
      <c r="A14" s="101">
        <v>43567</v>
      </c>
      <c r="B14" s="145" t="s">
        <v>165</v>
      </c>
      <c r="C14" s="95">
        <v>1386</v>
      </c>
      <c r="D14" s="117"/>
      <c r="E14" s="95"/>
      <c r="F14" s="99">
        <f t="shared" si="0"/>
        <v>1386</v>
      </c>
    </row>
    <row r="15" spans="1:10" x14ac:dyDescent="0.25">
      <c r="A15" s="101">
        <v>43568</v>
      </c>
      <c r="B15" s="145" t="s">
        <v>166</v>
      </c>
      <c r="C15" s="95">
        <v>45284</v>
      </c>
      <c r="D15" s="117"/>
      <c r="E15" s="95"/>
      <c r="F15" s="99">
        <f t="shared" si="0"/>
        <v>45284</v>
      </c>
    </row>
    <row r="16" spans="1:10" x14ac:dyDescent="0.25">
      <c r="A16" s="101">
        <v>43568</v>
      </c>
      <c r="B16" s="145" t="s">
        <v>167</v>
      </c>
      <c r="C16" s="95">
        <v>1065.5</v>
      </c>
      <c r="D16" s="117"/>
      <c r="E16" s="95"/>
      <c r="F16" s="99">
        <f t="shared" si="0"/>
        <v>1065.5</v>
      </c>
    </row>
    <row r="17" spans="1:6" x14ac:dyDescent="0.25">
      <c r="A17" s="101">
        <v>43569</v>
      </c>
      <c r="B17" s="145" t="s">
        <v>168</v>
      </c>
      <c r="C17" s="95">
        <v>1690</v>
      </c>
      <c r="D17" s="117"/>
      <c r="E17" s="95"/>
      <c r="F17" s="99">
        <f t="shared" si="0"/>
        <v>1690</v>
      </c>
    </row>
    <row r="18" spans="1:6" x14ac:dyDescent="0.25">
      <c r="A18" s="101">
        <v>43570</v>
      </c>
      <c r="B18" s="145" t="s">
        <v>169</v>
      </c>
      <c r="C18" s="95">
        <v>84682</v>
      </c>
      <c r="D18" s="117"/>
      <c r="E18" s="95"/>
      <c r="F18" s="99">
        <f t="shared" si="0"/>
        <v>84682</v>
      </c>
    </row>
    <row r="19" spans="1:6" x14ac:dyDescent="0.25">
      <c r="A19" s="101">
        <v>43571</v>
      </c>
      <c r="B19" s="145" t="s">
        <v>172</v>
      </c>
      <c r="C19" s="95">
        <v>83764.5</v>
      </c>
      <c r="D19" s="117"/>
      <c r="E19" s="95"/>
      <c r="F19" s="99">
        <f t="shared" si="0"/>
        <v>83764.5</v>
      </c>
    </row>
    <row r="20" spans="1:6" x14ac:dyDescent="0.25">
      <c r="A20" s="101">
        <v>43571</v>
      </c>
      <c r="B20" s="102" t="s">
        <v>173</v>
      </c>
      <c r="C20" s="95">
        <v>5560</v>
      </c>
      <c r="D20" s="117"/>
      <c r="E20" s="95"/>
      <c r="F20" s="99">
        <f t="shared" si="0"/>
        <v>5560</v>
      </c>
    </row>
    <row r="21" spans="1:6" x14ac:dyDescent="0.25">
      <c r="A21" s="101">
        <v>43572</v>
      </c>
      <c r="B21" s="102" t="s">
        <v>174</v>
      </c>
      <c r="C21" s="95">
        <v>118440</v>
      </c>
      <c r="D21" s="117"/>
      <c r="E21" s="95"/>
      <c r="F21" s="99">
        <f t="shared" si="0"/>
        <v>118440</v>
      </c>
    </row>
    <row r="22" spans="1:6" x14ac:dyDescent="0.25">
      <c r="A22" s="101">
        <v>43573</v>
      </c>
      <c r="B22" s="102" t="s">
        <v>175</v>
      </c>
      <c r="C22" s="95">
        <v>64869.3</v>
      </c>
      <c r="D22" s="117"/>
      <c r="E22" s="95"/>
      <c r="F22" s="99">
        <f t="shared" si="0"/>
        <v>64869.3</v>
      </c>
    </row>
    <row r="23" spans="1:6" x14ac:dyDescent="0.25">
      <c r="A23" s="101">
        <v>43573</v>
      </c>
      <c r="B23" s="102" t="s">
        <v>176</v>
      </c>
      <c r="C23" s="95">
        <v>12692</v>
      </c>
      <c r="D23" s="117"/>
      <c r="E23" s="95"/>
      <c r="F23" s="99">
        <f t="shared" si="0"/>
        <v>12692</v>
      </c>
    </row>
    <row r="24" spans="1:6" x14ac:dyDescent="0.25">
      <c r="A24" s="101">
        <v>43575</v>
      </c>
      <c r="B24" s="102" t="s">
        <v>177</v>
      </c>
      <c r="C24" s="95">
        <v>7580.5</v>
      </c>
      <c r="D24" s="117"/>
      <c r="E24" s="95"/>
      <c r="F24" s="99">
        <f t="shared" si="0"/>
        <v>7580.5</v>
      </c>
    </row>
    <row r="25" spans="1:6" x14ac:dyDescent="0.25">
      <c r="A25" s="101">
        <v>43577</v>
      </c>
      <c r="B25" s="102" t="s">
        <v>178</v>
      </c>
      <c r="C25" s="95">
        <v>94423.84</v>
      </c>
      <c r="D25" s="117"/>
      <c r="E25" s="95"/>
      <c r="F25" s="99">
        <f t="shared" si="0"/>
        <v>94423.84</v>
      </c>
    </row>
    <row r="26" spans="1:6" x14ac:dyDescent="0.25">
      <c r="A26" s="101">
        <v>43578</v>
      </c>
      <c r="B26" s="102" t="s">
        <v>179</v>
      </c>
      <c r="C26" s="95">
        <v>47814.76</v>
      </c>
      <c r="D26" s="117"/>
      <c r="E26" s="95"/>
      <c r="F26" s="99">
        <f t="shared" si="0"/>
        <v>47814.76</v>
      </c>
    </row>
    <row r="27" spans="1:6" x14ac:dyDescent="0.25">
      <c r="A27" s="101">
        <v>43579</v>
      </c>
      <c r="B27" s="102" t="s">
        <v>180</v>
      </c>
      <c r="C27" s="95">
        <v>76379</v>
      </c>
      <c r="D27" s="93"/>
      <c r="E27" s="95"/>
      <c r="F27" s="99">
        <f t="shared" si="0"/>
        <v>76379</v>
      </c>
    </row>
    <row r="28" spans="1:6" x14ac:dyDescent="0.25">
      <c r="A28" s="101">
        <v>43580</v>
      </c>
      <c r="B28" s="145" t="s">
        <v>181</v>
      </c>
      <c r="C28" s="163">
        <v>105162.34</v>
      </c>
      <c r="D28" s="93"/>
      <c r="E28" s="95"/>
      <c r="F28" s="99">
        <f t="shared" si="0"/>
        <v>105162.34</v>
      </c>
    </row>
    <row r="29" spans="1:6" x14ac:dyDescent="0.25">
      <c r="A29" s="101">
        <v>43581</v>
      </c>
      <c r="B29" s="102" t="s">
        <v>182</v>
      </c>
      <c r="C29" s="95">
        <v>51742.22</v>
      </c>
      <c r="D29" s="93"/>
      <c r="E29" s="95"/>
      <c r="F29" s="99">
        <f t="shared" si="0"/>
        <v>51742.22</v>
      </c>
    </row>
    <row r="30" spans="1:6" x14ac:dyDescent="0.25">
      <c r="A30" s="101">
        <v>43582</v>
      </c>
      <c r="B30" s="102" t="s">
        <v>183</v>
      </c>
      <c r="C30" s="95">
        <v>150860.29999999999</v>
      </c>
      <c r="D30" s="93"/>
      <c r="E30" s="95"/>
      <c r="F30" s="99">
        <f t="shared" si="0"/>
        <v>150860.29999999999</v>
      </c>
    </row>
    <row r="31" spans="1:6" x14ac:dyDescent="0.25">
      <c r="A31" s="101">
        <v>43583</v>
      </c>
      <c r="B31" s="102" t="s">
        <v>184</v>
      </c>
      <c r="C31" s="95">
        <v>62056.18</v>
      </c>
      <c r="D31" s="93"/>
      <c r="E31" s="95"/>
      <c r="F31" s="99">
        <f t="shared" si="0"/>
        <v>62056.18</v>
      </c>
    </row>
    <row r="32" spans="1:6" x14ac:dyDescent="0.25">
      <c r="A32" s="101">
        <v>43585</v>
      </c>
      <c r="B32" s="102" t="s">
        <v>185</v>
      </c>
      <c r="C32" s="95">
        <v>54031.5</v>
      </c>
      <c r="D32" s="93"/>
      <c r="E32" s="95"/>
      <c r="F32" s="99">
        <f t="shared" si="0"/>
        <v>54031.5</v>
      </c>
    </row>
    <row r="33" spans="1:6" x14ac:dyDescent="0.25">
      <c r="A33" s="101">
        <v>43585</v>
      </c>
      <c r="B33" s="102" t="s">
        <v>187</v>
      </c>
      <c r="C33" s="95">
        <v>2755.5</v>
      </c>
      <c r="D33" s="93"/>
      <c r="E33" s="95"/>
      <c r="F33" s="99">
        <f t="shared" si="0"/>
        <v>2755.5</v>
      </c>
    </row>
    <row r="34" spans="1:6" x14ac:dyDescent="0.25">
      <c r="A34" s="101">
        <v>43586</v>
      </c>
      <c r="B34" s="102" t="s">
        <v>186</v>
      </c>
      <c r="C34" s="95">
        <v>47333.440000000002</v>
      </c>
      <c r="D34" s="93"/>
      <c r="E34" s="95"/>
      <c r="F34" s="99">
        <f t="shared" si="0"/>
        <v>47333.440000000002</v>
      </c>
    </row>
    <row r="35" spans="1:6" x14ac:dyDescent="0.25">
      <c r="A35" s="101">
        <v>43586</v>
      </c>
      <c r="B35" s="102" t="s">
        <v>188</v>
      </c>
      <c r="C35" s="95">
        <v>187039.98</v>
      </c>
      <c r="D35" s="93"/>
      <c r="E35" s="95"/>
      <c r="F35" s="99">
        <f t="shared" si="0"/>
        <v>187039.98</v>
      </c>
    </row>
    <row r="36" spans="1:6" x14ac:dyDescent="0.25">
      <c r="A36" s="101">
        <v>43587</v>
      </c>
      <c r="B36" s="102" t="s">
        <v>189</v>
      </c>
      <c r="C36" s="95">
        <v>84325.58</v>
      </c>
      <c r="D36" s="93"/>
      <c r="E36" s="95"/>
      <c r="F36" s="99">
        <f t="shared" si="0"/>
        <v>84325.58</v>
      </c>
    </row>
    <row r="37" spans="1:6" x14ac:dyDescent="0.25">
      <c r="A37" s="101">
        <v>43588</v>
      </c>
      <c r="B37" s="102" t="s">
        <v>190</v>
      </c>
      <c r="C37" s="95">
        <v>96745.600000000006</v>
      </c>
      <c r="D37" s="93"/>
      <c r="E37" s="95"/>
      <c r="F37" s="99">
        <f t="shared" si="0"/>
        <v>96745.600000000006</v>
      </c>
    </row>
    <row r="38" spans="1:6" x14ac:dyDescent="0.25">
      <c r="A38" s="101">
        <v>43589</v>
      </c>
      <c r="B38" s="145" t="s">
        <v>191</v>
      </c>
      <c r="C38" s="163">
        <v>45835</v>
      </c>
      <c r="D38" s="93"/>
      <c r="E38" s="95"/>
      <c r="F38" s="99">
        <f t="shared" si="0"/>
        <v>45835</v>
      </c>
    </row>
    <row r="39" spans="1:6" x14ac:dyDescent="0.25">
      <c r="A39" s="101">
        <v>43590</v>
      </c>
      <c r="B39" s="145" t="s">
        <v>192</v>
      </c>
      <c r="C39" s="163">
        <v>42356.24</v>
      </c>
      <c r="D39" s="93"/>
      <c r="E39" s="95"/>
      <c r="F39" s="99">
        <f t="shared" si="0"/>
        <v>42356.24</v>
      </c>
    </row>
    <row r="40" spans="1:6" x14ac:dyDescent="0.25">
      <c r="A40" s="101">
        <v>43591</v>
      </c>
      <c r="B40" s="145" t="s">
        <v>193</v>
      </c>
      <c r="C40" s="163">
        <v>104898.6</v>
      </c>
      <c r="D40" s="93"/>
      <c r="E40" s="95"/>
      <c r="F40" s="99">
        <f t="shared" si="0"/>
        <v>104898.6</v>
      </c>
    </row>
    <row r="41" spans="1:6" x14ac:dyDescent="0.25">
      <c r="A41" s="101">
        <v>43591</v>
      </c>
      <c r="B41" s="145" t="s">
        <v>194</v>
      </c>
      <c r="C41" s="163">
        <v>5547</v>
      </c>
      <c r="D41" s="93"/>
      <c r="E41" s="95"/>
      <c r="F41" s="99">
        <f t="shared" si="0"/>
        <v>5547</v>
      </c>
    </row>
    <row r="42" spans="1:6" x14ac:dyDescent="0.25">
      <c r="A42" s="101">
        <v>43593</v>
      </c>
      <c r="B42" s="145" t="s">
        <v>199</v>
      </c>
      <c r="C42" s="163">
        <v>86206.1</v>
      </c>
      <c r="D42" s="93"/>
      <c r="E42" s="95"/>
      <c r="F42" s="99">
        <f t="shared" si="0"/>
        <v>86206.1</v>
      </c>
    </row>
    <row r="43" spans="1:6" x14ac:dyDescent="0.25">
      <c r="A43" s="101"/>
      <c r="B43" s="145"/>
      <c r="C43" s="163"/>
      <c r="D43" s="93"/>
      <c r="E43" s="95"/>
      <c r="F43" s="99">
        <f t="shared" si="0"/>
        <v>0</v>
      </c>
    </row>
    <row r="44" spans="1:6" x14ac:dyDescent="0.25">
      <c r="A44" s="101"/>
      <c r="B44" s="145"/>
      <c r="C44" s="163"/>
      <c r="D44" s="93"/>
      <c r="E44" s="95"/>
      <c r="F44" s="99">
        <f t="shared" si="0"/>
        <v>0</v>
      </c>
    </row>
    <row r="45" spans="1:6" x14ac:dyDescent="0.25">
      <c r="A45" s="101"/>
      <c r="B45" s="145"/>
      <c r="C45" s="163"/>
      <c r="D45" s="93"/>
      <c r="E45" s="95"/>
      <c r="F45" s="99">
        <f t="shared" si="0"/>
        <v>0</v>
      </c>
    </row>
    <row r="46" spans="1:6" x14ac:dyDescent="0.25">
      <c r="A46" s="101">
        <v>43558</v>
      </c>
      <c r="B46" s="145" t="s">
        <v>93</v>
      </c>
      <c r="C46" s="163">
        <v>1257.5999999999999</v>
      </c>
      <c r="D46" s="164" t="s">
        <v>196</v>
      </c>
      <c r="E46" s="95"/>
      <c r="F46" s="99">
        <f t="shared" si="0"/>
        <v>1257.5999999999999</v>
      </c>
    </row>
    <row r="47" spans="1:6" x14ac:dyDescent="0.25">
      <c r="A47" s="101">
        <v>43581</v>
      </c>
      <c r="B47" s="145" t="s">
        <v>73</v>
      </c>
      <c r="C47" s="163">
        <v>10089</v>
      </c>
      <c r="D47" s="164" t="s">
        <v>196</v>
      </c>
      <c r="E47" s="95"/>
      <c r="F47" s="99">
        <f t="shared" si="0"/>
        <v>10089</v>
      </c>
    </row>
    <row r="48" spans="1:6" x14ac:dyDescent="0.25">
      <c r="A48" s="101">
        <v>43583</v>
      </c>
      <c r="B48" s="102" t="s">
        <v>195</v>
      </c>
      <c r="C48" s="95">
        <v>303.39999999999998</v>
      </c>
      <c r="D48" s="164" t="s">
        <v>196</v>
      </c>
      <c r="E48" s="95"/>
      <c r="F48" s="99">
        <f t="shared" si="0"/>
        <v>303.39999999999998</v>
      </c>
    </row>
    <row r="49" spans="1:6" x14ac:dyDescent="0.25">
      <c r="A49" s="101"/>
      <c r="B49" s="102"/>
      <c r="C49" s="95"/>
      <c r="D49" s="93"/>
      <c r="E49" s="95"/>
      <c r="F49" s="99">
        <f t="shared" si="0"/>
        <v>0</v>
      </c>
    </row>
    <row r="50" spans="1:6" ht="16.5" thickBot="1" x14ac:dyDescent="0.3">
      <c r="A50" s="103" t="s">
        <v>36</v>
      </c>
      <c r="B50" s="104"/>
      <c r="C50" s="105"/>
      <c r="D50" s="106"/>
      <c r="E50" s="107">
        <v>37163.4</v>
      </c>
      <c r="F50" s="108">
        <f t="shared" si="0"/>
        <v>-37163.4</v>
      </c>
    </row>
    <row r="51" spans="1:6" s="113" customFormat="1" ht="19.5" thickBot="1" x14ac:dyDescent="0.35">
      <c r="A51" s="109"/>
      <c r="B51" s="110"/>
      <c r="C51" s="111">
        <f>SUM(C3:C50)</f>
        <v>2258501.5610000002</v>
      </c>
      <c r="D51" s="111"/>
      <c r="E51" s="112">
        <f>SUM(E3:E50)</f>
        <v>37163.4</v>
      </c>
      <c r="F51" s="112">
        <f>SUM(F3:F50)</f>
        <v>2221338.1610000003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4ADC-C696-44D4-88C8-065685DBD22F}">
  <sheetPr>
    <tabColor rgb="FF00FF00"/>
  </sheetPr>
  <dimension ref="A1:P47"/>
  <sheetViews>
    <sheetView topLeftCell="A31" workbookViewId="0">
      <selection activeCell="H43" sqref="H43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3" width="22.5703125" style="5" customWidth="1"/>
    <col min="14" max="14" width="15.28515625" style="169" customWidth="1"/>
  </cols>
  <sheetData>
    <row r="1" spans="1:16" ht="23.25" x14ac:dyDescent="0.35">
      <c r="A1" s="1"/>
      <c r="B1" s="269" t="s">
        <v>201</v>
      </c>
      <c r="C1" s="269"/>
      <c r="D1" s="269"/>
      <c r="E1" s="269"/>
      <c r="F1" s="269"/>
      <c r="G1" s="269"/>
      <c r="H1" s="269"/>
      <c r="I1" s="269"/>
      <c r="J1" s="269"/>
      <c r="L1" s="3" t="s">
        <v>0</v>
      </c>
      <c r="M1" s="3"/>
      <c r="N1" s="168"/>
    </row>
    <row r="2" spans="1:16" x14ac:dyDescent="0.25">
      <c r="A2" s="1"/>
      <c r="B2" s="5"/>
      <c r="D2" s="180"/>
      <c r="E2" s="8"/>
      <c r="L2" s="9"/>
      <c r="M2" s="9"/>
      <c r="N2" s="168"/>
    </row>
    <row r="3" spans="1:16" ht="19.5" customHeight="1" thickBot="1" x14ac:dyDescent="0.35">
      <c r="A3" s="276" t="s">
        <v>1</v>
      </c>
      <c r="B3" s="277"/>
      <c r="C3" s="10"/>
      <c r="D3" s="270" t="s">
        <v>2</v>
      </c>
      <c r="E3" s="270"/>
      <c r="F3" s="270"/>
      <c r="G3" s="271">
        <v>2000</v>
      </c>
      <c r="H3" s="271"/>
      <c r="I3" s="5"/>
      <c r="L3" s="9"/>
      <c r="M3" s="194"/>
      <c r="N3" s="168"/>
    </row>
    <row r="4" spans="1:16" ht="20.25" thickTop="1" thickBot="1" x14ac:dyDescent="0.35">
      <c r="A4" s="120"/>
      <c r="B4" s="11">
        <v>206771</v>
      </c>
      <c r="C4" s="141">
        <v>43593</v>
      </c>
      <c r="D4" s="272" t="s">
        <v>3</v>
      </c>
      <c r="E4" s="273"/>
      <c r="H4" s="274" t="s">
        <v>4</v>
      </c>
      <c r="I4" s="275"/>
      <c r="J4" s="275"/>
      <c r="K4" s="275"/>
      <c r="L4" s="13" t="s">
        <v>240</v>
      </c>
      <c r="M4" s="195"/>
      <c r="O4" s="150"/>
      <c r="P4" s="150"/>
    </row>
    <row r="5" spans="1:16" ht="17.25" thickTop="1" thickBot="1" x14ac:dyDescent="0.3">
      <c r="A5" s="15"/>
      <c r="B5" s="16">
        <v>0</v>
      </c>
      <c r="C5" s="12"/>
      <c r="D5" s="181">
        <v>43594</v>
      </c>
      <c r="E5" s="178">
        <v>45389.32</v>
      </c>
      <c r="F5" s="182"/>
      <c r="G5" s="183">
        <v>43594</v>
      </c>
      <c r="H5" s="184">
        <v>0</v>
      </c>
      <c r="I5" s="21"/>
      <c r="J5" s="22"/>
      <c r="K5" s="22"/>
      <c r="L5" s="148">
        <f>33979.5+20000</f>
        <v>53979.5</v>
      </c>
      <c r="M5" s="177"/>
      <c r="N5" s="192">
        <f>L5-E5</f>
        <v>8590.18</v>
      </c>
      <c r="O5" s="149"/>
      <c r="P5" s="150"/>
    </row>
    <row r="6" spans="1:16" ht="16.5" thickBot="1" x14ac:dyDescent="0.3">
      <c r="A6" s="25"/>
      <c r="B6" s="16">
        <v>0</v>
      </c>
      <c r="C6" s="12"/>
      <c r="D6" s="181">
        <v>43595</v>
      </c>
      <c r="E6" s="178">
        <v>74192.149999999994</v>
      </c>
      <c r="F6" s="185"/>
      <c r="G6" s="183">
        <v>43595</v>
      </c>
      <c r="H6" s="160">
        <v>0</v>
      </c>
      <c r="I6" s="28"/>
      <c r="J6" s="2" t="s">
        <v>6</v>
      </c>
      <c r="K6" s="29">
        <v>549</v>
      </c>
      <c r="L6" s="148">
        <v>98793</v>
      </c>
      <c r="M6" s="177"/>
      <c r="N6" s="192">
        <f>L6-E6+K17</f>
        <v>25500.850000000006</v>
      </c>
      <c r="O6" s="149"/>
      <c r="P6" s="150"/>
    </row>
    <row r="7" spans="1:16" ht="16.5" thickBot="1" x14ac:dyDescent="0.3">
      <c r="A7" s="25"/>
      <c r="B7" s="16">
        <v>0</v>
      </c>
      <c r="C7" s="12"/>
      <c r="D7" s="181">
        <v>43596</v>
      </c>
      <c r="E7" s="178">
        <v>90209.64</v>
      </c>
      <c r="F7" s="150"/>
      <c r="G7" s="183">
        <v>43596</v>
      </c>
      <c r="H7" s="160">
        <v>0</v>
      </c>
      <c r="I7" s="30" t="s">
        <v>197</v>
      </c>
      <c r="J7" s="31" t="s">
        <v>7</v>
      </c>
      <c r="K7" s="32">
        <v>9349</v>
      </c>
      <c r="L7" s="142">
        <f>75000+15210</f>
        <v>90210</v>
      </c>
      <c r="M7" s="177"/>
      <c r="N7" s="192">
        <f t="shared" ref="N7:N10" si="0">L7-E7</f>
        <v>0.36000000000058208</v>
      </c>
      <c r="O7" s="152"/>
      <c r="P7" s="150"/>
    </row>
    <row r="8" spans="1:16" ht="16.5" thickBot="1" x14ac:dyDescent="0.3">
      <c r="A8" s="25"/>
      <c r="B8" s="16">
        <v>0</v>
      </c>
      <c r="C8" s="34"/>
      <c r="D8" s="181">
        <v>43597</v>
      </c>
      <c r="E8" s="178">
        <v>83645.39</v>
      </c>
      <c r="F8" s="150"/>
      <c r="G8" s="183">
        <v>43597</v>
      </c>
      <c r="H8" s="160">
        <v>0</v>
      </c>
      <c r="I8" s="28"/>
      <c r="J8" s="2" t="s">
        <v>8</v>
      </c>
      <c r="K8" s="35">
        <f>7187.5+7187.5+7187.5+7187.5</f>
        <v>28750</v>
      </c>
      <c r="L8" s="142">
        <v>83645.5</v>
      </c>
      <c r="M8" s="177"/>
      <c r="N8" s="192">
        <f t="shared" si="0"/>
        <v>0.11000000000058208</v>
      </c>
      <c r="O8" s="151"/>
      <c r="P8" s="150"/>
    </row>
    <row r="9" spans="1:16" ht="16.5" thickBot="1" x14ac:dyDescent="0.3">
      <c r="A9" s="25"/>
      <c r="B9" s="16">
        <v>0</v>
      </c>
      <c r="C9" s="36"/>
      <c r="D9" s="181">
        <v>43598</v>
      </c>
      <c r="E9" s="178">
        <v>81300.94</v>
      </c>
      <c r="F9" s="150"/>
      <c r="G9" s="183">
        <v>43598</v>
      </c>
      <c r="H9" s="160">
        <v>90</v>
      </c>
      <c r="I9" s="126"/>
      <c r="J9" s="2" t="s">
        <v>202</v>
      </c>
      <c r="K9" s="29">
        <v>7929.45</v>
      </c>
      <c r="L9" s="148">
        <f>60000+67971</f>
        <v>127971</v>
      </c>
      <c r="M9" s="177"/>
      <c r="N9" s="192">
        <f>L9-E9+H9</f>
        <v>46760.06</v>
      </c>
      <c r="O9" s="150"/>
      <c r="P9" s="150"/>
    </row>
    <row r="10" spans="1:16" ht="16.5" thickBot="1" x14ac:dyDescent="0.3">
      <c r="A10" s="25"/>
      <c r="B10" s="16">
        <v>0</v>
      </c>
      <c r="C10" s="34"/>
      <c r="D10" s="181">
        <v>43599</v>
      </c>
      <c r="E10" s="178">
        <f>33777.31+61110.4</f>
        <v>94887.709999999992</v>
      </c>
      <c r="F10" s="150"/>
      <c r="G10" s="183">
        <v>43599</v>
      </c>
      <c r="H10" s="160">
        <v>0</v>
      </c>
      <c r="I10" s="200" t="s">
        <v>239</v>
      </c>
      <c r="J10" s="2" t="s">
        <v>203</v>
      </c>
      <c r="K10" s="29">
        <v>7300.88</v>
      </c>
      <c r="L10" s="142">
        <f>33777.5+61110.5</f>
        <v>94888</v>
      </c>
      <c r="M10" s="177"/>
      <c r="N10" s="192">
        <f t="shared" si="0"/>
        <v>0.29000000000814907</v>
      </c>
      <c r="O10" s="150"/>
      <c r="P10" s="150"/>
    </row>
    <row r="11" spans="1:16" ht="16.5" thickBot="1" x14ac:dyDescent="0.3">
      <c r="A11" s="25"/>
      <c r="B11" s="16">
        <v>0</v>
      </c>
      <c r="C11" s="34"/>
      <c r="D11" s="181">
        <v>43600</v>
      </c>
      <c r="E11" s="178">
        <v>44091.68</v>
      </c>
      <c r="F11" s="150"/>
      <c r="G11" s="183">
        <v>43600</v>
      </c>
      <c r="H11" s="160">
        <v>45</v>
      </c>
      <c r="I11" s="126"/>
      <c r="J11" s="2" t="s">
        <v>204</v>
      </c>
      <c r="K11" s="29">
        <v>7700.88</v>
      </c>
      <c r="L11" s="142">
        <v>44046.5</v>
      </c>
      <c r="M11" s="177"/>
      <c r="N11" s="172">
        <f>SUM(N5:N10)</f>
        <v>80851.850000000006</v>
      </c>
      <c r="O11" s="149"/>
      <c r="P11" s="150"/>
    </row>
    <row r="12" spans="1:16" ht="16.5" thickBot="1" x14ac:dyDescent="0.3">
      <c r="A12" s="25"/>
      <c r="B12" s="16">
        <v>0</v>
      </c>
      <c r="C12" s="34"/>
      <c r="D12" s="181">
        <v>43601</v>
      </c>
      <c r="E12" s="178">
        <v>66123.05</v>
      </c>
      <c r="F12" s="150"/>
      <c r="G12" s="183">
        <v>43601</v>
      </c>
      <c r="H12" s="160">
        <v>53</v>
      </c>
      <c r="I12" s="126"/>
      <c r="J12" s="2" t="s">
        <v>205</v>
      </c>
      <c r="K12" s="29">
        <v>7743.74</v>
      </c>
      <c r="L12" s="142">
        <v>66070</v>
      </c>
      <c r="M12" s="177"/>
      <c r="N12" s="174"/>
      <c r="O12" s="150"/>
      <c r="P12" s="150"/>
    </row>
    <row r="13" spans="1:16" ht="16.5" thickBot="1" x14ac:dyDescent="0.3">
      <c r="A13" s="25"/>
      <c r="B13" s="16">
        <v>0</v>
      </c>
      <c r="C13" s="34"/>
      <c r="D13" s="181">
        <v>43602</v>
      </c>
      <c r="E13" s="178">
        <v>66441.399999999994</v>
      </c>
      <c r="F13" s="150"/>
      <c r="G13" s="183">
        <v>43602</v>
      </c>
      <c r="H13" s="160">
        <v>0</v>
      </c>
      <c r="I13" s="126"/>
      <c r="J13" s="2" t="s">
        <v>148</v>
      </c>
      <c r="K13" s="29">
        <v>10343.74</v>
      </c>
      <c r="L13" s="142">
        <v>66441.5</v>
      </c>
      <c r="M13" s="177"/>
      <c r="N13" s="172"/>
      <c r="O13" s="150"/>
      <c r="P13" s="150"/>
    </row>
    <row r="14" spans="1:16" ht="16.5" thickBot="1" x14ac:dyDescent="0.3">
      <c r="A14" s="25"/>
      <c r="B14" s="16">
        <v>0</v>
      </c>
      <c r="C14" s="36"/>
      <c r="D14" s="181">
        <v>43603</v>
      </c>
      <c r="E14" s="178">
        <v>76826.259999999995</v>
      </c>
      <c r="F14" s="150"/>
      <c r="G14" s="183">
        <v>43603</v>
      </c>
      <c r="H14" s="160">
        <v>0</v>
      </c>
      <c r="I14" s="126"/>
      <c r="J14" s="41" t="s">
        <v>9</v>
      </c>
      <c r="K14" s="29">
        <v>0</v>
      </c>
      <c r="L14" s="142">
        <f>31826+20000+25000</f>
        <v>76826</v>
      </c>
      <c r="M14" s="177"/>
      <c r="N14" s="172"/>
      <c r="O14" s="150"/>
      <c r="P14" s="150"/>
    </row>
    <row r="15" spans="1:16" ht="16.5" thickBot="1" x14ac:dyDescent="0.3">
      <c r="A15" s="25"/>
      <c r="B15" s="16">
        <v>0</v>
      </c>
      <c r="C15" s="36"/>
      <c r="D15" s="181">
        <v>43604</v>
      </c>
      <c r="E15" s="178">
        <v>84037.01</v>
      </c>
      <c r="F15" s="150"/>
      <c r="G15" s="183">
        <v>43604</v>
      </c>
      <c r="H15" s="160">
        <v>0</v>
      </c>
      <c r="I15" s="28"/>
      <c r="J15" s="42"/>
      <c r="K15" s="29">
        <v>0</v>
      </c>
      <c r="L15" s="142">
        <v>84037</v>
      </c>
      <c r="M15" s="177"/>
      <c r="N15" s="172"/>
      <c r="O15" s="150"/>
      <c r="P15" s="150"/>
    </row>
    <row r="16" spans="1:16" ht="16.5" thickBot="1" x14ac:dyDescent="0.3">
      <c r="A16" s="25"/>
      <c r="B16" s="16">
        <v>0</v>
      </c>
      <c r="C16" s="36"/>
      <c r="D16" s="181">
        <v>43605</v>
      </c>
      <c r="E16" s="178">
        <v>64568.38</v>
      </c>
      <c r="F16" s="150"/>
      <c r="G16" s="183">
        <v>43605</v>
      </c>
      <c r="H16" s="160">
        <v>90</v>
      </c>
      <c r="I16" s="28"/>
      <c r="J16" s="43"/>
      <c r="K16" s="8">
        <v>0</v>
      </c>
      <c r="L16" s="142">
        <v>64478</v>
      </c>
      <c r="M16" s="177"/>
      <c r="N16" s="172"/>
      <c r="O16" s="150"/>
      <c r="P16" s="149"/>
    </row>
    <row r="17" spans="1:16" ht="16.5" thickBot="1" x14ac:dyDescent="0.3">
      <c r="A17" s="25"/>
      <c r="B17" s="16">
        <v>0</v>
      </c>
      <c r="C17" s="36"/>
      <c r="D17" s="181">
        <v>43606</v>
      </c>
      <c r="E17" s="178">
        <v>27005.41</v>
      </c>
      <c r="F17" s="150"/>
      <c r="G17" s="183">
        <v>43606</v>
      </c>
      <c r="H17" s="160">
        <v>50.2</v>
      </c>
      <c r="I17" s="166">
        <v>43595</v>
      </c>
      <c r="J17" s="167" t="s">
        <v>12</v>
      </c>
      <c r="K17" s="8">
        <v>900</v>
      </c>
      <c r="L17" s="142">
        <v>26955</v>
      </c>
      <c r="M17" s="177"/>
      <c r="N17" s="172"/>
      <c r="O17" s="150"/>
      <c r="P17" s="150"/>
    </row>
    <row r="18" spans="1:16" ht="16.5" thickBot="1" x14ac:dyDescent="0.3">
      <c r="A18" s="25"/>
      <c r="B18" s="16">
        <v>0</v>
      </c>
      <c r="C18" s="34"/>
      <c r="D18" s="181">
        <v>43607</v>
      </c>
      <c r="E18" s="178">
        <v>60635.75</v>
      </c>
      <c r="F18" s="150"/>
      <c r="G18" s="183">
        <v>43607</v>
      </c>
      <c r="H18" s="160">
        <v>0</v>
      </c>
      <c r="I18" s="44"/>
      <c r="K18" s="8"/>
      <c r="L18" s="142">
        <f>20000+40635</f>
        <v>60635</v>
      </c>
      <c r="M18" s="177"/>
      <c r="N18" s="172"/>
    </row>
    <row r="19" spans="1:16" ht="16.5" thickBot="1" x14ac:dyDescent="0.3">
      <c r="A19" s="25"/>
      <c r="B19" s="16">
        <v>0</v>
      </c>
      <c r="C19" s="36"/>
      <c r="D19" s="181">
        <v>43608</v>
      </c>
      <c r="E19" s="178">
        <v>54031.26</v>
      </c>
      <c r="F19" s="150"/>
      <c r="G19" s="183">
        <v>43608</v>
      </c>
      <c r="H19" s="160">
        <v>0</v>
      </c>
      <c r="I19" s="28"/>
      <c r="K19" s="8">
        <v>0</v>
      </c>
      <c r="L19" s="142">
        <v>54031</v>
      </c>
      <c r="M19" s="177"/>
      <c r="N19" s="175"/>
    </row>
    <row r="20" spans="1:16" ht="16.5" thickBot="1" x14ac:dyDescent="0.3">
      <c r="A20" s="25"/>
      <c r="B20" s="16">
        <v>0</v>
      </c>
      <c r="C20" s="46"/>
      <c r="D20" s="181">
        <v>43609</v>
      </c>
      <c r="E20" s="178">
        <v>49569.24</v>
      </c>
      <c r="F20" s="186"/>
      <c r="G20" s="183">
        <v>43609</v>
      </c>
      <c r="H20" s="160">
        <v>0</v>
      </c>
      <c r="I20" s="162"/>
      <c r="J20" s="48"/>
      <c r="K20" s="28" t="s">
        <v>10</v>
      </c>
      <c r="L20" s="142">
        <v>49569</v>
      </c>
      <c r="M20" s="177"/>
      <c r="N20" s="175"/>
    </row>
    <row r="21" spans="1:16" ht="16.5" thickBot="1" x14ac:dyDescent="0.3">
      <c r="A21" s="25"/>
      <c r="B21" s="16">
        <v>0</v>
      </c>
      <c r="C21" s="46"/>
      <c r="D21" s="181">
        <v>43610</v>
      </c>
      <c r="E21" s="178">
        <v>73965.06</v>
      </c>
      <c r="F21" s="150"/>
      <c r="G21" s="183">
        <v>43610</v>
      </c>
      <c r="H21" s="160">
        <v>15</v>
      </c>
      <c r="I21" s="33"/>
      <c r="J21" s="49"/>
      <c r="K21" s="28"/>
      <c r="L21" s="142">
        <f>30000+18950+25000</f>
        <v>73950</v>
      </c>
      <c r="M21" s="177"/>
      <c r="N21" s="172"/>
    </row>
    <row r="22" spans="1:16" ht="16.5" thickBot="1" x14ac:dyDescent="0.3">
      <c r="A22" s="25"/>
      <c r="B22" s="16">
        <v>0</v>
      </c>
      <c r="C22" s="36"/>
      <c r="D22" s="181">
        <v>43611</v>
      </c>
      <c r="E22" s="178">
        <v>94653.49</v>
      </c>
      <c r="F22" s="150"/>
      <c r="G22" s="183">
        <v>43611</v>
      </c>
      <c r="H22" s="160">
        <v>30</v>
      </c>
      <c r="I22" s="47" t="s">
        <v>11</v>
      </c>
      <c r="J22" s="50"/>
      <c r="K22" s="28">
        <v>0</v>
      </c>
      <c r="L22" s="142">
        <f>50000+44623.5</f>
        <v>94623.5</v>
      </c>
      <c r="M22" s="177"/>
      <c r="N22" s="175"/>
    </row>
    <row r="23" spans="1:16" ht="16.5" thickBot="1" x14ac:dyDescent="0.3">
      <c r="A23" s="25"/>
      <c r="B23" s="16">
        <v>0</v>
      </c>
      <c r="C23" s="36"/>
      <c r="D23" s="181">
        <v>43612</v>
      </c>
      <c r="E23" s="178">
        <v>87900.5</v>
      </c>
      <c r="F23" s="150"/>
      <c r="G23" s="183">
        <v>43612</v>
      </c>
      <c r="H23" s="160">
        <v>128</v>
      </c>
      <c r="I23" s="28"/>
      <c r="J23" s="49"/>
      <c r="K23" s="28">
        <v>0</v>
      </c>
      <c r="L23" s="142">
        <v>87772.5</v>
      </c>
      <c r="M23" s="177"/>
      <c r="N23" s="172"/>
    </row>
    <row r="24" spans="1:16" ht="16.5" thickBot="1" x14ac:dyDescent="0.3">
      <c r="A24" s="25"/>
      <c r="B24" s="16">
        <v>0</v>
      </c>
      <c r="C24" s="36"/>
      <c r="D24" s="181">
        <v>43613</v>
      </c>
      <c r="E24" s="178">
        <v>49826.51</v>
      </c>
      <c r="F24" s="150"/>
      <c r="G24" s="183">
        <v>43613</v>
      </c>
      <c r="H24" s="160">
        <v>0</v>
      </c>
      <c r="I24" s="28"/>
      <c r="J24" s="56"/>
      <c r="K24" s="28">
        <v>0</v>
      </c>
      <c r="L24" s="142">
        <v>49826.5</v>
      </c>
      <c r="M24" s="177"/>
      <c r="N24" s="172"/>
    </row>
    <row r="25" spans="1:16" ht="16.5" thickBot="1" x14ac:dyDescent="0.3">
      <c r="A25" s="25"/>
      <c r="B25" s="16">
        <v>0</v>
      </c>
      <c r="C25" s="46"/>
      <c r="D25" s="181">
        <v>43614</v>
      </c>
      <c r="E25" s="178">
        <v>96979.57</v>
      </c>
      <c r="F25" s="150"/>
      <c r="G25" s="183">
        <v>43614</v>
      </c>
      <c r="H25" s="160">
        <v>0</v>
      </c>
      <c r="I25" s="28"/>
      <c r="J25" s="52"/>
      <c r="K25" s="28"/>
      <c r="L25" s="142">
        <v>96979.5</v>
      </c>
      <c r="M25" s="177"/>
      <c r="N25" s="172"/>
    </row>
    <row r="26" spans="1:16" ht="16.5" thickBot="1" x14ac:dyDescent="0.3">
      <c r="A26" s="25"/>
      <c r="B26" s="16">
        <v>0</v>
      </c>
      <c r="C26" s="36"/>
      <c r="D26" s="181">
        <v>43615</v>
      </c>
      <c r="E26" s="178">
        <v>55883.8</v>
      </c>
      <c r="F26" s="150"/>
      <c r="G26" s="183">
        <v>43615</v>
      </c>
      <c r="H26" s="160">
        <v>0</v>
      </c>
      <c r="I26" s="40"/>
      <c r="J26" s="53"/>
      <c r="K26" s="28">
        <v>0</v>
      </c>
      <c r="L26" s="142">
        <f>35884+20000</f>
        <v>55884</v>
      </c>
      <c r="M26" s="177"/>
      <c r="N26" s="172"/>
    </row>
    <row r="27" spans="1:16" ht="16.5" thickBot="1" x14ac:dyDescent="0.3">
      <c r="A27" s="25"/>
      <c r="B27" s="16">
        <v>0</v>
      </c>
      <c r="C27" s="36"/>
      <c r="D27" s="181">
        <v>43616</v>
      </c>
      <c r="E27" s="178">
        <v>90016.95</v>
      </c>
      <c r="F27" s="150"/>
      <c r="G27" s="183">
        <v>43616</v>
      </c>
      <c r="H27" s="160">
        <v>0</v>
      </c>
      <c r="I27" s="40">
        <v>43616</v>
      </c>
      <c r="J27" s="54" t="s">
        <v>116</v>
      </c>
      <c r="K27" s="28">
        <v>870</v>
      </c>
      <c r="L27" s="142">
        <v>89147</v>
      </c>
      <c r="M27" s="177"/>
      <c r="N27" s="172"/>
    </row>
    <row r="28" spans="1:16" ht="16.5" thickBot="1" x14ac:dyDescent="0.3">
      <c r="A28" s="25"/>
      <c r="B28" s="16">
        <v>0</v>
      </c>
      <c r="C28" s="36"/>
      <c r="D28" s="181">
        <v>43617</v>
      </c>
      <c r="E28" s="178">
        <v>107479.7</v>
      </c>
      <c r="F28" s="150"/>
      <c r="G28" s="183">
        <v>43617</v>
      </c>
      <c r="H28" s="187">
        <v>0</v>
      </c>
      <c r="I28" s="28"/>
      <c r="J28" s="55"/>
      <c r="K28" s="28">
        <v>0</v>
      </c>
      <c r="L28" s="142">
        <v>107478</v>
      </c>
      <c r="M28" s="177"/>
      <c r="N28" s="172"/>
    </row>
    <row r="29" spans="1:16" ht="16.5" thickBot="1" x14ac:dyDescent="0.3">
      <c r="A29" s="1"/>
      <c r="B29" s="16">
        <v>0</v>
      </c>
      <c r="C29" s="36"/>
      <c r="D29" s="181">
        <v>43618</v>
      </c>
      <c r="E29" s="188">
        <v>93862.9</v>
      </c>
      <c r="F29" s="150"/>
      <c r="G29" s="183">
        <v>43618</v>
      </c>
      <c r="H29" s="187">
        <v>0</v>
      </c>
      <c r="I29" s="40"/>
      <c r="K29" s="28"/>
      <c r="L29" s="142">
        <v>93863</v>
      </c>
      <c r="M29" s="177"/>
      <c r="N29" s="172"/>
    </row>
    <row r="30" spans="1:16" ht="16.5" thickBot="1" x14ac:dyDescent="0.3">
      <c r="A30" s="1"/>
      <c r="B30" s="16">
        <v>0</v>
      </c>
      <c r="C30" s="36"/>
      <c r="D30" s="181">
        <v>43619</v>
      </c>
      <c r="E30" s="188">
        <v>64132.76</v>
      </c>
      <c r="F30" s="150"/>
      <c r="G30" s="183">
        <v>43619</v>
      </c>
      <c r="H30" s="187">
        <v>0</v>
      </c>
      <c r="I30" s="28"/>
      <c r="J30" s="55"/>
      <c r="K30" s="28"/>
      <c r="L30" s="142">
        <v>64133</v>
      </c>
      <c r="M30" s="177"/>
      <c r="N30" s="175"/>
    </row>
    <row r="31" spans="1:16" ht="16.5" thickBot="1" x14ac:dyDescent="0.3">
      <c r="A31" s="1"/>
      <c r="B31" s="16">
        <v>0</v>
      </c>
      <c r="C31" s="36"/>
      <c r="D31" s="181">
        <v>43620</v>
      </c>
      <c r="E31" s="188">
        <v>74073.61</v>
      </c>
      <c r="F31" s="150"/>
      <c r="G31" s="183">
        <v>43620</v>
      </c>
      <c r="H31" s="187">
        <v>0</v>
      </c>
      <c r="I31" s="28"/>
      <c r="J31" s="55"/>
      <c r="K31" s="28"/>
      <c r="L31" s="142">
        <v>74073.5</v>
      </c>
      <c r="M31" s="177"/>
      <c r="N31" s="175"/>
    </row>
    <row r="32" spans="1:16" ht="16.5" thickBot="1" x14ac:dyDescent="0.3">
      <c r="A32" s="1"/>
      <c r="B32" s="16">
        <v>0</v>
      </c>
      <c r="C32" s="36"/>
      <c r="D32" s="181">
        <v>43621</v>
      </c>
      <c r="E32" s="188">
        <v>111250.31</v>
      </c>
      <c r="F32" s="150"/>
      <c r="G32" s="183">
        <v>43621</v>
      </c>
      <c r="H32" s="187">
        <v>38</v>
      </c>
      <c r="I32" s="28"/>
      <c r="J32" s="55" t="s">
        <v>233</v>
      </c>
      <c r="K32" s="28"/>
      <c r="L32" s="142">
        <v>111212.5</v>
      </c>
      <c r="M32" s="177"/>
      <c r="N32" s="175"/>
    </row>
    <row r="33" spans="1:14" ht="16.5" thickBot="1" x14ac:dyDescent="0.3">
      <c r="A33" s="1"/>
      <c r="B33" s="16">
        <v>0</v>
      </c>
      <c r="C33" s="36"/>
      <c r="D33" s="181"/>
      <c r="E33" s="189">
        <v>0</v>
      </c>
      <c r="F33" s="150"/>
      <c r="G33" s="183"/>
      <c r="H33" s="187">
        <v>0</v>
      </c>
      <c r="I33" s="28"/>
      <c r="J33" s="55"/>
      <c r="K33" s="28"/>
      <c r="L33" s="142">
        <v>0</v>
      </c>
      <c r="M33" s="177"/>
      <c r="N33" s="175"/>
    </row>
    <row r="34" spans="1:14" ht="19.5" thickBot="1" x14ac:dyDescent="0.35">
      <c r="A34" s="58"/>
      <c r="B34" s="16">
        <v>0</v>
      </c>
      <c r="C34" s="12"/>
      <c r="D34" s="130"/>
      <c r="E34" s="132">
        <v>0</v>
      </c>
      <c r="F34" s="131"/>
      <c r="G34" s="129"/>
      <c r="H34" s="153">
        <v>0</v>
      </c>
      <c r="I34" s="5"/>
      <c r="J34" s="56"/>
      <c r="K34" s="29"/>
      <c r="L34" s="165">
        <f>SUM(L5:L33)</f>
        <v>2141519</v>
      </c>
      <c r="M34" s="201"/>
      <c r="N34" s="177"/>
    </row>
    <row r="35" spans="1:14" ht="15.75" thickBot="1" x14ac:dyDescent="0.3">
      <c r="A35" s="61"/>
      <c r="B35" s="62">
        <f>SUM(B5:B34)</f>
        <v>0</v>
      </c>
      <c r="D35" s="63" t="s">
        <v>15</v>
      </c>
      <c r="E35" s="64">
        <f>SUM(E5:E34)</f>
        <v>2062979.7500000002</v>
      </c>
      <c r="G35" s="180" t="s">
        <v>15</v>
      </c>
      <c r="H35" s="132">
        <f>SUM(H5:H34)</f>
        <v>539.20000000000005</v>
      </c>
      <c r="I35" s="28"/>
      <c r="J35" s="65" t="s">
        <v>15</v>
      </c>
      <c r="K35" s="29">
        <f>SUM(K5:K34)</f>
        <v>81436.69</v>
      </c>
      <c r="L35" s="9"/>
      <c r="M35" s="9"/>
      <c r="N35" s="168"/>
    </row>
    <row r="36" spans="1:14" x14ac:dyDescent="0.25">
      <c r="A36" s="1"/>
      <c r="B36" s="5"/>
      <c r="E36" s="5"/>
      <c r="I36" s="5"/>
      <c r="L36" s="9"/>
      <c r="M36" s="9"/>
      <c r="N36" s="168"/>
    </row>
    <row r="37" spans="1:14" ht="16.5" thickBot="1" x14ac:dyDescent="0.3">
      <c r="A37" s="1"/>
      <c r="B37" s="5">
        <v>0</v>
      </c>
      <c r="E37" s="5"/>
      <c r="G37" s="292" t="s">
        <v>16</v>
      </c>
      <c r="H37" s="293"/>
      <c r="I37" s="179"/>
      <c r="J37" s="294">
        <f>H35+K35</f>
        <v>81975.89</v>
      </c>
      <c r="K37" s="295"/>
      <c r="L37" s="67"/>
      <c r="M37" s="67"/>
      <c r="N37" s="176"/>
    </row>
    <row r="38" spans="1:14" ht="15.75" x14ac:dyDescent="0.25">
      <c r="A38" s="1"/>
      <c r="B38" s="69"/>
      <c r="C38" s="278" t="s">
        <v>17</v>
      </c>
      <c r="D38" s="278"/>
      <c r="E38" s="70">
        <f>E35-J37</f>
        <v>1981003.8600000003</v>
      </c>
      <c r="F38" s="71"/>
      <c r="G38" s="71"/>
      <c r="H38" s="72"/>
      <c r="I38" s="72"/>
      <c r="J38" s="73"/>
      <c r="K38" s="74"/>
      <c r="L38" s="67"/>
      <c r="M38" s="67"/>
      <c r="N38" s="176"/>
    </row>
    <row r="39" spans="1:14" x14ac:dyDescent="0.25">
      <c r="A39" s="1"/>
      <c r="B39" s="75"/>
      <c r="D39" s="2" t="s">
        <v>18</v>
      </c>
      <c r="E39" s="28">
        <v>87222.24</v>
      </c>
      <c r="H39" s="279" t="s">
        <v>19</v>
      </c>
      <c r="I39" s="279"/>
      <c r="J39" s="279">
        <f>E43</f>
        <v>155697.73000000027</v>
      </c>
      <c r="K39" s="280"/>
      <c r="L39" s="67"/>
      <c r="M39" s="67"/>
      <c r="N39" s="176"/>
    </row>
    <row r="40" spans="1:14" ht="15.75" thickBot="1" x14ac:dyDescent="0.3">
      <c r="A40" s="1"/>
      <c r="B40" s="75" t="s">
        <v>11</v>
      </c>
      <c r="C40" s="6" t="s">
        <v>20</v>
      </c>
      <c r="E40" s="76">
        <v>-2246186.79</v>
      </c>
      <c r="H40" s="281" t="s">
        <v>1</v>
      </c>
      <c r="I40" s="281"/>
      <c r="J40" s="282">
        <f>-B4</f>
        <v>-206771</v>
      </c>
      <c r="K40" s="283"/>
      <c r="L40" s="67"/>
      <c r="M40" s="67"/>
      <c r="N40" s="176"/>
    </row>
    <row r="41" spans="1:14" ht="20.25" thickTop="1" thickBot="1" x14ac:dyDescent="0.3">
      <c r="A41" s="1"/>
      <c r="B41" s="75"/>
      <c r="D41" s="2" t="s">
        <v>21</v>
      </c>
      <c r="E41" s="28">
        <f>SUM(E38:E40)</f>
        <v>-177960.68999999971</v>
      </c>
      <c r="H41" s="310" t="s">
        <v>200</v>
      </c>
      <c r="I41" s="311"/>
      <c r="J41" s="312">
        <f>SUM(J38:K40)</f>
        <v>-51073.269999999728</v>
      </c>
      <c r="K41" s="313"/>
      <c r="L41" s="67"/>
      <c r="M41" s="67"/>
      <c r="N41" s="176"/>
    </row>
    <row r="42" spans="1:14" ht="16.5" thickBot="1" x14ac:dyDescent="0.3">
      <c r="A42" s="1"/>
      <c r="B42" s="75"/>
      <c r="C42" s="10" t="s">
        <v>124</v>
      </c>
      <c r="D42" s="77"/>
      <c r="E42" s="78">
        <v>333658.42</v>
      </c>
      <c r="F42" s="191">
        <v>43621</v>
      </c>
      <c r="J42" s="288"/>
      <c r="K42" s="289"/>
      <c r="L42" s="67"/>
      <c r="M42" s="67"/>
      <c r="N42" s="176"/>
    </row>
    <row r="43" spans="1:14" ht="19.5" thickBot="1" x14ac:dyDescent="0.35">
      <c r="A43" s="1"/>
      <c r="B43" s="79"/>
      <c r="C43" s="80"/>
      <c r="D43" s="80" t="s">
        <v>23</v>
      </c>
      <c r="E43" s="81">
        <f>E42+E41</f>
        <v>155697.73000000027</v>
      </c>
      <c r="F43" s="82"/>
      <c r="G43" s="82"/>
      <c r="H43" s="202" t="s">
        <v>241</v>
      </c>
      <c r="I43" s="196"/>
      <c r="J43" s="197"/>
      <c r="K43" s="198"/>
      <c r="L43" s="199"/>
      <c r="M43" s="67"/>
      <c r="N43" s="176"/>
    </row>
    <row r="47" spans="1:14" x14ac:dyDescent="0.25">
      <c r="D47" s="2" t="s">
        <v>11</v>
      </c>
    </row>
  </sheetData>
  <mergeCells count="16">
    <mergeCell ref="H41:I41"/>
    <mergeCell ref="J41:K41"/>
    <mergeCell ref="J42:K42"/>
    <mergeCell ref="G37:H37"/>
    <mergeCell ref="J37:K37"/>
    <mergeCell ref="C38:D38"/>
    <mergeCell ref="H39:I39"/>
    <mergeCell ref="J39:K39"/>
    <mergeCell ref="H40:I40"/>
    <mergeCell ref="J40:K40"/>
    <mergeCell ref="B1:J1"/>
    <mergeCell ref="A3:B3"/>
    <mergeCell ref="D3:F3"/>
    <mergeCell ref="G3:H3"/>
    <mergeCell ref="D4:E4"/>
    <mergeCell ref="H4:K4"/>
  </mergeCells>
  <pageMargins left="0.70866141732283472" right="0.70866141732283472" top="0.15748031496062992" bottom="7.874015748031496E-2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E N E R O   2019   </vt:lpstr>
      <vt:lpstr>SALIDAS  ENERO  2019  </vt:lpstr>
      <vt:lpstr>F E B R E R O     2019   </vt:lpstr>
      <vt:lpstr>SALIDAS  FEBRERO  2019   </vt:lpstr>
      <vt:lpstr>M A R Z O    2019    </vt:lpstr>
      <vt:lpstr>SALIDAS  MARZO   2019   </vt:lpstr>
      <vt:lpstr>ABRIL    2019      </vt:lpstr>
      <vt:lpstr>SALIDAS  ABRIL   2019   </vt:lpstr>
      <vt:lpstr>M A Y O    2019     </vt:lpstr>
      <vt:lpstr>SALIDAS   M A Y O   2019  </vt:lpstr>
      <vt:lpstr>J U N I O     2019     </vt:lpstr>
      <vt:lpstr>SALIDAS   J U N I O    2019   </vt:lpstr>
      <vt:lpstr>J U L I O     2019    </vt:lpstr>
      <vt:lpstr>SALIDAS  J U L I O     2019   </vt:lpstr>
      <vt:lpstr>A G O S T O     2019     </vt:lpstr>
      <vt:lpstr>SALIDAS AGOSTO  2019   </vt:lpstr>
      <vt:lpstr>SEPTIEMBRE   2 0 1 9    </vt:lpstr>
      <vt:lpstr>SALIDAS SEPTIEMBRE  2019   </vt:lpstr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2019-10-07T20:05:25Z</cp:lastPrinted>
  <dcterms:created xsi:type="dcterms:W3CDTF">2019-01-21T18:28:16Z</dcterms:created>
  <dcterms:modified xsi:type="dcterms:W3CDTF">2019-10-07T20:05:35Z</dcterms:modified>
</cp:coreProperties>
</file>