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CAE4CF34-B093-44EE-B4CF-C93EE8786C5B}" xr6:coauthVersionLast="45" xr6:coauthVersionMax="45" xr10:uidLastSave="{00000000-0000-0000-0000-000000000000}"/>
  <bookViews>
    <workbookView xWindow="7125" yWindow="780" windowWidth="16095" windowHeight="1176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state="hidden" r:id="rId4"/>
    <sheet name="CONTRA EXCEL   pulpa blanca" sheetId="129" r:id="rId5"/>
    <sheet name="CORBATA SWIFT  " sheetId="142" r:id="rId6"/>
    <sheet name="BUCHE  SEABOARD   " sheetId="146" r:id="rId7"/>
    <sheet name=" Buche  Swif         " sheetId="155" r:id="rId8"/>
    <sheet name="    N A N A       " sheetId="154" state="hidden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PAVO ENTERO" sheetId="94" state="hidden" r:id="rId20"/>
    <sheet name="LENGUA DE CERDO " sheetId="133" r:id="rId21"/>
    <sheet name="LOMO DE CAÑA    " sheetId="150" r:id="rId22"/>
    <sheet name="TARAS DE PLASTICO " sheetId="132" r:id="rId23"/>
    <sheet name="Hoja5" sheetId="134" r:id="rId24"/>
    <sheet name="Hoja1" sheetId="148" r:id="rId25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38" l="1"/>
  <c r="Q28" i="38" l="1"/>
  <c r="Q29" i="38" l="1"/>
  <c r="J8" i="14" l="1"/>
  <c r="I8" i="14"/>
  <c r="F20" i="14"/>
  <c r="D20" i="14"/>
  <c r="D19" i="14"/>
  <c r="F19" i="14" s="1"/>
  <c r="F18" i="14"/>
  <c r="D18" i="14"/>
  <c r="D17" i="14"/>
  <c r="F17" i="14" s="1"/>
  <c r="F16" i="14"/>
  <c r="D16" i="14"/>
  <c r="D15" i="14"/>
  <c r="F15" i="14" s="1"/>
  <c r="F14" i="14"/>
  <c r="D14" i="14"/>
  <c r="D13" i="14"/>
  <c r="F13" i="14" s="1"/>
  <c r="F12" i="14"/>
  <c r="D12" i="14"/>
  <c r="D11" i="14"/>
  <c r="F11" i="14" s="1"/>
  <c r="F10" i="14"/>
  <c r="D10" i="14"/>
  <c r="D9" i="14"/>
  <c r="F9" i="14" s="1"/>
  <c r="F8" i="14"/>
  <c r="D8" i="14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Z8" i="40" l="1"/>
  <c r="AB8" i="40" s="1"/>
  <c r="Z9" i="40"/>
  <c r="AB9" i="40"/>
  <c r="Z10" i="40"/>
  <c r="AB10" i="40"/>
  <c r="O12" i="40"/>
  <c r="Q12" i="40" s="1"/>
  <c r="O13" i="40"/>
  <c r="Q13" i="40"/>
  <c r="O14" i="40"/>
  <c r="Q14" i="40" s="1"/>
  <c r="O15" i="40"/>
  <c r="Q15" i="40"/>
  <c r="O16" i="40"/>
  <c r="Q16" i="40" s="1"/>
  <c r="O17" i="40"/>
  <c r="Q17" i="40"/>
  <c r="O18" i="40"/>
  <c r="Q18" i="40" s="1"/>
  <c r="O19" i="40"/>
  <c r="Q19" i="40"/>
  <c r="O20" i="40"/>
  <c r="Q20" i="40" s="1"/>
  <c r="O11" i="40" l="1"/>
  <c r="Q11" i="40" s="1"/>
  <c r="Q9" i="129"/>
  <c r="P9" i="142" l="1"/>
  <c r="F27" i="129" l="1"/>
  <c r="F26" i="129"/>
  <c r="F25" i="129"/>
  <c r="Q20" i="38" l="1"/>
  <c r="Q21" i="38"/>
  <c r="Q18" i="38" l="1"/>
  <c r="Q25" i="38" l="1"/>
  <c r="Q16" i="38"/>
  <c r="Q19" i="38"/>
  <c r="Q17" i="38"/>
  <c r="T110" i="38" l="1"/>
  <c r="T111" i="38"/>
  <c r="S110" i="38"/>
  <c r="S111" i="38"/>
  <c r="Q23" i="38" l="1"/>
  <c r="Q24" i="38"/>
  <c r="F18" i="128" l="1"/>
  <c r="F17" i="128"/>
  <c r="F16" i="128"/>
  <c r="F15" i="128"/>
  <c r="F14" i="128"/>
  <c r="F13" i="128"/>
  <c r="O77" i="129" l="1"/>
  <c r="N77" i="129"/>
  <c r="P80" i="129" s="1"/>
  <c r="Q75" i="129"/>
  <c r="Q74" i="129"/>
  <c r="Q73" i="129"/>
  <c r="Q72" i="129"/>
  <c r="Q71" i="129"/>
  <c r="Q70" i="129"/>
  <c r="Q69" i="129"/>
  <c r="Q68" i="129"/>
  <c r="Q67" i="129"/>
  <c r="Q66" i="129"/>
  <c r="Q65" i="129"/>
  <c r="Q64" i="129"/>
  <c r="Q63" i="129"/>
  <c r="Q62" i="129"/>
  <c r="Q61" i="129"/>
  <c r="Q60" i="129"/>
  <c r="Q59" i="129"/>
  <c r="Q58" i="129"/>
  <c r="Q57" i="129"/>
  <c r="Q56" i="129"/>
  <c r="Q55" i="129"/>
  <c r="Q54" i="129"/>
  <c r="Q53" i="129"/>
  <c r="Q52" i="129"/>
  <c r="Q51" i="129"/>
  <c r="Q50" i="129"/>
  <c r="Q49" i="129"/>
  <c r="Q48" i="129"/>
  <c r="Q47" i="129"/>
  <c r="Q46" i="129"/>
  <c r="Q45" i="129"/>
  <c r="Q44" i="129"/>
  <c r="Q43" i="129"/>
  <c r="Q42" i="129"/>
  <c r="Q41" i="129"/>
  <c r="Q40" i="129"/>
  <c r="Q39" i="129"/>
  <c r="Q38" i="129"/>
  <c r="Q37" i="129"/>
  <c r="Q36" i="129"/>
  <c r="Q35" i="129"/>
  <c r="Q34" i="129"/>
  <c r="Q33" i="129"/>
  <c r="Q32" i="129"/>
  <c r="Q31" i="129"/>
  <c r="Q30" i="129"/>
  <c r="Q29" i="129"/>
  <c r="Q28" i="129"/>
  <c r="Q27" i="129"/>
  <c r="Q26" i="129"/>
  <c r="Q25" i="129"/>
  <c r="Q24" i="129"/>
  <c r="Q23" i="129"/>
  <c r="Q22" i="129"/>
  <c r="Q21" i="129"/>
  <c r="Q20" i="129"/>
  <c r="Q19" i="129"/>
  <c r="Q18" i="129"/>
  <c r="Q17" i="129"/>
  <c r="Q16" i="129"/>
  <c r="Q15" i="129"/>
  <c r="Q14" i="129"/>
  <c r="Q13" i="129"/>
  <c r="Q12" i="129"/>
  <c r="Q11" i="129"/>
  <c r="Q10" i="129"/>
  <c r="T9" i="129"/>
  <c r="M9" i="129"/>
  <c r="M10" i="129" s="1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Y62" i="40"/>
  <c r="AA65" i="40" s="1"/>
  <c r="Z61" i="40"/>
  <c r="AB61" i="40" s="1"/>
  <c r="Z60" i="40"/>
  <c r="AB60" i="40" s="1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Z15" i="40"/>
  <c r="AB15" i="40" s="1"/>
  <c r="Z14" i="40"/>
  <c r="AB14" i="40" s="1"/>
  <c r="Z13" i="40"/>
  <c r="AB13" i="40" s="1"/>
  <c r="Z12" i="40"/>
  <c r="AB12" i="40" s="1"/>
  <c r="Z11" i="40"/>
  <c r="AB11" i="40" s="1"/>
  <c r="AF8" i="40"/>
  <c r="AF9" i="40" s="1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Q77" i="129"/>
  <c r="P82" i="129" s="1"/>
  <c r="AE8" i="40"/>
  <c r="AE9" i="40" s="1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AB62" i="40"/>
  <c r="Z62" i="40"/>
  <c r="R5" i="129" l="1"/>
  <c r="S6" i="129" s="1"/>
  <c r="AA67" i="40"/>
  <c r="AC5" i="40"/>
  <c r="AD5" i="40" s="1"/>
  <c r="Q7" i="38" l="1"/>
  <c r="Q13" i="38"/>
  <c r="Q15" i="38"/>
  <c r="Q14" i="38"/>
  <c r="Q11" i="38"/>
  <c r="Q10" i="38" l="1"/>
  <c r="Q12" i="38" l="1"/>
  <c r="Q9" i="38"/>
  <c r="Q8" i="38"/>
  <c r="U26" i="8" l="1"/>
  <c r="X29" i="8" s="1"/>
  <c r="S26" i="8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8" i="8" s="1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N15" i="130"/>
  <c r="P15" i="130" s="1"/>
  <c r="N14" i="130"/>
  <c r="P14" i="130" s="1"/>
  <c r="N13" i="130"/>
  <c r="P13" i="130" s="1"/>
  <c r="N12" i="130"/>
  <c r="P12" i="130" s="1"/>
  <c r="N11" i="130"/>
  <c r="P11" i="130" s="1"/>
  <c r="N10" i="130"/>
  <c r="P10" i="130" s="1"/>
  <c r="N9" i="130"/>
  <c r="P9" i="130" s="1"/>
  <c r="N8" i="130"/>
  <c r="P8" i="130" s="1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N61" i="139"/>
  <c r="O63" i="139" s="1"/>
  <c r="M12" i="139"/>
  <c r="O11" i="139"/>
  <c r="Q11" i="139" s="1"/>
  <c r="M11" i="139"/>
  <c r="O10" i="139"/>
  <c r="Q10" i="139" s="1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O9" i="139"/>
  <c r="U8" i="40"/>
  <c r="X26" i="8" l="1"/>
  <c r="Y5" i="8" s="1"/>
  <c r="Z5" i="8" s="1"/>
  <c r="V26" i="8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S18" i="130" s="1"/>
  <c r="S19" i="130" s="1"/>
  <c r="S20" i="130" s="1"/>
  <c r="S21" i="130" s="1"/>
  <c r="S22" i="130" s="1"/>
  <c r="S23" i="130" s="1"/>
  <c r="S24" i="130" s="1"/>
  <c r="S25" i="130" s="1"/>
  <c r="S26" i="130" s="1"/>
  <c r="S27" i="130" s="1"/>
  <c r="P29" i="130"/>
  <c r="N29" i="130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M13" i="139"/>
  <c r="O12" i="139"/>
  <c r="Q12" i="139" s="1"/>
  <c r="Q9" i="139"/>
  <c r="T99" i="38"/>
  <c r="S99" i="38"/>
  <c r="S100" i="38"/>
  <c r="T100" i="38" s="1"/>
  <c r="I99" i="38"/>
  <c r="I100" i="38"/>
  <c r="I101" i="38"/>
  <c r="I102" i="38"/>
  <c r="I103" i="38"/>
  <c r="X28" i="8" l="1"/>
  <c r="P31" i="130"/>
  <c r="Q5" i="130"/>
  <c r="R5" i="130" s="1"/>
  <c r="P55" i="65"/>
  <c r="R5" i="65"/>
  <c r="S5" i="65" s="1"/>
  <c r="M14" i="139"/>
  <c r="O13" i="139"/>
  <c r="T9" i="139"/>
  <c r="T10" i="139" s="1"/>
  <c r="T11" i="139" s="1"/>
  <c r="T12" i="139" s="1"/>
  <c r="Q6" i="38"/>
  <c r="Q5" i="38"/>
  <c r="Q13" i="139" l="1"/>
  <c r="T13" i="139" s="1"/>
  <c r="M15" i="139"/>
  <c r="O14" i="139"/>
  <c r="Q14" i="139" s="1"/>
  <c r="Q4" i="38"/>
  <c r="T14" i="139" l="1"/>
  <c r="M16" i="139"/>
  <c r="O15" i="139"/>
  <c r="N34" i="142"/>
  <c r="M34" i="142"/>
  <c r="O37" i="142" s="1"/>
  <c r="P32" i="142"/>
  <c r="P31" i="142"/>
  <c r="P30" i="142"/>
  <c r="P29" i="142"/>
  <c r="P28" i="142"/>
  <c r="P27" i="142"/>
  <c r="P26" i="142"/>
  <c r="P25" i="142"/>
  <c r="P24" i="142"/>
  <c r="P23" i="142"/>
  <c r="P22" i="142"/>
  <c r="P21" i="142"/>
  <c r="P20" i="142"/>
  <c r="P19" i="142"/>
  <c r="P18" i="142"/>
  <c r="P17" i="142"/>
  <c r="P16" i="142"/>
  <c r="P15" i="142"/>
  <c r="P14" i="142"/>
  <c r="P13" i="142"/>
  <c r="P12" i="142"/>
  <c r="P11" i="142"/>
  <c r="P10" i="142"/>
  <c r="Q15" i="139" l="1"/>
  <c r="M17" i="139"/>
  <c r="O16" i="139"/>
  <c r="Q16" i="139" s="1"/>
  <c r="P34" i="142"/>
  <c r="Q5" i="142" s="1"/>
  <c r="R6" i="142" s="1"/>
  <c r="J8" i="40"/>
  <c r="M18" i="139" l="1"/>
  <c r="O17" i="139"/>
  <c r="Q17" i="139" s="1"/>
  <c r="T15" i="139"/>
  <c r="T16" i="139" s="1"/>
  <c r="O39" i="142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10" i="40"/>
  <c r="Q10" i="40" s="1"/>
  <c r="O9" i="40"/>
  <c r="Q9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T8" i="40" s="1"/>
  <c r="I110" i="38"/>
  <c r="C36" i="155"/>
  <c r="F39" i="155" s="1"/>
  <c r="A36" i="155"/>
  <c r="D35" i="155"/>
  <c r="F35" i="155" s="1"/>
  <c r="D34" i="155"/>
  <c r="F34" i="155" s="1"/>
  <c r="D33" i="155"/>
  <c r="F33" i="155" s="1"/>
  <c r="D32" i="155"/>
  <c r="F32" i="155" s="1"/>
  <c r="D31" i="155"/>
  <c r="F31" i="155" s="1"/>
  <c r="D30" i="155"/>
  <c r="F30" i="155" s="1"/>
  <c r="D29" i="155"/>
  <c r="F29" i="155" s="1"/>
  <c r="D28" i="155"/>
  <c r="F28" i="155" s="1"/>
  <c r="D27" i="155"/>
  <c r="F27" i="155" s="1"/>
  <c r="D26" i="155"/>
  <c r="F26" i="155" s="1"/>
  <c r="D25" i="155"/>
  <c r="F25" i="155" s="1"/>
  <c r="D24" i="155"/>
  <c r="F24" i="155" s="1"/>
  <c r="D23" i="155"/>
  <c r="F23" i="155" s="1"/>
  <c r="D22" i="155"/>
  <c r="F22" i="155" s="1"/>
  <c r="D21" i="155"/>
  <c r="F21" i="155" s="1"/>
  <c r="D20" i="155"/>
  <c r="F20" i="155" s="1"/>
  <c r="D19" i="155"/>
  <c r="F19" i="155" s="1"/>
  <c r="D18" i="155"/>
  <c r="F18" i="155" s="1"/>
  <c r="D17" i="155"/>
  <c r="F17" i="155" s="1"/>
  <c r="D16" i="155"/>
  <c r="F16" i="155" s="1"/>
  <c r="D15" i="155"/>
  <c r="F15" i="155" s="1"/>
  <c r="D14" i="155"/>
  <c r="F14" i="155" s="1"/>
  <c r="D13" i="155"/>
  <c r="F13" i="155" s="1"/>
  <c r="D12" i="155"/>
  <c r="F12" i="155" s="1"/>
  <c r="D11" i="155"/>
  <c r="F11" i="155" s="1"/>
  <c r="D10" i="155"/>
  <c r="F10" i="155" s="1"/>
  <c r="D9" i="155"/>
  <c r="D8" i="155"/>
  <c r="F8" i="155" s="1"/>
  <c r="T17" i="139" l="1"/>
  <c r="O18" i="139"/>
  <c r="Q18" i="139" s="1"/>
  <c r="M19" i="139"/>
  <c r="T9" i="40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D36" i="155"/>
  <c r="I8" i="155"/>
  <c r="F9" i="155"/>
  <c r="F36" i="155" s="1"/>
  <c r="J9" i="139"/>
  <c r="O19" i="139" l="1"/>
  <c r="Q19" i="139" s="1"/>
  <c r="M20" i="139"/>
  <c r="T18" i="139"/>
  <c r="P67" i="40"/>
  <c r="R5" i="40"/>
  <c r="S5" i="40" s="1"/>
  <c r="G5" i="155"/>
  <c r="H5" i="155" s="1"/>
  <c r="F38" i="155"/>
  <c r="I9" i="155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T19" i="139" l="1"/>
  <c r="M21" i="139"/>
  <c r="O20" i="139"/>
  <c r="Q20" i="139" s="1"/>
  <c r="T20" i="139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C61" i="139"/>
  <c r="D63" i="139" s="1"/>
  <c r="D11" i="139"/>
  <c r="F11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BK5" i="1"/>
  <c r="BT5" i="1"/>
  <c r="CC5" i="1"/>
  <c r="CL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M22" i="139"/>
  <c r="O21" i="139"/>
  <c r="Q21" i="139" s="1"/>
  <c r="T21" i="139" s="1"/>
  <c r="BI33" i="1"/>
  <c r="BR33" i="1"/>
  <c r="CJ33" i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B13" i="139"/>
  <c r="D12" i="139"/>
  <c r="F12" i="139" s="1"/>
  <c r="F9" i="139"/>
  <c r="I9" i="139" s="1"/>
  <c r="I10" i="139" s="1"/>
  <c r="I11" i="139" s="1"/>
  <c r="I12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I8" i="4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5" i="129"/>
  <c r="F34" i="129"/>
  <c r="F33" i="129"/>
  <c r="F32" i="129"/>
  <c r="F31" i="129"/>
  <c r="F30" i="129"/>
  <c r="F29" i="129"/>
  <c r="F28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M23" i="139" l="1"/>
  <c r="O22" i="139"/>
  <c r="Q22" i="139" s="1"/>
  <c r="T22" i="139" s="1"/>
  <c r="F77" i="129"/>
  <c r="G5" i="129" s="1"/>
  <c r="H6" i="129" s="1"/>
  <c r="F31" i="130"/>
  <c r="G5" i="130"/>
  <c r="H5" i="130" s="1"/>
  <c r="E55" i="65"/>
  <c r="G5" i="65"/>
  <c r="H5" i="65" s="1"/>
  <c r="B14" i="139"/>
  <c r="D13" i="139"/>
  <c r="F13" i="139" s="1"/>
  <c r="I13" i="139" s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M24" i="139" l="1"/>
  <c r="O23" i="139"/>
  <c r="Q23" i="139" s="1"/>
  <c r="T23" i="139" s="1"/>
  <c r="E82" i="129"/>
  <c r="B15" i="139"/>
  <c r="D14" i="139"/>
  <c r="F14" i="139" s="1"/>
  <c r="I14" i="139" s="1"/>
  <c r="E67" i="40"/>
  <c r="G5" i="40"/>
  <c r="H5" i="40" s="1"/>
  <c r="M25" i="139" l="1"/>
  <c r="O24" i="139"/>
  <c r="Q24" i="139" s="1"/>
  <c r="T24" i="139" s="1"/>
  <c r="D15" i="139"/>
  <c r="B16" i="139"/>
  <c r="D36" i="146"/>
  <c r="F36" i="146" s="1"/>
  <c r="D37" i="146"/>
  <c r="F37" i="146" s="1"/>
  <c r="D38" i="146"/>
  <c r="F38" i="146" s="1"/>
  <c r="D39" i="146"/>
  <c r="F39" i="146" s="1"/>
  <c r="D40" i="146"/>
  <c r="F40" i="146" s="1"/>
  <c r="D41" i="146"/>
  <c r="F41" i="146" s="1"/>
  <c r="D42" i="146"/>
  <c r="F42" i="146" s="1"/>
  <c r="D43" i="146"/>
  <c r="F43" i="146" s="1"/>
  <c r="D44" i="146"/>
  <c r="F44" i="146" s="1"/>
  <c r="D45" i="146"/>
  <c r="F45" i="146"/>
  <c r="D46" i="146"/>
  <c r="F46" i="146" s="1"/>
  <c r="D47" i="146"/>
  <c r="F47" i="146"/>
  <c r="Y32" i="1"/>
  <c r="Y33" i="1" s="1"/>
  <c r="W32" i="1"/>
  <c r="P32" i="1"/>
  <c r="P33" i="1" s="1"/>
  <c r="N32" i="1"/>
  <c r="AA5" i="1"/>
  <c r="R5" i="1"/>
  <c r="M26" i="139" l="1"/>
  <c r="O25" i="139"/>
  <c r="Q25" i="139" s="1"/>
  <c r="T25" i="139" s="1"/>
  <c r="B17" i="139"/>
  <c r="D16" i="139"/>
  <c r="F16" i="139" s="1"/>
  <c r="F15" i="139"/>
  <c r="I15" i="139" s="1"/>
  <c r="F19" i="128"/>
  <c r="F20" i="128"/>
  <c r="F21" i="128"/>
  <c r="F22" i="128"/>
  <c r="F23" i="128"/>
  <c r="F24" i="128"/>
  <c r="F25" i="128"/>
  <c r="M8" i="8"/>
  <c r="O8" i="8" s="1"/>
  <c r="D11" i="8"/>
  <c r="F11" i="8" s="1"/>
  <c r="D12" i="8"/>
  <c r="F12" i="8"/>
  <c r="D13" i="8"/>
  <c r="F13" i="8" s="1"/>
  <c r="D14" i="8"/>
  <c r="F14" i="8" s="1"/>
  <c r="I16" i="139" l="1"/>
  <c r="O26" i="139"/>
  <c r="Q26" i="139" s="1"/>
  <c r="T26" i="139" s="1"/>
  <c r="M27" i="139"/>
  <c r="B18" i="139"/>
  <c r="D17" i="139"/>
  <c r="F17" i="139" s="1"/>
  <c r="I17" i="139" s="1"/>
  <c r="O27" i="139" l="1"/>
  <c r="Q27" i="139" s="1"/>
  <c r="T27" i="139" s="1"/>
  <c r="M28" i="139"/>
  <c r="B19" i="139"/>
  <c r="D18" i="139"/>
  <c r="F18" i="139" s="1"/>
  <c r="I18" i="139" s="1"/>
  <c r="M29" i="139" l="1"/>
  <c r="O28" i="139"/>
  <c r="Q28" i="139" s="1"/>
  <c r="T28" i="139" s="1"/>
  <c r="B20" i="139"/>
  <c r="B21" i="139" s="1"/>
  <c r="D19" i="139"/>
  <c r="F19" i="139" s="1"/>
  <c r="I19" i="139" s="1"/>
  <c r="M30" i="139" l="1"/>
  <c r="O29" i="139"/>
  <c r="Q29" i="139" s="1"/>
  <c r="T29" i="139" s="1"/>
  <c r="D20" i="139"/>
  <c r="F20" i="139" s="1"/>
  <c r="I20" i="139" s="1"/>
  <c r="F11" i="142"/>
  <c r="F12" i="142"/>
  <c r="F13" i="142"/>
  <c r="F14" i="142"/>
  <c r="F15" i="142"/>
  <c r="F16" i="142"/>
  <c r="F17" i="142"/>
  <c r="F18" i="142"/>
  <c r="F19" i="142"/>
  <c r="F20" i="142"/>
  <c r="F22" i="142"/>
  <c r="F23" i="142"/>
  <c r="F24" i="142"/>
  <c r="F25" i="142"/>
  <c r="F26" i="142"/>
  <c r="F27" i="142"/>
  <c r="F28" i="142"/>
  <c r="F29" i="142"/>
  <c r="F30" i="142"/>
  <c r="F31" i="142"/>
  <c r="F32" i="142"/>
  <c r="F10" i="142"/>
  <c r="M31" i="139" l="1"/>
  <c r="O30" i="139"/>
  <c r="Q30" i="139" s="1"/>
  <c r="T30" i="139" s="1"/>
  <c r="B22" i="139"/>
  <c r="D21" i="139"/>
  <c r="F21" i="139" s="1"/>
  <c r="I21" i="139" s="1"/>
  <c r="O31" i="139" l="1"/>
  <c r="Q31" i="139" s="1"/>
  <c r="T31" i="139" s="1"/>
  <c r="M32" i="139"/>
  <c r="B23" i="139"/>
  <c r="D22" i="139"/>
  <c r="F22" i="139" s="1"/>
  <c r="I22" i="139" s="1"/>
  <c r="M33" i="139" l="1"/>
  <c r="O32" i="139"/>
  <c r="Q32" i="139" s="1"/>
  <c r="T32" i="139" s="1"/>
  <c r="B24" i="139"/>
  <c r="D23" i="139"/>
  <c r="F23" i="139" s="1"/>
  <c r="I23" i="139" s="1"/>
  <c r="M34" i="139" l="1"/>
  <c r="O33" i="139"/>
  <c r="Q33" i="139" s="1"/>
  <c r="T33" i="139" s="1"/>
  <c r="B25" i="139"/>
  <c r="D24" i="139"/>
  <c r="F24" i="139" s="1"/>
  <c r="I24" i="139" s="1"/>
  <c r="D8" i="117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M35" i="139" l="1"/>
  <c r="O34" i="139"/>
  <c r="Q34" i="139" s="1"/>
  <c r="T34" i="139" s="1"/>
  <c r="B26" i="139"/>
  <c r="D25" i="139"/>
  <c r="F25" i="139" s="1"/>
  <c r="I25" i="139" s="1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D62" i="117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O35" i="139" l="1"/>
  <c r="Q35" i="139" s="1"/>
  <c r="T35" i="139" s="1"/>
  <c r="M36" i="139"/>
  <c r="O26" i="8"/>
  <c r="O28" i="8" s="1"/>
  <c r="B27" i="139"/>
  <c r="D26" i="139"/>
  <c r="F26" i="139" s="1"/>
  <c r="I26" i="139" s="1"/>
  <c r="E65" i="117"/>
  <c r="G5" i="117"/>
  <c r="H5" i="117" s="1"/>
  <c r="P5" i="8"/>
  <c r="Q5" i="8" s="1"/>
  <c r="M26" i="8"/>
  <c r="M37" i="139" l="1"/>
  <c r="O36" i="139"/>
  <c r="Q36" i="139" s="1"/>
  <c r="T36" i="139" s="1"/>
  <c r="B28" i="139"/>
  <c r="D27" i="139"/>
  <c r="F27" i="139" s="1"/>
  <c r="I27" i="139" s="1"/>
  <c r="M38" i="139" l="1"/>
  <c r="O37" i="139"/>
  <c r="Q37" i="139" s="1"/>
  <c r="T37" i="139" s="1"/>
  <c r="B29" i="139"/>
  <c r="D28" i="139"/>
  <c r="F28" i="139" s="1"/>
  <c r="I28" i="139" s="1"/>
  <c r="M39" i="139" l="1"/>
  <c r="O38" i="139"/>
  <c r="Q38" i="139" s="1"/>
  <c r="T38" i="139" s="1"/>
  <c r="B30" i="139"/>
  <c r="D29" i="139"/>
  <c r="F29" i="139" s="1"/>
  <c r="I29" i="139" s="1"/>
  <c r="M40" i="139" l="1"/>
  <c r="O39" i="139"/>
  <c r="Q39" i="139" s="1"/>
  <c r="T39" i="139" s="1"/>
  <c r="B31" i="139"/>
  <c r="D30" i="139"/>
  <c r="F30" i="139" s="1"/>
  <c r="I30" i="139" s="1"/>
  <c r="F34" i="142"/>
  <c r="E39" i="142" s="1"/>
  <c r="D34" i="142"/>
  <c r="C34" i="142"/>
  <c r="E37" i="142" s="1"/>
  <c r="M41" i="139" l="1"/>
  <c r="O40" i="139"/>
  <c r="Q40" i="139" s="1"/>
  <c r="T40" i="139" s="1"/>
  <c r="D31" i="139"/>
  <c r="F31" i="139" s="1"/>
  <c r="I31" i="139" s="1"/>
  <c r="B32" i="139"/>
  <c r="G5" i="142"/>
  <c r="H6" i="142" s="1"/>
  <c r="M42" i="139" l="1"/>
  <c r="O41" i="139"/>
  <c r="Q41" i="139" s="1"/>
  <c r="T41" i="139" s="1"/>
  <c r="B33" i="139"/>
  <c r="D32" i="139"/>
  <c r="F32" i="139" s="1"/>
  <c r="I32" i="139" s="1"/>
  <c r="D9" i="8"/>
  <c r="F9" i="8" s="1"/>
  <c r="D8" i="8"/>
  <c r="F8" i="8" s="1"/>
  <c r="O42" i="139" l="1"/>
  <c r="Q42" i="139" s="1"/>
  <c r="T42" i="139" s="1"/>
  <c r="M43" i="139"/>
  <c r="B34" i="139"/>
  <c r="D33" i="139"/>
  <c r="F33" i="139" s="1"/>
  <c r="I33" i="139" s="1"/>
  <c r="O43" i="139" l="1"/>
  <c r="Q43" i="139" s="1"/>
  <c r="T43" i="139" s="1"/>
  <c r="M44" i="139"/>
  <c r="B35" i="139"/>
  <c r="D34" i="139"/>
  <c r="F34" i="139" s="1"/>
  <c r="I34" i="139" s="1"/>
  <c r="M45" i="139" l="1"/>
  <c r="O44" i="139"/>
  <c r="Q44" i="139" s="1"/>
  <c r="T44" i="139" s="1"/>
  <c r="B36" i="139"/>
  <c r="D35" i="139"/>
  <c r="F35" i="139" s="1"/>
  <c r="I35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M46" i="139" l="1"/>
  <c r="O45" i="139"/>
  <c r="Q45" i="139" s="1"/>
  <c r="T45" i="139" s="1"/>
  <c r="B37" i="139"/>
  <c r="D36" i="139"/>
  <c r="F36" i="139" s="1"/>
  <c r="I36" i="139" s="1"/>
  <c r="D93" i="14"/>
  <c r="F93" i="14"/>
  <c r="I9" i="14"/>
  <c r="I10" i="14" s="1"/>
  <c r="I11" i="14" s="1"/>
  <c r="I12" i="14" s="1"/>
  <c r="M47" i="139" l="1"/>
  <c r="O46" i="139"/>
  <c r="Q46" i="139" s="1"/>
  <c r="T46" i="139" s="1"/>
  <c r="B38" i="139"/>
  <c r="D37" i="139"/>
  <c r="F37" i="139" s="1"/>
  <c r="I37" i="139" s="1"/>
  <c r="I13" i="14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96" i="14"/>
  <c r="G5" i="14"/>
  <c r="H5" i="14" s="1"/>
  <c r="M48" i="139" l="1"/>
  <c r="O47" i="139"/>
  <c r="Q47" i="139" s="1"/>
  <c r="T47" i="139" s="1"/>
  <c r="B39" i="139"/>
  <c r="D38" i="139"/>
  <c r="F38" i="139" s="1"/>
  <c r="I38" i="139" s="1"/>
  <c r="S113" i="38"/>
  <c r="T113" i="38" s="1"/>
  <c r="I113" i="38"/>
  <c r="M49" i="139" l="1"/>
  <c r="O48" i="139"/>
  <c r="Q48" i="139" s="1"/>
  <c r="T48" i="139" s="1"/>
  <c r="B40" i="139"/>
  <c r="D39" i="139"/>
  <c r="F39" i="139" s="1"/>
  <c r="I39" i="139" s="1"/>
  <c r="S25" i="38"/>
  <c r="S26" i="38"/>
  <c r="M50" i="139" l="1"/>
  <c r="O49" i="139"/>
  <c r="Q49" i="139" s="1"/>
  <c r="T49" i="139" s="1"/>
  <c r="B41" i="139"/>
  <c r="D40" i="139"/>
  <c r="F40" i="139" s="1"/>
  <c r="I40" i="139" s="1"/>
  <c r="I98" i="38"/>
  <c r="M51" i="139" l="1"/>
  <c r="O50" i="139"/>
  <c r="Q50" i="139" s="1"/>
  <c r="T50" i="139" s="1"/>
  <c r="B42" i="139"/>
  <c r="D41" i="139"/>
  <c r="F41" i="139" s="1"/>
  <c r="I41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52" i="139" l="1"/>
  <c r="O51" i="139"/>
  <c r="Q51" i="139" s="1"/>
  <c r="T51" i="139" s="1"/>
  <c r="B43" i="139"/>
  <c r="D42" i="139"/>
  <c r="F42" i="139" s="1"/>
  <c r="I42" i="139" s="1"/>
  <c r="F55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0" i="8"/>
  <c r="F10" i="8" s="1"/>
  <c r="M53" i="139" l="1"/>
  <c r="O52" i="139"/>
  <c r="Q52" i="139" s="1"/>
  <c r="T52" i="139" s="1"/>
  <c r="E60" i="54"/>
  <c r="B44" i="139"/>
  <c r="D43" i="139"/>
  <c r="F43" i="139" s="1"/>
  <c r="I43" i="139" s="1"/>
  <c r="F26" i="8"/>
  <c r="D26" i="8"/>
  <c r="M54" i="139" l="1"/>
  <c r="O53" i="139"/>
  <c r="Q53" i="139" s="1"/>
  <c r="T53" i="139" s="1"/>
  <c r="B45" i="139"/>
  <c r="D44" i="139"/>
  <c r="F44" i="139" s="1"/>
  <c r="I44" i="139" s="1"/>
  <c r="F28" i="8"/>
  <c r="G5" i="8"/>
  <c r="H5" i="8" s="1"/>
  <c r="M55" i="139" l="1"/>
  <c r="O54" i="139"/>
  <c r="Q54" i="139" s="1"/>
  <c r="T54" i="139" s="1"/>
  <c r="B46" i="139"/>
  <c r="D45" i="139"/>
  <c r="F45" i="139" s="1"/>
  <c r="I45" i="139" s="1"/>
  <c r="D13" i="146"/>
  <c r="F13" i="146" s="1"/>
  <c r="D14" i="146"/>
  <c r="F14" i="146"/>
  <c r="D15" i="146"/>
  <c r="F15" i="146" s="1"/>
  <c r="D16" i="146"/>
  <c r="F16" i="146" s="1"/>
  <c r="M56" i="139" l="1"/>
  <c r="O55" i="139"/>
  <c r="Q55" i="139" s="1"/>
  <c r="T55" i="139" s="1"/>
  <c r="B47" i="139"/>
  <c r="D46" i="139"/>
  <c r="F46" i="139" s="1"/>
  <c r="I46" i="139" s="1"/>
  <c r="M57" i="139" l="1"/>
  <c r="O56" i="139"/>
  <c r="Q56" i="139" s="1"/>
  <c r="T56" i="139" s="1"/>
  <c r="B48" i="139"/>
  <c r="D47" i="139"/>
  <c r="F47" i="139" s="1"/>
  <c r="I47" i="139" s="1"/>
  <c r="M58" i="139" l="1"/>
  <c r="O57" i="139"/>
  <c r="Q57" i="139" s="1"/>
  <c r="T57" i="139" s="1"/>
  <c r="B49" i="139"/>
  <c r="D48" i="139"/>
  <c r="F48" i="139" s="1"/>
  <c r="I48" i="139" s="1"/>
  <c r="O58" i="139" l="1"/>
  <c r="Q58" i="139" s="1"/>
  <c r="T58" i="139" s="1"/>
  <c r="M59" i="139"/>
  <c r="B50" i="139"/>
  <c r="D49" i="139"/>
  <c r="F49" i="139" s="1"/>
  <c r="I49" i="139" s="1"/>
  <c r="J8" i="133"/>
  <c r="M60" i="139" l="1"/>
  <c r="O60" i="139" s="1"/>
  <c r="O59" i="139"/>
  <c r="Q59" i="139" s="1"/>
  <c r="T59" i="139" s="1"/>
  <c r="B51" i="139"/>
  <c r="D50" i="139"/>
  <c r="F50" i="139" s="1"/>
  <c r="I50" i="139" s="1"/>
  <c r="Q60" i="139" l="1"/>
  <c r="Q61" i="139" s="1"/>
  <c r="O61" i="139"/>
  <c r="B52" i="139"/>
  <c r="D51" i="139"/>
  <c r="F51" i="139" s="1"/>
  <c r="I51" i="139" s="1"/>
  <c r="R5" i="139" l="1"/>
  <c r="S5" i="139" s="1"/>
  <c r="P64" i="139"/>
  <c r="B53" i="139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D55" i="139" l="1"/>
  <c r="F55" i="139" s="1"/>
  <c r="I55" i="139" s="1"/>
  <c r="B56" i="139"/>
  <c r="B57" i="139" l="1"/>
  <c r="D56" i="139"/>
  <c r="F56" i="139" s="1"/>
  <c r="I56" i="139" s="1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F60" i="139" l="1"/>
  <c r="F61" i="139" s="1"/>
  <c r="D61" i="139"/>
  <c r="S96" i="38"/>
  <c r="T96" i="38" s="1"/>
  <c r="S97" i="38"/>
  <c r="T97" i="38" s="1"/>
  <c r="S98" i="38"/>
  <c r="T98" i="38" s="1"/>
  <c r="S101" i="38"/>
  <c r="T101" i="38" s="1"/>
  <c r="S102" i="38"/>
  <c r="T102" i="38" s="1"/>
  <c r="S103" i="38"/>
  <c r="T103" i="38" s="1"/>
  <c r="S104" i="38"/>
  <c r="S105" i="38"/>
  <c r="S106" i="38"/>
  <c r="S107" i="38"/>
  <c r="S108" i="38"/>
  <c r="S109" i="38"/>
  <c r="T109" i="38" s="1"/>
  <c r="S112" i="38"/>
  <c r="S114" i="38"/>
  <c r="S115" i="38"/>
  <c r="S116" i="38"/>
  <c r="S117" i="38"/>
  <c r="S118" i="38"/>
  <c r="S119" i="38"/>
  <c r="S120" i="38"/>
  <c r="S121" i="38"/>
  <c r="S122" i="38"/>
  <c r="S123" i="38"/>
  <c r="S124" i="38"/>
  <c r="S125" i="38"/>
  <c r="F26" i="128"/>
  <c r="F27" i="128"/>
  <c r="F28" i="128"/>
  <c r="F29" i="128"/>
  <c r="F30" i="128"/>
  <c r="F31" i="128"/>
  <c r="E64" i="139" l="1"/>
  <c r="G5" i="139"/>
  <c r="H5" i="139" s="1"/>
  <c r="I108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F36" i="128"/>
  <c r="F35" i="128"/>
  <c r="F34" i="128"/>
  <c r="F33" i="128"/>
  <c r="F32" i="128"/>
  <c r="F45" i="128" l="1"/>
  <c r="G5" i="128" s="1"/>
  <c r="H5" i="128" s="1"/>
  <c r="D45" i="128"/>
  <c r="T1" i="1"/>
  <c r="F47" i="128" l="1"/>
  <c r="JS5" i="1" l="1"/>
  <c r="JJ5" i="1"/>
  <c r="JA5" i="1"/>
  <c r="IR5" i="1"/>
  <c r="II5" i="1"/>
  <c r="C50" i="146" l="1"/>
  <c r="F53" i="146" s="1"/>
  <c r="A50" i="146"/>
  <c r="D49" i="146"/>
  <c r="F49" i="146" s="1"/>
  <c r="D48" i="146"/>
  <c r="F48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D11" i="146"/>
  <c r="F11" i="146" s="1"/>
  <c r="D10" i="146"/>
  <c r="F10" i="146" s="1"/>
  <c r="D9" i="146"/>
  <c r="F9" i="146" s="1"/>
  <c r="D8" i="146"/>
  <c r="D50" i="146" l="1"/>
  <c r="F8" i="146"/>
  <c r="I8" i="146" s="1"/>
  <c r="I9" i="146" s="1"/>
  <c r="I10" i="146" s="1"/>
  <c r="I11" i="146" s="1"/>
  <c r="I12" i="146" s="1"/>
  <c r="I13" i="146" s="1"/>
  <c r="I14" i="146" s="1"/>
  <c r="I15" i="146" s="1"/>
  <c r="I16" i="146" s="1"/>
  <c r="I17" i="146" s="1"/>
  <c r="I18" i="146" s="1"/>
  <c r="I19" i="146" s="1"/>
  <c r="I20" i="146" s="1"/>
  <c r="I21" i="146" s="1"/>
  <c r="F50" i="146" l="1"/>
  <c r="G5" i="146" s="1"/>
  <c r="H5" i="146" s="1"/>
  <c r="I22" i="146" l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F52" i="146"/>
  <c r="I36" i="146" l="1"/>
  <c r="I37" i="146" s="1"/>
  <c r="I38" i="146" s="1"/>
  <c r="I39" i="146" s="1"/>
  <c r="I40" i="146" s="1"/>
  <c r="I41" i="146" s="1"/>
  <c r="I42" i="146" s="1"/>
  <c r="I43" i="146" s="1"/>
  <c r="I44" i="146" s="1"/>
  <c r="I45" i="146" s="1"/>
  <c r="I46" i="146" s="1"/>
  <c r="I47" i="146" s="1"/>
  <c r="I48" i="146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BB5" i="1"/>
  <c r="AS5" i="1"/>
  <c r="AJ5" i="1"/>
  <c r="I104" i="38" l="1"/>
  <c r="I105" i="38"/>
  <c r="I106" i="38"/>
  <c r="I107" i="38"/>
  <c r="I109" i="38"/>
  <c r="I111" i="38"/>
  <c r="I112" i="38"/>
  <c r="I114" i="38"/>
  <c r="I115" i="38"/>
  <c r="I116" i="38"/>
  <c r="I117" i="38"/>
  <c r="I118" i="38"/>
  <c r="I119" i="38"/>
  <c r="I120" i="38"/>
  <c r="I122" i="38"/>
  <c r="I123" i="38"/>
  <c r="I124" i="38"/>
  <c r="I125" i="38"/>
  <c r="I126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D18" i="154"/>
  <c r="F18" i="154" s="1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D10" i="154"/>
  <c r="F10" i="154" s="1"/>
  <c r="D9" i="154"/>
  <c r="F9" i="154" s="1"/>
  <c r="D8" i="154"/>
  <c r="D40" i="154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G5" i="133" s="1"/>
  <c r="H5" i="133" s="1"/>
  <c r="F8" i="154"/>
  <c r="E47" i="133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H5" i="154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22" i="38" l="1"/>
  <c r="S36" i="38"/>
  <c r="S37" i="38"/>
  <c r="S38" i="38"/>
  <c r="S39" i="38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16" i="38" l="1"/>
  <c r="T117" i="38"/>
  <c r="T118" i="38"/>
  <c r="T119" i="38"/>
  <c r="T120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12" i="38" l="1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G5" i="150"/>
  <c r="H5" i="150"/>
  <c r="B4" i="1"/>
  <c r="AL1" i="1"/>
  <c r="AU1" i="1" s="1"/>
  <c r="T121" i="38" l="1"/>
  <c r="T123" i="38"/>
  <c r="T124" i="38"/>
  <c r="I127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6" i="38" l="1"/>
  <c r="T104" i="38"/>
  <c r="S126" i="38" l="1"/>
  <c r="T126" i="38" s="1"/>
  <c r="S127" i="38"/>
  <c r="T127" i="38" s="1"/>
  <c r="S128" i="38"/>
  <c r="T128" i="38" s="1"/>
  <c r="S129" i="38"/>
  <c r="T129" i="38" s="1"/>
  <c r="S130" i="38"/>
  <c r="T130" i="38" s="1"/>
  <c r="S131" i="38" l="1"/>
  <c r="S132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07" i="38" l="1"/>
  <c r="T131" i="38" l="1"/>
  <c r="I131" i="38"/>
  <c r="I130" i="38" l="1"/>
  <c r="T125" i="38" l="1"/>
  <c r="T132" i="38"/>
  <c r="S133" i="38"/>
  <c r="T133" i="38" s="1"/>
  <c r="S134" i="38"/>
  <c r="T134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8" i="38" l="1"/>
  <c r="T108" i="38" l="1"/>
  <c r="T114" i="38"/>
  <c r="T115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9" i="38"/>
  <c r="M149" i="38"/>
  <c r="K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I134" i="38"/>
  <c r="I133" i="38"/>
  <c r="I132" i="38"/>
  <c r="I129" i="38"/>
  <c r="T105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68" i="38" l="1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58" i="38"/>
  <c r="I64" i="38"/>
  <c r="I68" i="38"/>
  <c r="I69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9" i="38"/>
  <c r="I70" i="38" l="1"/>
  <c r="I62" i="38"/>
  <c r="I60" i="38"/>
  <c r="I67" i="38"/>
  <c r="G149" i="38"/>
  <c r="I59" i="38"/>
  <c r="I149" i="38"/>
  <c r="H149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<sst xmlns="http://schemas.openxmlformats.org/spreadsheetml/2006/main" count="3055" uniqueCount="446">
  <si>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</si>
  <si>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</si>
  <si>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</si>
  <si>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</si>
  <si>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</si>
  <si>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</si>
  <si>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</si>
  <si>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</si>
  <si>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</si>
  <si>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</si>
  <si>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</si>
  <si>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</si>
  <si>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</si>
  <si>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</si>
  <si>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</si>
  <si>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</si>
  <si>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</si>
  <si>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</si>
  <si>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</si>
  <si>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</si>
  <si>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</si>
  <si>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</si>
  <si>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</si>
  <si>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</si>
  <si>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</si>
  <si>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</si>
  <si>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</si>
  <si>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</si>
  <si>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</si>
  <si>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</si>
  <si>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</si>
  <si>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</si>
  <si>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</si>
  <si>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</si>
  <si>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</si>
  <si>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</si>
  <si>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</si>
  <si>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</si>
  <si>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</si>
  <si>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</si>
  <si>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</si>
  <si>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</si>
  <si>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</si>
  <si>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</si>
  <si>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</si>
  <si>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</si>
  <si>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</si>
  <si>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</si>
  <si>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</si>
  <si>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</si>
  <si>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</si>
  <si>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</si>
  <si>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</si>
  <si>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</si>
  <si>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</si>
  <si>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</si>
  <si>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</si>
  <si>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</si>
  <si>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</si>
  <si>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</si>
  <si>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</si>
  <si>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</si>
  <si>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</si>
  <si>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</si>
  <si>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</si>
  <si>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</si>
  <si>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</si>
  <si>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</si>
  <si>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</si>
  <si>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</si>
  <si>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</si>
  <si>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</si>
  <si>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</si>
  <si>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</si>
  <si>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</si>
  <si>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</si>
  <si>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</si>
  <si>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</si>
  <si>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</si>
  <si>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</si>
  <si>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</si>
  <si>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</si>
  <si>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</si>
  <si>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</si>
  <si>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</si>
  <si>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</si>
  <si>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SALIDAS KG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</si>
  <si>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</si>
  <si>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</si>
  <si>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</si>
  <si>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</si>
  <si>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</si>
  <si>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>LOMO DE CAÑA</t>
  </si>
  <si>
    <t xml:space="preserve">KILOS </t>
  </si>
  <si>
    <t>CAMARON</t>
  </si>
  <si>
    <t>815 S</t>
  </si>
  <si>
    <t>816 S</t>
  </si>
  <si>
    <t>824 S</t>
  </si>
  <si>
    <t>830 S</t>
  </si>
  <si>
    <t>934 S</t>
  </si>
  <si>
    <t>946 S</t>
  </si>
  <si>
    <t>MARIMEX BC S DE RL</t>
  </si>
  <si>
    <t>SALMON</t>
  </si>
  <si>
    <t>CONTRA EXCELL</t>
  </si>
  <si>
    <t>325 T</t>
  </si>
  <si>
    <t>426 T</t>
  </si>
  <si>
    <t>494 T</t>
  </si>
  <si>
    <t>542 T</t>
  </si>
  <si>
    <t>553 T</t>
  </si>
  <si>
    <t>ALLIANCE PRICE</t>
  </si>
  <si>
    <t>SESOS DE COPA  Seaboard</t>
  </si>
  <si>
    <t>Corbata  SWIFT</t>
  </si>
  <si>
    <t>INVENTARIO   DEL MES DE JULIO 2019</t>
  </si>
  <si>
    <t xml:space="preserve">FRIO ANTARTIC SA DE CV </t>
  </si>
  <si>
    <t>MENUDO  RES</t>
  </si>
  <si>
    <t>649 T</t>
  </si>
  <si>
    <t>735 T</t>
  </si>
  <si>
    <t>748 T</t>
  </si>
  <si>
    <t>798 T</t>
  </si>
  <si>
    <t>806 T</t>
  </si>
  <si>
    <t>811 T</t>
  </si>
  <si>
    <t>831 T</t>
  </si>
  <si>
    <t>635 T</t>
  </si>
  <si>
    <t xml:space="preserve">ADAMS INTERNATIONAL </t>
  </si>
  <si>
    <t xml:space="preserve">MORELIA </t>
  </si>
  <si>
    <t xml:space="preserve">RYC ALIMENTOS </t>
  </si>
  <si>
    <t>ABASTECEDORA DE CARNES FRESCAS ROEL</t>
  </si>
  <si>
    <t>878 T</t>
  </si>
  <si>
    <t>894 T</t>
  </si>
  <si>
    <t>944 T</t>
  </si>
  <si>
    <t>930 T</t>
  </si>
  <si>
    <t>932 T</t>
  </si>
  <si>
    <t>941 T</t>
  </si>
  <si>
    <t>942 T</t>
  </si>
  <si>
    <t>950 T</t>
  </si>
  <si>
    <t>955 T</t>
  </si>
  <si>
    <t>959 T</t>
  </si>
  <si>
    <t>963 T</t>
  </si>
  <si>
    <t>969 T</t>
  </si>
  <si>
    <t>970 T</t>
  </si>
  <si>
    <t>971 T</t>
  </si>
  <si>
    <t>973 T</t>
  </si>
  <si>
    <t>976 T</t>
  </si>
  <si>
    <t>977 T</t>
  </si>
  <si>
    <t>ENTRADA DEL MES DE OCTUBRE 2019</t>
  </si>
  <si>
    <t xml:space="preserve">SAGA INC SA DE CV </t>
  </si>
  <si>
    <t>BUCHE I Swift</t>
  </si>
  <si>
    <t>995 T</t>
  </si>
  <si>
    <t>996 T</t>
  </si>
  <si>
    <t>997 T</t>
  </si>
  <si>
    <t>0003 U</t>
  </si>
  <si>
    <t>0006 U</t>
  </si>
  <si>
    <t>0007 U</t>
  </si>
  <si>
    <t>0008 U</t>
  </si>
  <si>
    <t>009 U</t>
  </si>
  <si>
    <t>022 U</t>
  </si>
  <si>
    <t>012 U</t>
  </si>
  <si>
    <t>020 U</t>
  </si>
  <si>
    <t>OK</t>
  </si>
  <si>
    <t>TOTAL DE ENTRADAS DEL MES  OCTUBRE      2 0 1 9</t>
  </si>
  <si>
    <t>INVENTARIO  DEL MES DE SEPTIEMBRE 2019</t>
  </si>
  <si>
    <t>INMVENTARIO    DEL MES DE  SEPTIEMBRE   2019</t>
  </si>
  <si>
    <t>INVENTARIO   DEL MES DE OCTUBRE 2019</t>
  </si>
  <si>
    <t>ENTRADA DEL MES DE  OCTUBRE  2019</t>
  </si>
  <si>
    <t>INVENTARIO   DEL MES DE SEPTIEMBRE 2019</t>
  </si>
  <si>
    <t>INVENTARIO    DEL MES DE   SEPTIEMBRE   2019</t>
  </si>
  <si>
    <t>INVENTARIO   DEL MES DE   SEPTIEMBRE       2019</t>
  </si>
  <si>
    <t>INVENTARIO     DEL MES DE SEPTIEMBRE 2019</t>
  </si>
  <si>
    <t>INVENTARIO     DEL MES DE  OCTUBRE 2019</t>
  </si>
  <si>
    <t>INVENTARIO    DEL MES DE SEPTIEMBRE 2019</t>
  </si>
  <si>
    <t>SMITHFIELD FARMLAND</t>
  </si>
  <si>
    <t>Smithfield</t>
  </si>
  <si>
    <t>PED. 43121642</t>
  </si>
  <si>
    <t>SMITHFIED FARMLAND</t>
  </si>
  <si>
    <t>PED. 43121643</t>
  </si>
  <si>
    <t>IDEAL TRADING FOODS</t>
  </si>
  <si>
    <t>SIOUX</t>
  </si>
  <si>
    <t>PED. 43121641</t>
  </si>
  <si>
    <t>ADAMS INT MORELIA</t>
  </si>
  <si>
    <t>PAPA CORTE RECTO</t>
  </si>
  <si>
    <t xml:space="preserve">ADAMS INT MORELIA </t>
  </si>
  <si>
    <t>NL19-74</t>
  </si>
  <si>
    <t>NL19-79</t>
  </si>
  <si>
    <t>NLP-130</t>
  </si>
  <si>
    <t>Tramsfer B 7-Oct</t>
  </si>
  <si>
    <t>Transfer Bnte 7-Oct</t>
  </si>
  <si>
    <t>Transfer Bnte 8-Oct</t>
  </si>
  <si>
    <t>Transfer S 7-Oct</t>
  </si>
  <si>
    <t>Transfer  S 8-Oct</t>
  </si>
  <si>
    <t>CARNERO</t>
  </si>
  <si>
    <t>PED. 43211450</t>
  </si>
  <si>
    <t>SMITHFIELD FRESH MEATS</t>
  </si>
  <si>
    <t>Smirhfield</t>
  </si>
  <si>
    <t>PED. 433067736</t>
  </si>
  <si>
    <t>MAPLE</t>
  </si>
  <si>
    <t>PED. 43306259</t>
  </si>
  <si>
    <t>CORBATA SWIFT</t>
  </si>
  <si>
    <t>PU-74766</t>
  </si>
  <si>
    <t>ABASTECEDORA DE CARNES FRESCAS</t>
  </si>
  <si>
    <t>ESP CARNERO</t>
  </si>
  <si>
    <t>NLP-126</t>
  </si>
  <si>
    <t>NL19-80</t>
  </si>
  <si>
    <t>NLP-134</t>
  </si>
  <si>
    <t>PAPA Corte Recto</t>
  </si>
  <si>
    <t xml:space="preserve">Transfer B 15-Oct </t>
  </si>
  <si>
    <t>0024 U</t>
  </si>
  <si>
    <t>0025 U</t>
  </si>
  <si>
    <t>0026 U</t>
  </si>
  <si>
    <t>0036 U</t>
  </si>
  <si>
    <t>0046 U</t>
  </si>
  <si>
    <t>0056 U</t>
  </si>
  <si>
    <t>0027 U</t>
  </si>
  <si>
    <t>0029 U</t>
  </si>
  <si>
    <t>0030 U</t>
  </si>
  <si>
    <t>0033 U</t>
  </si>
  <si>
    <t>0034 U</t>
  </si>
  <si>
    <t>0035 U</t>
  </si>
  <si>
    <t>0037 U</t>
  </si>
  <si>
    <t>0038 U</t>
  </si>
  <si>
    <t>0039 U</t>
  </si>
  <si>
    <t>0040 U</t>
  </si>
  <si>
    <t>0041 U</t>
  </si>
  <si>
    <t>0042 U</t>
  </si>
  <si>
    <t>0044 U</t>
  </si>
  <si>
    <t>0045 U</t>
  </si>
  <si>
    <t>0047 U</t>
  </si>
  <si>
    <t>0048 U</t>
  </si>
  <si>
    <t>0051 U</t>
  </si>
  <si>
    <t>0052 U</t>
  </si>
  <si>
    <t>0053 U</t>
  </si>
  <si>
    <t>0054 U</t>
  </si>
  <si>
    <t>0055 U</t>
  </si>
  <si>
    <t>ENTRADA DEL MES DE OCUBRE 2019</t>
  </si>
  <si>
    <t>IDEAL TRADING</t>
  </si>
  <si>
    <t>PED. 43351938</t>
  </si>
  <si>
    <t>PED. 43352191</t>
  </si>
  <si>
    <t>TYSON FRESH MEATS</t>
  </si>
  <si>
    <t xml:space="preserve">I B P </t>
  </si>
  <si>
    <t>PED. 43397922</t>
  </si>
  <si>
    <t xml:space="preserve">Smithfield </t>
  </si>
  <si>
    <t>PED. 43397923</t>
  </si>
  <si>
    <t>PED. 43354896</t>
  </si>
  <si>
    <t>PUI-11188</t>
  </si>
  <si>
    <t>NLP-131</t>
  </si>
  <si>
    <t>NLP-135</t>
  </si>
  <si>
    <t>NL19-75</t>
  </si>
  <si>
    <t>G-0045</t>
  </si>
  <si>
    <t>NL19-81</t>
  </si>
  <si>
    <t>NLP-127</t>
  </si>
  <si>
    <t>Transfer Bnte 14-Oct</t>
  </si>
  <si>
    <t>Transfer Bnte 15-Oct</t>
  </si>
  <si>
    <t>Transfer Bnte 16-Oct</t>
  </si>
  <si>
    <t>Transfer Bnte 17-Oct</t>
  </si>
  <si>
    <t>Transfer Bnte 9-Oct</t>
  </si>
  <si>
    <t>Transfer Bnte 10-Oct</t>
  </si>
  <si>
    <t>HC-2732</t>
  </si>
  <si>
    <t>Transfer B 18-Oct</t>
  </si>
  <si>
    <t>Transfer S 11-Oct</t>
  </si>
  <si>
    <t>Transfer S 14-Oct</t>
  </si>
  <si>
    <t xml:space="preserve">Transfer S 16-Oct </t>
  </si>
  <si>
    <t>Transfer S 17-Oct</t>
  </si>
  <si>
    <t>Transfer S 18-Oct</t>
  </si>
  <si>
    <t>10827-A</t>
  </si>
  <si>
    <t>Transfer B 8-Oct</t>
  </si>
  <si>
    <t>Transfer B 9-Oct</t>
  </si>
  <si>
    <t>Transfer Bnte 11-Oct</t>
  </si>
  <si>
    <t>PED. 43632540</t>
  </si>
  <si>
    <t>PED. 43660261</t>
  </si>
  <si>
    <t>PED. 43660263</t>
  </si>
  <si>
    <t>PED. 43632539</t>
  </si>
  <si>
    <t>NL19-76</t>
  </si>
  <si>
    <t>G-0076</t>
  </si>
  <si>
    <t>G-0077</t>
  </si>
  <si>
    <t>NLP-132</t>
  </si>
  <si>
    <t>Transfer Bnte 22-Oct</t>
  </si>
  <si>
    <t>Transfer Bnte 23-Oct</t>
  </si>
  <si>
    <t>Tranfer Bnte 23-Oct</t>
  </si>
  <si>
    <t>058 U</t>
  </si>
  <si>
    <t>0059 U</t>
  </si>
  <si>
    <t>059 U</t>
  </si>
  <si>
    <t>060 U</t>
  </si>
  <si>
    <t>061 U</t>
  </si>
  <si>
    <t>0063 U</t>
  </si>
  <si>
    <t>0064 U</t>
  </si>
  <si>
    <t>066 U</t>
  </si>
  <si>
    <t>0066 U</t>
  </si>
  <si>
    <t>067 U</t>
  </si>
  <si>
    <t>068 U</t>
  </si>
  <si>
    <t>069 U</t>
  </si>
  <si>
    <t>070 U</t>
  </si>
  <si>
    <t>0072 U</t>
  </si>
  <si>
    <t>0073 U</t>
  </si>
  <si>
    <t>0074 U</t>
  </si>
  <si>
    <t>0075 U</t>
  </si>
  <si>
    <t>0076 U</t>
  </si>
  <si>
    <t>0077 U</t>
  </si>
  <si>
    <t>0079 U</t>
  </si>
  <si>
    <t>0082 U</t>
  </si>
  <si>
    <t>0083 U</t>
  </si>
  <si>
    <t>0084 U</t>
  </si>
  <si>
    <t>0085 U</t>
  </si>
  <si>
    <t>0086 U</t>
  </si>
  <si>
    <t>0087 U</t>
  </si>
  <si>
    <t>0088 U</t>
  </si>
  <si>
    <t>ABASTECEDPRA DE CARNES FRESCAS</t>
  </si>
  <si>
    <t>LENGUA DE CERDO</t>
  </si>
  <si>
    <t>PU-74971</t>
  </si>
  <si>
    <t>MENUDO EXCEL</t>
  </si>
  <si>
    <t>PU-75012</t>
  </si>
  <si>
    <t>CUERO Panceta</t>
  </si>
  <si>
    <t>PU-75051</t>
  </si>
  <si>
    <t>PU-75131</t>
  </si>
  <si>
    <t>RYC ALIMENTOS</t>
  </si>
  <si>
    <t>0078 U</t>
  </si>
  <si>
    <t>0090 U</t>
  </si>
  <si>
    <t>0091 U</t>
  </si>
  <si>
    <t>0092 U</t>
  </si>
  <si>
    <t>0094 U</t>
  </si>
  <si>
    <t>0095 U</t>
  </si>
  <si>
    <t>0096 U</t>
  </si>
  <si>
    <t>Transfer B 29-Oct</t>
  </si>
  <si>
    <t>0100 U</t>
  </si>
  <si>
    <t>0101 U</t>
  </si>
  <si>
    <t>0102 U</t>
  </si>
  <si>
    <t>0104 U</t>
  </si>
  <si>
    <t>0105 U</t>
  </si>
  <si>
    <t>0106 U</t>
  </si>
  <si>
    <t>0108 U</t>
  </si>
  <si>
    <t>0109 U</t>
  </si>
  <si>
    <t>0110 U</t>
  </si>
  <si>
    <t>PED. 43892702</t>
  </si>
  <si>
    <t>PED. 43891639</t>
  </si>
  <si>
    <t>RANTOUL</t>
  </si>
  <si>
    <t>PED. 43960344</t>
  </si>
  <si>
    <t>PED. 43956191</t>
  </si>
  <si>
    <t>PED. 43956188</t>
  </si>
  <si>
    <t>Seaboard</t>
  </si>
  <si>
    <t>PED. 44003408</t>
  </si>
  <si>
    <t>PED. 43957796</t>
  </si>
  <si>
    <t>PU-75323</t>
  </si>
  <si>
    <t>NLP-133</t>
  </si>
  <si>
    <t>NL19-77</t>
  </si>
  <si>
    <t>AP-1122</t>
  </si>
  <si>
    <t>G-0078</t>
  </si>
  <si>
    <t>G-0080</t>
  </si>
  <si>
    <t>AM-913</t>
  </si>
  <si>
    <t>5824-A</t>
  </si>
  <si>
    <t>Transfer S 22-Oct</t>
  </si>
  <si>
    <t>5825-A</t>
  </si>
  <si>
    <t>HC-2818</t>
  </si>
  <si>
    <t>Transfer S 29-Oct</t>
  </si>
  <si>
    <t>HC-2771</t>
  </si>
  <si>
    <t>Transfer S 31-Oct</t>
  </si>
  <si>
    <t xml:space="preserve">F&amp;J TRADING MEAT S DE RL DE CV </t>
  </si>
  <si>
    <t>Transfer B 30-Oct</t>
  </si>
  <si>
    <t>Transfere B 31-Oct</t>
  </si>
  <si>
    <t>Transfer B 31-Oct</t>
  </si>
  <si>
    <t>Transfer Bnte 29-Oct</t>
  </si>
  <si>
    <t>SAM FARMS LLC</t>
  </si>
  <si>
    <t>SAM FARMS</t>
  </si>
  <si>
    <t>Transfer Bnte 31-Oct</t>
  </si>
  <si>
    <t>Tranfer Bnte 28-Oct</t>
  </si>
  <si>
    <t>Transfer Bnte 28-Oct</t>
  </si>
  <si>
    <t>Transfer Bnte 21-OCT</t>
  </si>
  <si>
    <t>7822-A</t>
  </si>
  <si>
    <t>Transfer S 15-Oct</t>
  </si>
  <si>
    <t>7826-A</t>
  </si>
  <si>
    <t>Transfer S 21-Oct</t>
  </si>
  <si>
    <t xml:space="preserve">Transfer B 28-Oct </t>
  </si>
  <si>
    <t>111 U</t>
  </si>
  <si>
    <t>112 U</t>
  </si>
  <si>
    <t>113 U</t>
  </si>
  <si>
    <t>0115 U</t>
  </si>
  <si>
    <t>0117 U</t>
  </si>
  <si>
    <t>0118 U</t>
  </si>
  <si>
    <t>0119 U</t>
  </si>
  <si>
    <t>0120 U</t>
  </si>
  <si>
    <t>0121 U</t>
  </si>
  <si>
    <t>0122 U</t>
  </si>
  <si>
    <t>0123 U</t>
  </si>
  <si>
    <t>0125 U</t>
  </si>
  <si>
    <t>0135 U</t>
  </si>
  <si>
    <t>0145 U</t>
  </si>
  <si>
    <t>0127 U</t>
  </si>
  <si>
    <t>0128 U</t>
  </si>
  <si>
    <t>0132 U</t>
  </si>
  <si>
    <t>0136 U</t>
  </si>
  <si>
    <t>0138 U</t>
  </si>
  <si>
    <t>0139 U</t>
  </si>
  <si>
    <t>0140 U</t>
  </si>
  <si>
    <t>0142 U</t>
  </si>
  <si>
    <t>0143 U</t>
  </si>
  <si>
    <t>0144 U</t>
  </si>
  <si>
    <t>0146 U</t>
  </si>
  <si>
    <t>0147 U</t>
  </si>
  <si>
    <t>0148 U</t>
  </si>
  <si>
    <t>0149 U</t>
  </si>
  <si>
    <t>0150 U</t>
  </si>
  <si>
    <t>151 U</t>
  </si>
  <si>
    <t>161 U</t>
  </si>
  <si>
    <t>0152 U</t>
  </si>
  <si>
    <t>0153 U</t>
  </si>
  <si>
    <t>156 U</t>
  </si>
  <si>
    <t>0157 U</t>
  </si>
  <si>
    <t>0158 U</t>
  </si>
  <si>
    <t>160 U</t>
  </si>
  <si>
    <t>PED. 44067963</t>
  </si>
  <si>
    <t>NLP-129</t>
  </si>
  <si>
    <t>0162 U</t>
  </si>
  <si>
    <t>0163 U</t>
  </si>
  <si>
    <t>0164 U</t>
  </si>
  <si>
    <t>0166 U</t>
  </si>
  <si>
    <t>0167 U</t>
  </si>
  <si>
    <t>0168 U</t>
  </si>
  <si>
    <t>0169 U</t>
  </si>
  <si>
    <t>169 U</t>
  </si>
  <si>
    <t>170 U</t>
  </si>
  <si>
    <t>0171 U</t>
  </si>
  <si>
    <t>172 U</t>
  </si>
  <si>
    <t>173 U</t>
  </si>
  <si>
    <t>0174 U</t>
  </si>
  <si>
    <t>175 U</t>
  </si>
  <si>
    <t>176 U</t>
  </si>
  <si>
    <t>177 U</t>
  </si>
  <si>
    <t>0180 U</t>
  </si>
  <si>
    <t>0184 U</t>
  </si>
  <si>
    <t xml:space="preserve">                   </t>
  </si>
  <si>
    <t>0181 U</t>
  </si>
  <si>
    <t>PED. 44169600</t>
  </si>
  <si>
    <t>PED.44171944</t>
  </si>
  <si>
    <t>NL19-78</t>
  </si>
  <si>
    <t>NLP-136</t>
  </si>
  <si>
    <t>PU-75507</t>
  </si>
  <si>
    <t>0182 U</t>
  </si>
  <si>
    <t>0183 U</t>
  </si>
  <si>
    <t xml:space="preserve">Transfer B 5-Nov </t>
  </si>
  <si>
    <t xml:space="preserve">Transfer S 4-Nov </t>
  </si>
  <si>
    <t>se aplica nota de credito sobre  NLP-135  POR  390.46 usd</t>
  </si>
  <si>
    <t xml:space="preserve">ARCH MEAT SA DE CV </t>
  </si>
  <si>
    <t xml:space="preserve">Transfer S 6-Nov </t>
  </si>
  <si>
    <t>FLP-1165930</t>
  </si>
  <si>
    <t xml:space="preserve">Transfer S 15-Nov </t>
  </si>
  <si>
    <t>Transfer Bnte 11-Nov</t>
  </si>
  <si>
    <t xml:space="preserve">Transfer Bnte 4-Nov </t>
  </si>
  <si>
    <t xml:space="preserve">Transfer Bnte 5-Nov </t>
  </si>
  <si>
    <t>Transfer B 31-OCT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</si>
</sst>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6" fontId="46" fillId="0" borderId="0" xfId="0" applyNumberFormat="1" applyFont="1" applyAlignment="1">
      <alignment horizontal="right"/>
    </xf>
    <xf numFmtId="0" fontId="50" fillId="0" borderId="0" xfId="0" applyFont="1" applyAlignment="1">
      <alignment horizontal="left"/>
    </xf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2" fontId="27" fillId="0" borderId="0" xfId="0" applyNumberFormat="1" applyFont="1"/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4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57" fillId="0" borderId="0" xfId="0" applyNumberFormat="1" applyFont="1"/>
    <xf numFmtId="168" fontId="27" fillId="0" borderId="4" xfId="0" applyNumberFormat="1" applyFont="1" applyBorder="1"/>
    <xf numFmtId="2" fontId="29" fillId="0" borderId="37" xfId="0" applyNumberFormat="1" applyFont="1" applyBorder="1" applyAlignment="1">
      <alignment horizontal="right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6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58" fillId="0" borderId="0" xfId="0" applyNumberFormat="1" applyFont="1" applyAlignment="1">
      <alignment horizontal="right"/>
    </xf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" fontId="58" fillId="0" borderId="0" xfId="0" applyNumberFormat="1" applyFont="1"/>
    <xf numFmtId="2" fontId="5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2" fontId="59" fillId="0" borderId="0" xfId="0" applyNumberFormat="1" applyFont="1" applyAlignment="1">
      <alignment horizontal="right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2" fontId="59" fillId="0" borderId="5" xfId="0" applyNumberFormat="1" applyFont="1" applyBorder="1" applyAlignment="1">
      <alignment horizontal="right"/>
    </xf>
    <xf numFmtId="168" fontId="59" fillId="0" borderId="4" xfId="0" applyNumberFormat="1" applyFont="1" applyBorder="1"/>
    <xf numFmtId="16" fontId="59" fillId="0" borderId="0" xfId="0" applyNumberFormat="1" applyFont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2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60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3" fontId="0" fillId="0" borderId="4" xfId="2" applyFont="1" applyBorder="1" applyAlignment="1">
      <alignment horizontal="right"/>
    </xf>
    <xf numFmtId="166" fontId="7" fillId="4" borderId="0" xfId="0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1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59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6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63" fillId="0" borderId="0" xfId="0" applyFont="1" applyFill="1" applyAlignment="1">
      <alignment horizontal="left"/>
    </xf>
    <xf numFmtId="0" fontId="10" fillId="0" borderId="10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6" fontId="23" fillId="0" borderId="0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18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horizontal="right"/>
    </xf>
    <xf numFmtId="0" fontId="13" fillId="0" borderId="10" xfId="0" applyFont="1" applyFill="1" applyBorder="1" applyAlignment="1">
      <alignment horizontal="right"/>
    </xf>
    <xf numFmtId="2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9" fillId="0" borderId="15" xfId="0" applyNumberFormat="1" applyFont="1" applyBorder="1"/>
    <xf numFmtId="2" fontId="29" fillId="0" borderId="0" xfId="0" applyNumberFormat="1" applyFont="1" applyFill="1" applyAlignment="1">
      <alignment horizontal="right"/>
    </xf>
    <xf numFmtId="0" fontId="51" fillId="0" borderId="12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" fontId="39" fillId="0" borderId="15" xfId="0" applyNumberFormat="1" applyFont="1" applyBorder="1"/>
    <xf numFmtId="2" fontId="7" fillId="0" borderId="3" xfId="0" applyNumberFormat="1" applyFont="1" applyFill="1" applyBorder="1"/>
    <xf numFmtId="0" fontId="3" fillId="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7" fillId="15" borderId="0" xfId="0" applyFont="1" applyFill="1" applyAlignment="1">
      <alignment wrapText="1"/>
    </xf>
    <xf numFmtId="0" fontId="10" fillId="0" borderId="5" xfId="0" applyFont="1" applyFill="1" applyBorder="1" applyAlignment="1">
      <alignment horizontal="center"/>
    </xf>
    <xf numFmtId="2" fontId="7" fillId="17" borderId="3" xfId="0" applyNumberFormat="1" applyFont="1" applyFill="1" applyBorder="1"/>
    <xf numFmtId="0" fontId="7" fillId="17" borderId="0" xfId="0" applyFont="1" applyFill="1"/>
    <xf numFmtId="0" fontId="30" fillId="11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0" fillId="4" borderId="4" xfId="0" applyFill="1" applyBorder="1"/>
    <xf numFmtId="2" fontId="13" fillId="0" borderId="5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3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9" fillId="0" borderId="0" xfId="0" applyNumberFormat="1" applyFont="1" applyFill="1" applyAlignment="1">
      <alignment horizontal="right"/>
    </xf>
    <xf numFmtId="0" fontId="46" fillId="0" borderId="5" xfId="0" applyFont="1" applyFill="1" applyBorder="1" applyAlignment="1">
      <alignment horizontal="center"/>
    </xf>
    <xf numFmtId="164" fontId="46" fillId="0" borderId="0" xfId="0" applyNumberFormat="1" applyFont="1" applyFill="1" applyBorder="1"/>
    <xf numFmtId="166" fontId="46" fillId="0" borderId="0" xfId="0" applyNumberFormat="1" applyFont="1" applyFill="1"/>
    <xf numFmtId="167" fontId="48" fillId="0" borderId="0" xfId="0" applyNumberFormat="1" applyFont="1" applyFill="1" applyAlignment="1">
      <alignment horizontal="left"/>
    </xf>
    <xf numFmtId="0" fontId="46" fillId="0" borderId="45" xfId="0" applyFont="1" applyFill="1" applyBorder="1" applyAlignment="1">
      <alignment horizontal="center"/>
    </xf>
    <xf numFmtId="167" fontId="49" fillId="0" borderId="5" xfId="0" applyNumberFormat="1" applyFont="1" applyFill="1" applyBorder="1"/>
    <xf numFmtId="167" fontId="49" fillId="0" borderId="0" xfId="0" applyNumberFormat="1" applyFont="1" applyFill="1"/>
    <xf numFmtId="167" fontId="48" fillId="0" borderId="0" xfId="0" applyNumberFormat="1" applyFont="1" applyFill="1"/>
    <xf numFmtId="166" fontId="46" fillId="0" borderId="4" xfId="0" applyNumberFormat="1" applyFont="1" applyFill="1" applyBorder="1"/>
    <xf numFmtId="0" fontId="45" fillId="0" borderId="5" xfId="0" applyFont="1" applyFill="1" applyBorder="1" applyAlignment="1">
      <alignment horizontal="center"/>
    </xf>
    <xf numFmtId="164" fontId="55" fillId="0" borderId="0" xfId="0" applyNumberFormat="1" applyFont="1" applyFill="1" applyBorder="1"/>
    <xf numFmtId="167" fontId="48" fillId="0" borderId="10" xfId="0" applyNumberFormat="1" applyFont="1" applyFill="1" applyBorder="1"/>
    <xf numFmtId="0" fontId="48" fillId="0" borderId="0" xfId="0" applyFont="1" applyFill="1" applyAlignment="1">
      <alignment horizontal="center"/>
    </xf>
    <xf numFmtId="167" fontId="52" fillId="0" borderId="10" xfId="0" applyNumberFormat="1" applyFont="1" applyFill="1" applyBorder="1" applyAlignment="1">
      <alignment horizontal="right"/>
    </xf>
    <xf numFmtId="167" fontId="19" fillId="0" borderId="10" xfId="0" applyNumberFormat="1" applyFont="1" applyFill="1" applyBorder="1"/>
    <xf numFmtId="0" fontId="37" fillId="0" borderId="0" xfId="0" applyFont="1" applyFill="1" applyAlignment="1">
      <alignment horizontal="left"/>
    </xf>
    <xf numFmtId="2" fontId="64" fillId="0" borderId="0" xfId="0" applyNumberFormat="1" applyFont="1" applyAlignment="1">
      <alignment horizontal="right"/>
    </xf>
    <xf numFmtId="16" fontId="64" fillId="0" borderId="0" xfId="0" applyNumberFormat="1" applyFont="1"/>
    <xf numFmtId="2" fontId="64" fillId="0" borderId="0" xfId="0" applyNumberFormat="1" applyFont="1"/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2" fontId="64" fillId="0" borderId="0" xfId="0" applyNumberFormat="1" applyFont="1" applyFill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53" fillId="0" borderId="0" xfId="0" applyNumberFormat="1" applyFont="1" applyAlignment="1">
      <alignment horizontal="right"/>
    </xf>
    <xf numFmtId="16" fontId="53" fillId="0" borderId="0" xfId="0" applyNumberFormat="1" applyFont="1"/>
    <xf numFmtId="2" fontId="53" fillId="0" borderId="0" xfId="0" applyNumberFormat="1" applyFont="1"/>
    <xf numFmtId="0" fontId="53" fillId="0" borderId="0" xfId="0" applyFont="1" applyAlignment="1">
      <alignment horizontal="right"/>
    </xf>
    <xf numFmtId="16" fontId="53" fillId="0" borderId="15" xfId="0" applyNumberFormat="1" applyFont="1" applyBorder="1"/>
    <xf numFmtId="2" fontId="53" fillId="0" borderId="37" xfId="0" applyNumberFormat="1" applyFont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8" fillId="7" borderId="0" xfId="0" applyNumberFormat="1" applyFont="1" applyFill="1"/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4" fontId="10" fillId="7" borderId="0" xfId="0" applyNumberFormat="1" applyFont="1" applyFill="1"/>
    <xf numFmtId="0" fontId="7" fillId="7" borderId="0" xfId="0" applyFont="1" applyFill="1" applyAlignment="1">
      <alignment horizontal="center"/>
    </xf>
    <xf numFmtId="0" fontId="53" fillId="7" borderId="0" xfId="0" applyFont="1" applyFill="1" applyAlignment="1">
      <alignment horizontal="right"/>
    </xf>
    <xf numFmtId="4" fontId="0" fillId="7" borderId="0" xfId="0" applyNumberFormat="1" applyFill="1"/>
    <xf numFmtId="0" fontId="29" fillId="0" borderId="51" xfId="0" applyFont="1" applyBorder="1" applyAlignment="1">
      <alignment horizontal="right"/>
    </xf>
    <xf numFmtId="2" fontId="65" fillId="0" borderId="5" xfId="0" applyNumberFormat="1" applyFont="1" applyBorder="1" applyAlignment="1">
      <alignment horizontal="right"/>
    </xf>
    <xf numFmtId="16" fontId="65" fillId="0" borderId="0" xfId="0" applyNumberFormat="1" applyFont="1"/>
    <xf numFmtId="2" fontId="65" fillId="0" borderId="0" xfId="0" applyNumberFormat="1" applyFont="1" applyAlignment="1">
      <alignment horizontal="right"/>
    </xf>
    <xf numFmtId="0" fontId="65" fillId="0" borderId="51" xfId="0" applyFont="1" applyBorder="1" applyAlignment="1">
      <alignment horizontal="right"/>
    </xf>
    <xf numFmtId="164" fontId="65" fillId="0" borderId="0" xfId="0" applyNumberFormat="1" applyFont="1"/>
    <xf numFmtId="0" fontId="27" fillId="19" borderId="0" xfId="0" applyFont="1" applyFill="1" applyAlignment="1">
      <alignment horizontal="center"/>
    </xf>
    <xf numFmtId="2" fontId="7" fillId="16" borderId="0" xfId="0" applyNumberFormat="1" applyFont="1" applyFill="1"/>
    <xf numFmtId="0" fontId="27" fillId="20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64" fillId="7" borderId="10" xfId="0" applyFont="1" applyFill="1" applyBorder="1" applyAlignment="1">
      <alignment horizontal="right"/>
    </xf>
    <xf numFmtId="164" fontId="64" fillId="7" borderId="0" xfId="0" applyNumberFormat="1" applyFont="1" applyFill="1"/>
    <xf numFmtId="4" fontId="17" fillId="7" borderId="0" xfId="0" applyNumberFormat="1" applyFont="1" applyFill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16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165" fontId="7" fillId="0" borderId="0" xfId="0" applyNumberFormat="1" applyFont="1"/>
    <xf numFmtId="165" fontId="8" fillId="7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13" fillId="2" borderId="0" xfId="0" applyFont="1" applyFill="1"/>
    <xf numFmtId="0" fontId="24" fillId="0" borderId="5" xfId="0" applyFont="1" applyFill="1" applyBorder="1" applyAlignment="1">
      <alignment horizontal="center"/>
    </xf>
    <xf numFmtId="4" fontId="8" fillId="5" borderId="0" xfId="0" applyNumberFormat="1" applyFont="1" applyFill="1"/>
    <xf numFmtId="16" fontId="7" fillId="0" borderId="0" xfId="0" applyNumberFormat="1" applyFont="1" applyBorder="1"/>
    <xf numFmtId="2" fontId="0" fillId="2" borderId="5" xfId="0" applyNumberFormat="1" applyFill="1" applyBorder="1" applyAlignment="1">
      <alignment horizontal="right"/>
    </xf>
    <xf numFmtId="4" fontId="7" fillId="5" borderId="0" xfId="0" applyNumberFormat="1" applyFont="1" applyFill="1"/>
    <xf numFmtId="2" fontId="0" fillId="4" borderId="5" xfId="0" applyNumberFormat="1" applyFill="1" applyBorder="1" applyAlignment="1">
      <alignment horizontal="right"/>
    </xf>
    <xf numFmtId="164" fontId="57" fillId="7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4" fontId="29" fillId="0" borderId="37" xfId="0" applyNumberFormat="1" applyFont="1" applyBorder="1" applyAlignment="1">
      <alignment horizontal="right"/>
    </xf>
    <xf numFmtId="16" fontId="29" fillId="0" borderId="4" xfId="0" applyNumberFormat="1" applyFont="1" applyBorder="1"/>
    <xf numFmtId="4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0" fontId="0" fillId="7" borderId="0" xfId="0" applyFill="1"/>
    <xf numFmtId="0" fontId="7" fillId="19" borderId="33" xfId="0" applyFont="1" applyFill="1" applyBorder="1" applyAlignment="1">
      <alignment horizontal="center"/>
    </xf>
    <xf numFmtId="0" fontId="7" fillId="23" borderId="5" xfId="0" applyFont="1" applyFill="1" applyBorder="1" applyAlignment="1">
      <alignment horizontal="center"/>
    </xf>
    <xf numFmtId="164" fontId="10" fillId="2" borderId="0" xfId="0" applyNumberFormat="1" applyFont="1" applyFill="1"/>
    <xf numFmtId="0" fontId="63" fillId="2" borderId="0" xfId="0" applyFont="1" applyFill="1" applyAlignment="1">
      <alignment horizontal="left"/>
    </xf>
    <xf numFmtId="166" fontId="10" fillId="18" borderId="0" xfId="0" applyNumberFormat="1" applyFont="1" applyFill="1" applyBorder="1"/>
    <xf numFmtId="166" fontId="10" fillId="18" borderId="0" xfId="0" applyNumberFormat="1" applyFont="1" applyFill="1" applyBorder="1" applyAlignment="1">
      <alignment horizontal="right"/>
    </xf>
    <xf numFmtId="44" fontId="10" fillId="18" borderId="0" xfId="1" applyFont="1" applyFill="1" applyBorder="1" applyAlignment="1">
      <alignment horizontal="right"/>
    </xf>
    <xf numFmtId="166" fontId="53" fillId="8" borderId="0" xfId="0" applyNumberFormat="1" applyFont="1" applyFill="1" applyBorder="1" applyAlignment="1">
      <alignment horizontal="right"/>
    </xf>
    <xf numFmtId="166" fontId="53" fillId="8" borderId="0" xfId="0" applyNumberFormat="1" applyFont="1" applyFill="1" applyBorder="1"/>
    <xf numFmtId="166" fontId="53" fillId="8" borderId="0" xfId="1" applyNumberFormat="1" applyFont="1" applyFill="1" applyBorder="1"/>
    <xf numFmtId="164" fontId="7" fillId="4" borderId="0" xfId="0" applyNumberFormat="1" applyFont="1" applyFill="1" applyBorder="1"/>
    <xf numFmtId="167" fontId="18" fillId="4" borderId="0" xfId="0" applyNumberFormat="1" applyFont="1" applyFill="1" applyBorder="1"/>
    <xf numFmtId="0" fontId="23" fillId="4" borderId="0" xfId="0" applyFont="1" applyFill="1" applyBorder="1" applyAlignment="1">
      <alignment horizontal="left"/>
    </xf>
    <xf numFmtId="44" fontId="7" fillId="4" borderId="0" xfId="1" applyFont="1" applyFill="1" applyBorder="1"/>
    <xf numFmtId="166" fontId="53" fillId="0" borderId="0" xfId="0" applyNumberFormat="1" applyFont="1" applyFill="1" applyBorder="1" applyAlignment="1">
      <alignment horizontal="right"/>
    </xf>
    <xf numFmtId="0" fontId="66" fillId="0" borderId="0" xfId="0" applyFont="1" applyFill="1" applyBorder="1" applyAlignment="1">
      <alignment horizontal="left"/>
    </xf>
    <xf numFmtId="164" fontId="53" fillId="4" borderId="0" xfId="0" applyNumberFormat="1" applyFont="1" applyFill="1" applyBorder="1"/>
    <xf numFmtId="167" fontId="66" fillId="4" borderId="0" xfId="0" applyNumberFormat="1" applyFont="1" applyFill="1" applyBorder="1"/>
    <xf numFmtId="0" fontId="67" fillId="4" borderId="0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wrapText="1"/>
    </xf>
    <xf numFmtId="0" fontId="62" fillId="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10" fillId="20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33CCFF"/>
      <color rgb="FF00FF00"/>
      <color rgb="FF00CC00"/>
      <color rgb="FFFF9900"/>
      <color rgb="FF0099FF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OCTUBRE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OCTUBRE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OCTUBRE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43350375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OCTUBRE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43746</c:v>
                </c:pt>
                <c:pt idx="1">
                  <c:v>43746</c:v>
                </c:pt>
                <c:pt idx="2">
                  <c:v>43746</c:v>
                </c:pt>
                <c:pt idx="3">
                  <c:v>43748</c:v>
                </c:pt>
                <c:pt idx="4">
                  <c:v>43750</c:v>
                </c:pt>
                <c:pt idx="5">
                  <c:v>43750</c:v>
                </c:pt>
                <c:pt idx="6">
                  <c:v>43753</c:v>
                </c:pt>
                <c:pt idx="7">
                  <c:v>43753</c:v>
                </c:pt>
                <c:pt idx="8">
                  <c:v>43753</c:v>
                </c:pt>
                <c:pt idx="9">
                  <c:v>43754</c:v>
                </c:pt>
                <c:pt idx="10">
                  <c:v>43754</c:v>
                </c:pt>
                <c:pt idx="11">
                  <c:v>43755</c:v>
                </c:pt>
                <c:pt idx="12">
                  <c:v>43760</c:v>
                </c:pt>
                <c:pt idx="13">
                  <c:v>43761</c:v>
                </c:pt>
                <c:pt idx="14">
                  <c:v>43761</c:v>
                </c:pt>
                <c:pt idx="15">
                  <c:v>43761</c:v>
                </c:pt>
                <c:pt idx="16">
                  <c:v>43767</c:v>
                </c:pt>
                <c:pt idx="17">
                  <c:v>43768</c:v>
                </c:pt>
                <c:pt idx="18">
                  <c:v>43768</c:v>
                </c:pt>
                <c:pt idx="19">
                  <c:v>43768</c:v>
                </c:pt>
                <c:pt idx="20">
                  <c:v>43768</c:v>
                </c:pt>
                <c:pt idx="21">
                  <c:v>43769</c:v>
                </c:pt>
                <c:pt idx="22">
                  <c:v>43769</c:v>
                </c:pt>
                <c:pt idx="23">
                  <c:v>43770</c:v>
                </c:pt>
                <c:pt idx="24">
                  <c:v>43774</c:v>
                </c:pt>
                <c:pt idx="25">
                  <c:v>43774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OCTUBRE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19123.919999999998</c:v>
                </c:pt>
                <c:pt idx="1">
                  <c:v>19024.23</c:v>
                </c:pt>
                <c:pt idx="2">
                  <c:v>17894.46</c:v>
                </c:pt>
                <c:pt idx="3">
                  <c:v>17197.560000000001</c:v>
                </c:pt>
                <c:pt idx="4">
                  <c:v>18838.68</c:v>
                </c:pt>
                <c:pt idx="5">
                  <c:v>18869.02</c:v>
                </c:pt>
                <c:pt idx="6">
                  <c:v>18684.87</c:v>
                </c:pt>
                <c:pt idx="7">
                  <c:v>18825.27</c:v>
                </c:pt>
                <c:pt idx="8">
                  <c:v>19225.849999999999</c:v>
                </c:pt>
                <c:pt idx="9">
                  <c:v>18566.64</c:v>
                </c:pt>
                <c:pt idx="10">
                  <c:v>18852.13</c:v>
                </c:pt>
                <c:pt idx="11">
                  <c:v>18686.27</c:v>
                </c:pt>
                <c:pt idx="12">
                  <c:v>19210.04</c:v>
                </c:pt>
                <c:pt idx="13">
                  <c:v>18658.66</c:v>
                </c:pt>
                <c:pt idx="14">
                  <c:v>18630.439999999999</c:v>
                </c:pt>
                <c:pt idx="15">
                  <c:v>18719.27</c:v>
                </c:pt>
                <c:pt idx="16">
                  <c:v>18701.87</c:v>
                </c:pt>
                <c:pt idx="17">
                  <c:v>17483.150000000001</c:v>
                </c:pt>
                <c:pt idx="18">
                  <c:v>18165.41</c:v>
                </c:pt>
                <c:pt idx="19">
                  <c:v>18549.7</c:v>
                </c:pt>
                <c:pt idx="20">
                  <c:v>18605.59</c:v>
                </c:pt>
                <c:pt idx="21">
                  <c:v>19010.080000000002</c:v>
                </c:pt>
                <c:pt idx="22">
                  <c:v>18592.689999999999</c:v>
                </c:pt>
                <c:pt idx="23">
                  <c:v>18777.87</c:v>
                </c:pt>
                <c:pt idx="24">
                  <c:v>17763.86</c:v>
                </c:pt>
                <c:pt idx="25">
                  <c:v>17790.259999999998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OCTUBRE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OCTUBRE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18880.75</c:v>
                </c:pt>
                <c:pt idx="1">
                  <c:v>19125.64</c:v>
                </c:pt>
                <c:pt idx="2">
                  <c:v>17968</c:v>
                </c:pt>
                <c:pt idx="3">
                  <c:v>17253.5</c:v>
                </c:pt>
                <c:pt idx="4">
                  <c:v>19011.349999999999</c:v>
                </c:pt>
                <c:pt idx="5">
                  <c:v>18953</c:v>
                </c:pt>
                <c:pt idx="6">
                  <c:v>18768.5</c:v>
                </c:pt>
                <c:pt idx="7">
                  <c:v>18871</c:v>
                </c:pt>
                <c:pt idx="8">
                  <c:v>18918.830000000002</c:v>
                </c:pt>
                <c:pt idx="9">
                  <c:v>18632.099999999999</c:v>
                </c:pt>
                <c:pt idx="10">
                  <c:v>18817.25</c:v>
                </c:pt>
                <c:pt idx="11">
                  <c:v>18774.5</c:v>
                </c:pt>
                <c:pt idx="12">
                  <c:v>19125.61</c:v>
                </c:pt>
                <c:pt idx="13">
                  <c:v>18723.29</c:v>
                </c:pt>
                <c:pt idx="14">
                  <c:v>18731.45</c:v>
                </c:pt>
                <c:pt idx="15">
                  <c:v>18760</c:v>
                </c:pt>
                <c:pt idx="16">
                  <c:v>18752</c:v>
                </c:pt>
                <c:pt idx="17">
                  <c:v>17573.689999999999</c:v>
                </c:pt>
                <c:pt idx="18">
                  <c:v>18315.5</c:v>
                </c:pt>
                <c:pt idx="19">
                  <c:v>18679.259999999998</c:v>
                </c:pt>
                <c:pt idx="20">
                  <c:v>18693.78</c:v>
                </c:pt>
                <c:pt idx="21">
                  <c:v>19080.419999999998</c:v>
                </c:pt>
                <c:pt idx="22">
                  <c:v>18720.400000000001</c:v>
                </c:pt>
                <c:pt idx="23">
                  <c:v>18871.5</c:v>
                </c:pt>
                <c:pt idx="24">
                  <c:v>17904.77</c:v>
                </c:pt>
                <c:pt idx="25">
                  <c:v>17897.5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OCTUBRE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243.16999999999825</c:v>
                </c:pt>
                <c:pt idx="1">
                  <c:v>-101.40999999999985</c:v>
                </c:pt>
                <c:pt idx="2">
                  <c:v>-73.540000000000873</c:v>
                </c:pt>
                <c:pt idx="3">
                  <c:v>-55.93999999999869</c:v>
                </c:pt>
                <c:pt idx="4">
                  <c:v>-172.66999999999825</c:v>
                </c:pt>
                <c:pt idx="5">
                  <c:v>-83.979999999999563</c:v>
                </c:pt>
                <c:pt idx="6">
                  <c:v>-83.630000000001019</c:v>
                </c:pt>
                <c:pt idx="7">
                  <c:v>-45.729999999999563</c:v>
                </c:pt>
                <c:pt idx="8">
                  <c:v>307.0199999999968</c:v>
                </c:pt>
                <c:pt idx="9">
                  <c:v>-65.459999999999127</c:v>
                </c:pt>
                <c:pt idx="10">
                  <c:v>34.880000000001019</c:v>
                </c:pt>
                <c:pt idx="11">
                  <c:v>-88.229999999999563</c:v>
                </c:pt>
                <c:pt idx="12">
                  <c:v>84.430000000000291</c:v>
                </c:pt>
                <c:pt idx="13">
                  <c:v>-64.630000000001019</c:v>
                </c:pt>
                <c:pt idx="14">
                  <c:v>-101.01000000000204</c:v>
                </c:pt>
                <c:pt idx="15">
                  <c:v>-40.729999999999563</c:v>
                </c:pt>
                <c:pt idx="16">
                  <c:v>-50.130000000001019</c:v>
                </c:pt>
                <c:pt idx="17">
                  <c:v>-90.539999999997235</c:v>
                </c:pt>
                <c:pt idx="18">
                  <c:v>-150.09000000000015</c:v>
                </c:pt>
                <c:pt idx="19">
                  <c:v>-129.55999999999767</c:v>
                </c:pt>
                <c:pt idx="20">
                  <c:v>-88.18999999999869</c:v>
                </c:pt>
                <c:pt idx="21">
                  <c:v>-70.339999999996508</c:v>
                </c:pt>
                <c:pt idx="22">
                  <c:v>-127.71000000000276</c:v>
                </c:pt>
                <c:pt idx="23">
                  <c:v>-93.630000000001019</c:v>
                </c:pt>
                <c:pt idx="24">
                  <c:v>-140.90999999999985</c:v>
                </c:pt>
                <c:pt idx="25">
                  <c:v>-107.2400000000016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OCTUBRE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11808</c:v>
                </c:pt>
                <c:pt idx="1">
                  <c:v>11808</c:v>
                </c:pt>
                <c:pt idx="2">
                  <c:v>9508</c:v>
                </c:pt>
                <c:pt idx="3" formatCode="_(&quot;$&quot;* #,##0.00_);_(&quot;$&quot;* \(#,##0.00\);_(&quot;$&quot;* &quot;-&quot;??_);_(@_)">
                  <c:v>11658</c:v>
                </c:pt>
                <c:pt idx="4">
                  <c:v>11658</c:v>
                </c:pt>
                <c:pt idx="5">
                  <c:v>12798</c:v>
                </c:pt>
                <c:pt idx="6">
                  <c:v>11818</c:v>
                </c:pt>
                <c:pt idx="7">
                  <c:v>9508</c:v>
                </c:pt>
                <c:pt idx="8">
                  <c:v>10858</c:v>
                </c:pt>
                <c:pt idx="9">
                  <c:v>11808</c:v>
                </c:pt>
                <c:pt idx="10">
                  <c:v>11658</c:v>
                </c:pt>
                <c:pt idx="11">
                  <c:v>11808</c:v>
                </c:pt>
                <c:pt idx="12">
                  <c:v>11808</c:v>
                </c:pt>
                <c:pt idx="13">
                  <c:v>11808</c:v>
                </c:pt>
                <c:pt idx="14" formatCode="_(&quot;$&quot;* #,##0.00_);_(&quot;$&quot;* \(#,##0.00\);_(&quot;$&quot;* &quot;-&quot;??_);_(@_)">
                  <c:v>9508</c:v>
                </c:pt>
                <c:pt idx="15">
                  <c:v>10858</c:v>
                </c:pt>
                <c:pt idx="16">
                  <c:v>11808</c:v>
                </c:pt>
                <c:pt idx="17">
                  <c:v>11818</c:v>
                </c:pt>
                <c:pt idx="18">
                  <c:v>0</c:v>
                </c:pt>
                <c:pt idx="19">
                  <c:v>9508</c:v>
                </c:pt>
                <c:pt idx="20">
                  <c:v>11818</c:v>
                </c:pt>
                <c:pt idx="21">
                  <c:v>28508</c:v>
                </c:pt>
                <c:pt idx="22">
                  <c:v>0</c:v>
                </c:pt>
                <c:pt idx="23">
                  <c:v>10858</c:v>
                </c:pt>
                <c:pt idx="24" formatCode="_(&quot;$&quot;* #,##0.00_);_(&quot;$&quot;* \(#,##0.00\);_(&quot;$&quot;* &quot;-&quot;??_);_(@_)">
                  <c:v>10808</c:v>
                </c:pt>
                <c:pt idx="25">
                  <c:v>11808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9001244849</c:v>
                </c:pt>
                <c:pt idx="1">
                  <c:v>9001247110</c:v>
                </c:pt>
                <c:pt idx="2" formatCode="0">
                  <c:v>202469</c:v>
                </c:pt>
                <c:pt idx="3">
                  <c:v>202470</c:v>
                </c:pt>
                <c:pt idx="4">
                  <c:v>9001254822</c:v>
                </c:pt>
                <c:pt idx="5">
                  <c:v>202472</c:v>
                </c:pt>
                <c:pt idx="6">
                  <c:v>202474</c:v>
                </c:pt>
                <c:pt idx="7">
                  <c:v>202477</c:v>
                </c:pt>
                <c:pt idx="8">
                  <c:v>9001263305</c:v>
                </c:pt>
                <c:pt idx="9">
                  <c:v>0</c:v>
                </c:pt>
                <c:pt idx="10">
                  <c:v>9001264701</c:v>
                </c:pt>
                <c:pt idx="11">
                  <c:v>202478</c:v>
                </c:pt>
                <c:pt idx="12">
                  <c:v>9001279336</c:v>
                </c:pt>
                <c:pt idx="13">
                  <c:v>0</c:v>
                </c:pt>
                <c:pt idx="14">
                  <c:v>0</c:v>
                </c:pt>
                <c:pt idx="15">
                  <c:v>202483</c:v>
                </c:pt>
                <c:pt idx="16">
                  <c:v>202486</c:v>
                </c:pt>
                <c:pt idx="17" formatCode="0">
                  <c:v>9001292378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7982</c:v>
                </c:pt>
                <c:pt idx="22">
                  <c:v>0</c:v>
                </c:pt>
                <c:pt idx="24">
                  <c:v>9001309679</c:v>
                </c:pt>
                <c:pt idx="25">
                  <c:v>202492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3538</c:v>
                </c:pt>
                <c:pt idx="1">
                  <c:v>3538</c:v>
                </c:pt>
                <c:pt idx="2">
                  <c:v>3422</c:v>
                </c:pt>
                <c:pt idx="3">
                  <c:v>3393</c:v>
                </c:pt>
                <c:pt idx="4">
                  <c:v>3596</c:v>
                </c:pt>
                <c:pt idx="5">
                  <c:v>3712</c:v>
                </c:pt>
                <c:pt idx="6">
                  <c:v>3451</c:v>
                </c:pt>
                <c:pt idx="7">
                  <c:v>3451</c:v>
                </c:pt>
                <c:pt idx="8">
                  <c:v>3451</c:v>
                </c:pt>
                <c:pt idx="9">
                  <c:v>3538</c:v>
                </c:pt>
                <c:pt idx="10">
                  <c:v>3364</c:v>
                </c:pt>
                <c:pt idx="11">
                  <c:v>3422</c:v>
                </c:pt>
                <c:pt idx="12">
                  <c:v>3828</c:v>
                </c:pt>
                <c:pt idx="13">
                  <c:v>3828</c:v>
                </c:pt>
                <c:pt idx="14">
                  <c:v>3828</c:v>
                </c:pt>
                <c:pt idx="15">
                  <c:v>3770</c:v>
                </c:pt>
                <c:pt idx="16">
                  <c:v>3886</c:v>
                </c:pt>
                <c:pt idx="17">
                  <c:v>3625</c:v>
                </c:pt>
                <c:pt idx="18" formatCode="_(&quot;$&quot;* #,##0.00_);_(&quot;$&quot;* \(#,##0.00\);_(&quot;$&quot;* &quot;-&quot;??_);_(@_)">
                  <c:v>0</c:v>
                </c:pt>
                <c:pt idx="19">
                  <c:v>3944</c:v>
                </c:pt>
                <c:pt idx="20">
                  <c:v>3944</c:v>
                </c:pt>
                <c:pt idx="21">
                  <c:v>3944</c:v>
                </c:pt>
                <c:pt idx="22" formatCode="_(&quot;$&quot;* #,##0.00_);_(&quot;$&quot;* \(#,##0.00\);_(&quot;$&quot;* &quot;-&quot;??_);_(@_)">
                  <c:v>0</c:v>
                </c:pt>
                <c:pt idx="23">
                  <c:v>4002</c:v>
                </c:pt>
                <c:pt idx="24">
                  <c:v>4292</c:v>
                </c:pt>
                <c:pt idx="25">
                  <c:v>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552881.46360000002</c:v>
                </c:pt>
                <c:pt idx="1">
                  <c:v>560882.61407999997</c:v>
                </c:pt>
                <c:pt idx="2">
                  <c:v>531718.35255000007</c:v>
                </c:pt>
                <c:pt idx="3">
                  <c:v>525730.09983999992</c:v>
                </c:pt>
                <c:pt idx="4">
                  <c:v>582852.99711999996</c:v>
                </c:pt>
                <c:pt idx="5">
                  <c:v>589384.17954000004</c:v>
                </c:pt>
                <c:pt idx="6">
                  <c:v>541999.83015000005</c:v>
                </c:pt>
                <c:pt idx="7">
                  <c:v>536050.27912000008</c:v>
                </c:pt>
                <c:pt idx="8">
                  <c:v>543131.76119999995</c:v>
                </c:pt>
                <c:pt idx="9" formatCode="_(&quot;$&quot;* #,##0.00_);_(&quot;$&quot;* \(#,##0.00\);_(&quot;$&quot;* &quot;-&quot;??_);_(@_)">
                  <c:v>554922.79949999996</c:v>
                </c:pt>
                <c:pt idx="10" formatCode="_(&quot;$&quot;* #,##0.00_);_(&quot;$&quot;* \(#,##0.00\);_(&quot;$&quot;* &quot;-&quot;??_);_(@_)">
                  <c:v>526496.03259999992</c:v>
                </c:pt>
                <c:pt idx="11" formatCode="_(&quot;$&quot;* #,##0.00_);_(&quot;$&quot;* \(#,##0.00\);_(&quot;$&quot;* &quot;-&quot;??_);_(@_)">
                  <c:v>526733.10899999994</c:v>
                </c:pt>
                <c:pt idx="12">
                  <c:v>604258.34787000006</c:v>
                </c:pt>
                <c:pt idx="13">
                  <c:v>607448.81400000001</c:v>
                </c:pt>
                <c:pt idx="14">
                  <c:v>605606.19547999999</c:v>
                </c:pt>
                <c:pt idx="15">
                  <c:v>595986.86520000012</c:v>
                </c:pt>
                <c:pt idx="16">
                  <c:v>617510.51699999999</c:v>
                </c:pt>
                <c:pt idx="17">
                  <c:v>572966.21875</c:v>
                </c:pt>
                <c:pt idx="18">
                  <c:v>672182.15</c:v>
                </c:pt>
                <c:pt idx="19">
                  <c:v>622941.69252000004</c:v>
                </c:pt>
                <c:pt idx="20">
                  <c:v>623425.75396</c:v>
                </c:pt>
                <c:pt idx="21">
                  <c:v>605105.02500000002</c:v>
                </c:pt>
                <c:pt idx="22">
                  <c:v>715111.64</c:v>
                </c:pt>
                <c:pt idx="23">
                  <c:v>639790.63631999993</c:v>
                </c:pt>
                <c:pt idx="24">
                  <c:v>663027.47420000006</c:v>
                </c:pt>
                <c:pt idx="25">
                  <c:v>682821.74205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598387.46360000002</c:v>
                </c:pt>
                <c:pt idx="1">
                  <c:v>606388.61407999997</c:v>
                </c:pt>
                <c:pt idx="2">
                  <c:v>574808.35255000007</c:v>
                </c:pt>
                <c:pt idx="3">
                  <c:v>570941.09983999992</c:v>
                </c:pt>
                <c:pt idx="4">
                  <c:v>628266.99711999996</c:v>
                </c:pt>
                <c:pt idx="5">
                  <c:v>636054.17954000004</c:v>
                </c:pt>
                <c:pt idx="6">
                  <c:v>587428.83015000005</c:v>
                </c:pt>
                <c:pt idx="7">
                  <c:v>579169.27912000008</c:v>
                </c:pt>
                <c:pt idx="8">
                  <c:v>587600.76119999995</c:v>
                </c:pt>
                <c:pt idx="9">
                  <c:v>600428.79949999996</c:v>
                </c:pt>
                <c:pt idx="10">
                  <c:v>571678.03259999992</c:v>
                </c:pt>
                <c:pt idx="11">
                  <c:v>572123.10899999994</c:v>
                </c:pt>
                <c:pt idx="12">
                  <c:v>650054.34787000006</c:v>
                </c:pt>
                <c:pt idx="13">
                  <c:v>626100.81400000001</c:v>
                </c:pt>
                <c:pt idx="14">
                  <c:v>649102.19547999999</c:v>
                </c:pt>
                <c:pt idx="15">
                  <c:v>640774.86520000012</c:v>
                </c:pt>
                <c:pt idx="16">
                  <c:v>663364.51699999999</c:v>
                </c:pt>
                <c:pt idx="17">
                  <c:v>618569.21875</c:v>
                </c:pt>
                <c:pt idx="18">
                  <c:v>672182.15</c:v>
                </c:pt>
                <c:pt idx="19">
                  <c:v>666553.69252000004</c:v>
                </c:pt>
                <c:pt idx="20">
                  <c:v>669347.75396</c:v>
                </c:pt>
                <c:pt idx="21">
                  <c:v>667717.02500000002</c:v>
                </c:pt>
                <c:pt idx="22">
                  <c:v>715111.64</c:v>
                </c:pt>
                <c:pt idx="23">
                  <c:v>684810.63631999993</c:v>
                </c:pt>
                <c:pt idx="24">
                  <c:v>708287.47420000006</c:v>
                </c:pt>
                <c:pt idx="25">
                  <c:v>729197.74205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31.692992259311733</c:v>
                </c:pt>
                <c:pt idx="1">
                  <c:v>31.705533204640471</c:v>
                </c:pt>
                <c:pt idx="2">
                  <c:v>32.090669665516479</c:v>
                </c:pt>
                <c:pt idx="3">
                  <c:v>33.19132059234358</c:v>
                </c:pt>
                <c:pt idx="4">
                  <c:v>33.146942858871149</c:v>
                </c:pt>
                <c:pt idx="5">
                  <c:v>33.659551497915899</c:v>
                </c:pt>
                <c:pt idx="6">
                  <c:v>31.39865626714975</c:v>
                </c:pt>
                <c:pt idx="7">
                  <c:v>30.790969165386048</c:v>
                </c:pt>
                <c:pt idx="8">
                  <c:v>31.159043355218053</c:v>
                </c:pt>
                <c:pt idx="9">
                  <c:v>32.325503271236201</c:v>
                </c:pt>
                <c:pt idx="10">
                  <c:v>30.480530236883709</c:v>
                </c:pt>
                <c:pt idx="11">
                  <c:v>30.573413885855814</c:v>
                </c:pt>
                <c:pt idx="12">
                  <c:v>34.088685739696672</c:v>
                </c:pt>
                <c:pt idx="13">
                  <c:v>33.539679351225132</c:v>
                </c:pt>
                <c:pt idx="14">
                  <c:v>34.753067193410011</c:v>
                </c:pt>
                <c:pt idx="15">
                  <c:v>34.256442707889136</c:v>
                </c:pt>
                <c:pt idx="16">
                  <c:v>35.475667502133106</c:v>
                </c:pt>
                <c:pt idx="17">
                  <c:v>35.298596239605914</c:v>
                </c:pt>
                <c:pt idx="18">
                  <c:v>36.800180175261396</c:v>
                </c:pt>
                <c:pt idx="19">
                  <c:v>35.784159464561235</c:v>
                </c:pt>
                <c:pt idx="20">
                  <c:v>35.905907310346009</c:v>
                </c:pt>
                <c:pt idx="21">
                  <c:v>35.094880877884243</c:v>
                </c:pt>
                <c:pt idx="22">
                  <c:v>38.299591889062199</c:v>
                </c:pt>
                <c:pt idx="23">
                  <c:v>36.388087132448398</c:v>
                </c:pt>
                <c:pt idx="24">
                  <c:v>39.658591045849796</c:v>
                </c:pt>
                <c:pt idx="25">
                  <c:v>40.842994387484289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"/>
  <sheetViews>
    <sheetView tabSelected="1" topLeftCell="H10" zoomScaleNormal="100" workbookViewId="0">
      <selection activeCell="P29" sqref="P29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1" t="s">
        <v>159</v>
      </c>
      <c r="C1" s="54"/>
      <c r="D1" s="146"/>
      <c r="E1" s="117"/>
      <c r="F1" s="64"/>
      <c r="G1" s="63"/>
      <c r="H1" s="63"/>
      <c r="I1" s="63"/>
      <c r="K1" s="754" t="s">
        <v>26</v>
      </c>
      <c r="L1" s="196"/>
      <c r="M1" s="756" t="s">
        <v>27</v>
      </c>
      <c r="N1" s="70"/>
      <c r="P1" s="139" t="s">
        <v>38</v>
      </c>
      <c r="Q1" s="758" t="s">
        <v>28</v>
      </c>
      <c r="R1" s="229"/>
    </row>
    <row r="2" spans="1:29" ht="17.25" thickTop="1" thickBot="1" x14ac:dyDescent="0.3">
      <c r="A2" s="36"/>
      <c r="B2" s="511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55"/>
      <c r="L2" s="13" t="s">
        <v>29</v>
      </c>
      <c r="M2" s="757"/>
      <c r="N2" s="5" t="s">
        <v>29</v>
      </c>
      <c r="O2" s="75" t="s">
        <v>30</v>
      </c>
      <c r="P2" s="140" t="s">
        <v>39</v>
      </c>
      <c r="Q2" s="759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538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6">
        <f>PIERNA!I3</f>
        <v>0</v>
      </c>
      <c r="J3" s="329"/>
      <c r="K3" s="340"/>
      <c r="L3" s="390"/>
      <c r="M3" s="18"/>
      <c r="N3" s="428"/>
      <c r="O3" s="336"/>
      <c r="P3" s="347"/>
      <c r="Q3" s="346"/>
      <c r="R3" s="391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465" t="str">
        <f>PIERNA!B4</f>
        <v>SMITHFIELD FARMLAND</v>
      </c>
      <c r="C4" s="465" t="str">
        <f>PIERNA!C4</f>
        <v>Smithfield</v>
      </c>
      <c r="D4" s="148" t="str">
        <f>PIERNA!D4</f>
        <v>PED. 43121642</v>
      </c>
      <c r="E4" s="119">
        <f>PIERNA!E4</f>
        <v>43746</v>
      </c>
      <c r="F4" s="228">
        <f>PIERNA!F4</f>
        <v>19123.919999999998</v>
      </c>
      <c r="G4" s="145">
        <f>PIERNA!G4</f>
        <v>20</v>
      </c>
      <c r="H4" s="52">
        <f>PIERNA!H4</f>
        <v>18880.75</v>
      </c>
      <c r="I4" s="256">
        <f>PIERNA!I4</f>
        <v>243.16999999999825</v>
      </c>
      <c r="J4" s="546" t="s">
        <v>181</v>
      </c>
      <c r="K4" s="547">
        <v>11808</v>
      </c>
      <c r="L4" s="548" t="s">
        <v>185</v>
      </c>
      <c r="M4" s="547">
        <v>30160</v>
      </c>
      <c r="N4" s="549" t="s">
        <v>186</v>
      </c>
      <c r="O4" s="550">
        <v>9001244849</v>
      </c>
      <c r="P4" s="742">
        <v>3538</v>
      </c>
      <c r="Q4" s="539">
        <f>28251.48*19.57</f>
        <v>552881.46360000002</v>
      </c>
      <c r="R4" s="540" t="s">
        <v>184</v>
      </c>
      <c r="S4" s="83">
        <f t="shared" si="0"/>
        <v>598387.46360000002</v>
      </c>
      <c r="T4" s="83">
        <f t="shared" ref="T4:T5" si="1">S4/H4</f>
        <v>31.692992259311733</v>
      </c>
      <c r="U4" s="402"/>
    </row>
    <row r="5" spans="1:29" s="237" customFormat="1" x14ac:dyDescent="0.25">
      <c r="A5" s="145">
        <v>2</v>
      </c>
      <c r="B5" s="465" t="str">
        <f>PIERNA!B5</f>
        <v>SMITHFIED FARMLAND</v>
      </c>
      <c r="C5" s="465" t="str">
        <f>PIERNA!C5</f>
        <v>Smithfield</v>
      </c>
      <c r="D5" s="148" t="str">
        <f>PIERNA!D5</f>
        <v>PED. 43121643</v>
      </c>
      <c r="E5" s="119">
        <f>PIERNA!E5</f>
        <v>43746</v>
      </c>
      <c r="F5" s="228">
        <f>PIERNA!F5</f>
        <v>19024.23</v>
      </c>
      <c r="G5" s="145">
        <f>PIERNA!G5</f>
        <v>20</v>
      </c>
      <c r="H5" s="52">
        <f>PIERNA!H5</f>
        <v>19125.64</v>
      </c>
      <c r="I5" s="256">
        <f>PIERNA!I5</f>
        <v>-101.40999999999985</v>
      </c>
      <c r="J5" s="546" t="s">
        <v>182</v>
      </c>
      <c r="K5" s="547">
        <v>11808</v>
      </c>
      <c r="L5" s="548" t="s">
        <v>185</v>
      </c>
      <c r="M5" s="547">
        <v>30160</v>
      </c>
      <c r="N5" s="549" t="s">
        <v>186</v>
      </c>
      <c r="O5" s="550">
        <v>9001247110</v>
      </c>
      <c r="P5" s="742">
        <v>3538</v>
      </c>
      <c r="Q5" s="539">
        <f>28617.92*19.599</f>
        <v>560882.61407999997</v>
      </c>
      <c r="R5" s="540" t="s">
        <v>187</v>
      </c>
      <c r="S5" s="83">
        <f t="shared" si="0"/>
        <v>606388.61407999997</v>
      </c>
      <c r="T5" s="83">
        <f t="shared" si="1"/>
        <v>31.705533204640471</v>
      </c>
      <c r="U5" s="349"/>
    </row>
    <row r="6" spans="1:29" s="237" customFormat="1" x14ac:dyDescent="0.25">
      <c r="A6" s="145">
        <v>3</v>
      </c>
      <c r="B6" s="465" t="str">
        <f>PIERNA!B6</f>
        <v>IDEAL TRADING FOODS</v>
      </c>
      <c r="C6" s="465" t="str">
        <f>PIERNA!C6</f>
        <v>SIOUX</v>
      </c>
      <c r="D6" s="148" t="str">
        <f>PIERNA!D6</f>
        <v>PED. 43121641</v>
      </c>
      <c r="E6" s="119">
        <f>PIERNA!E6</f>
        <v>43746</v>
      </c>
      <c r="F6" s="228">
        <f>PIERNA!F6</f>
        <v>17894.46</v>
      </c>
      <c r="G6" s="145">
        <f>PIERNA!G6</f>
        <v>20</v>
      </c>
      <c r="H6" s="52">
        <f>PIERNA!H6</f>
        <v>17968</v>
      </c>
      <c r="I6" s="256">
        <f>PIERNA!I6</f>
        <v>-73.540000000000873</v>
      </c>
      <c r="J6" s="546" t="s">
        <v>183</v>
      </c>
      <c r="K6" s="547">
        <v>9508</v>
      </c>
      <c r="L6" s="551" t="s">
        <v>185</v>
      </c>
      <c r="M6" s="547">
        <v>30160</v>
      </c>
      <c r="N6" s="549" t="s">
        <v>186</v>
      </c>
      <c r="O6" s="552">
        <v>202469</v>
      </c>
      <c r="P6" s="742">
        <v>3422</v>
      </c>
      <c r="Q6" s="539">
        <f>27080.13*19.635</f>
        <v>531718.35255000007</v>
      </c>
      <c r="R6" s="540" t="s">
        <v>188</v>
      </c>
      <c r="S6" s="83">
        <f t="shared" si="0"/>
        <v>574808.35255000007</v>
      </c>
      <c r="T6" s="83">
        <f>S6/H6+0.1</f>
        <v>32.090669665516479</v>
      </c>
      <c r="U6" s="402"/>
    </row>
    <row r="7" spans="1:29" s="237" customFormat="1" ht="15.75" customHeight="1" x14ac:dyDescent="0.25">
      <c r="A7" s="145">
        <v>4</v>
      </c>
      <c r="B7" s="465" t="str">
        <f>PIERNA!B7</f>
        <v>IDEAL TRADING FOODS</v>
      </c>
      <c r="C7" s="465" t="str">
        <f>PIERNA!C7</f>
        <v>SIOUX</v>
      </c>
      <c r="D7" s="148" t="str">
        <f>PIERNA!D7</f>
        <v>PED. 43211450</v>
      </c>
      <c r="E7" s="119">
        <f>PIERNA!E7</f>
        <v>43748</v>
      </c>
      <c r="F7" s="228">
        <f>PIERNA!F7</f>
        <v>17197.560000000001</v>
      </c>
      <c r="G7" s="145">
        <f>PIERNA!G7</f>
        <v>20</v>
      </c>
      <c r="H7" s="52">
        <f>PIERNA!H7</f>
        <v>17253.5</v>
      </c>
      <c r="I7" s="256">
        <f>PIERNA!I7</f>
        <v>-55.93999999999869</v>
      </c>
      <c r="J7" s="546" t="s">
        <v>200</v>
      </c>
      <c r="K7" s="553">
        <v>11658</v>
      </c>
      <c r="L7" s="551" t="s">
        <v>253</v>
      </c>
      <c r="M7" s="547">
        <v>30160</v>
      </c>
      <c r="N7" s="549" t="s">
        <v>254</v>
      </c>
      <c r="O7" s="550">
        <v>202470</v>
      </c>
      <c r="P7" s="743">
        <v>3393</v>
      </c>
      <c r="Q7" s="539">
        <f>26790.16*19.624</f>
        <v>525730.09983999992</v>
      </c>
      <c r="R7" s="540" t="s">
        <v>264</v>
      </c>
      <c r="S7" s="83">
        <f t="shared" si="0"/>
        <v>570941.09983999992</v>
      </c>
      <c r="T7" s="83">
        <f>S7/H7+0.1</f>
        <v>33.19132059234358</v>
      </c>
      <c r="U7" s="349"/>
      <c r="W7" s="97"/>
      <c r="X7" s="97"/>
      <c r="Y7" s="301"/>
      <c r="Z7" s="302">
        <v>5.0000000000000001E-3</v>
      </c>
      <c r="AA7" s="301">
        <f t="shared" ref="AA7:AA22" si="2">Y7*Z7</f>
        <v>0</v>
      </c>
      <c r="AB7" s="301">
        <f t="shared" ref="AB7:AB22" si="3">AA7*16%</f>
        <v>0</v>
      </c>
      <c r="AC7" s="301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SMITHFIELD FRESH MEATS</v>
      </c>
      <c r="C8" s="237" t="str">
        <f>PIERNA!C8</f>
        <v>Smirhfield</v>
      </c>
      <c r="D8" s="148" t="str">
        <f>PIERNA!D8</f>
        <v>PED. 433067736</v>
      </c>
      <c r="E8" s="119">
        <f>PIERNA!E8</f>
        <v>43750</v>
      </c>
      <c r="F8" s="228">
        <f>PIERNA!F8</f>
        <v>18838.68</v>
      </c>
      <c r="G8" s="145">
        <f>PIERNA!G8</f>
        <v>20</v>
      </c>
      <c r="H8" s="52">
        <f>PIERNA!H8</f>
        <v>19011.349999999999</v>
      </c>
      <c r="I8" s="256">
        <f>PIERNA!I8</f>
        <v>-172.66999999999825</v>
      </c>
      <c r="J8" s="546" t="s">
        <v>201</v>
      </c>
      <c r="K8" s="547">
        <v>11658</v>
      </c>
      <c r="L8" s="551" t="s">
        <v>265</v>
      </c>
      <c r="M8" s="547">
        <v>30160</v>
      </c>
      <c r="N8" s="549" t="s">
        <v>249</v>
      </c>
      <c r="O8" s="555">
        <v>9001254822</v>
      </c>
      <c r="P8" s="743">
        <v>3596</v>
      </c>
      <c r="Q8" s="539">
        <f>29847.04*19.528</f>
        <v>582852.99711999996</v>
      </c>
      <c r="R8" s="540" t="s">
        <v>257</v>
      </c>
      <c r="S8" s="83">
        <f t="shared" si="0"/>
        <v>628266.99711999996</v>
      </c>
      <c r="T8" s="83">
        <f t="shared" ref="T8:T41" si="5">S8/H8+0.1</f>
        <v>33.146942858871149</v>
      </c>
      <c r="U8" s="402"/>
      <c r="W8" s="97"/>
      <c r="X8" s="97"/>
      <c r="Y8" s="301"/>
      <c r="Z8" s="302">
        <v>5.0000000000000001E-3</v>
      </c>
      <c r="AA8" s="301">
        <f t="shared" si="2"/>
        <v>0</v>
      </c>
      <c r="AB8" s="301">
        <f t="shared" si="3"/>
        <v>0</v>
      </c>
      <c r="AC8" s="301">
        <f t="shared" si="4"/>
        <v>0</v>
      </c>
    </row>
    <row r="9" spans="1:29" s="237" customFormat="1" x14ac:dyDescent="0.25">
      <c r="A9" s="145">
        <v>6</v>
      </c>
      <c r="B9" s="237" t="str">
        <f>PIERNA!B9</f>
        <v>IDEAL TRADING FOODS</v>
      </c>
      <c r="C9" s="237" t="str">
        <f>PIERNA!C9</f>
        <v>MAPLE</v>
      </c>
      <c r="D9" s="148" t="str">
        <f>PIERNA!D9</f>
        <v>PED. 43306259</v>
      </c>
      <c r="E9" s="119">
        <f>PIERNA!E9</f>
        <v>43750</v>
      </c>
      <c r="F9" s="228">
        <f>PIERNA!F9</f>
        <v>18869.02</v>
      </c>
      <c r="G9" s="145">
        <f>PIERNA!G9</f>
        <v>22</v>
      </c>
      <c r="H9" s="52">
        <f>PIERNA!H9</f>
        <v>18953</v>
      </c>
      <c r="I9" s="256">
        <f>PIERNA!I9</f>
        <v>-83.979999999999563</v>
      </c>
      <c r="J9" s="546" t="s">
        <v>202</v>
      </c>
      <c r="K9" s="547">
        <v>12798</v>
      </c>
      <c r="L9" s="551" t="s">
        <v>265</v>
      </c>
      <c r="M9" s="547">
        <v>30160</v>
      </c>
      <c r="N9" s="549" t="s">
        <v>249</v>
      </c>
      <c r="O9" s="550">
        <v>202472</v>
      </c>
      <c r="P9" s="743">
        <v>3712</v>
      </c>
      <c r="Q9" s="539">
        <f>30159.87*19.542</f>
        <v>589384.17954000004</v>
      </c>
      <c r="R9" s="540" t="s">
        <v>257</v>
      </c>
      <c r="S9" s="83">
        <f t="shared" si="0"/>
        <v>636054.17954000004</v>
      </c>
      <c r="T9" s="83">
        <f t="shared" si="5"/>
        <v>33.659551497915899</v>
      </c>
      <c r="U9" s="402"/>
      <c r="W9" s="97"/>
      <c r="X9" s="97"/>
      <c r="Y9" s="301"/>
      <c r="Z9" s="302">
        <v>5.0000000000000001E-3</v>
      </c>
      <c r="AA9" s="301">
        <f t="shared" si="2"/>
        <v>0</v>
      </c>
      <c r="AB9" s="301">
        <f t="shared" si="3"/>
        <v>0</v>
      </c>
      <c r="AC9" s="301">
        <f t="shared" si="4"/>
        <v>0</v>
      </c>
    </row>
    <row r="10" spans="1:29" s="237" customFormat="1" x14ac:dyDescent="0.25">
      <c r="A10" s="145">
        <v>7</v>
      </c>
      <c r="B10" s="237" t="str">
        <f>PIERNA!B10</f>
        <v>IDEAL TRADING</v>
      </c>
      <c r="C10" s="237" t="str">
        <f>PIERNA!C10</f>
        <v>SIOUX</v>
      </c>
      <c r="D10" s="148">
        <f>PIERNA!D10</f>
        <v>43350375</v>
      </c>
      <c r="E10" s="119">
        <f>PIERNA!E10</f>
        <v>43753</v>
      </c>
      <c r="F10" s="228">
        <f>PIERNA!F10</f>
        <v>18684.87</v>
      </c>
      <c r="G10" s="145">
        <f>PIERNA!G10</f>
        <v>21</v>
      </c>
      <c r="H10" s="52">
        <f>PIERNA!H10</f>
        <v>18768.5</v>
      </c>
      <c r="I10" s="256">
        <f>PIERNA!I10</f>
        <v>-83.630000000001019</v>
      </c>
      <c r="J10" s="546" t="s">
        <v>243</v>
      </c>
      <c r="K10" s="547">
        <v>11818</v>
      </c>
      <c r="L10" s="551" t="s">
        <v>249</v>
      </c>
      <c r="M10" s="547">
        <v>30160</v>
      </c>
      <c r="N10" s="549" t="s">
        <v>250</v>
      </c>
      <c r="O10" s="550">
        <v>202474</v>
      </c>
      <c r="P10" s="742">
        <v>3451</v>
      </c>
      <c r="Q10" s="539">
        <f>28090.17*19.295</f>
        <v>541999.83015000005</v>
      </c>
      <c r="R10" s="540" t="s">
        <v>259</v>
      </c>
      <c r="S10" s="83">
        <f>Q10+M10+K10+P10</f>
        <v>587428.83015000005</v>
      </c>
      <c r="T10" s="83">
        <f t="shared" si="5"/>
        <v>31.39865626714975</v>
      </c>
      <c r="U10" s="402"/>
      <c r="W10" s="97"/>
      <c r="X10" s="97"/>
      <c r="Y10" s="301"/>
      <c r="Z10" s="302">
        <v>5.0000000000000001E-3</v>
      </c>
      <c r="AA10" s="301">
        <f t="shared" si="2"/>
        <v>0</v>
      </c>
      <c r="AB10" s="301">
        <f t="shared" si="3"/>
        <v>0</v>
      </c>
      <c r="AC10" s="301">
        <f t="shared" si="4"/>
        <v>0</v>
      </c>
    </row>
    <row r="11" spans="1:29" s="237" customFormat="1" x14ac:dyDescent="0.25">
      <c r="A11" s="145">
        <v>8</v>
      </c>
      <c r="B11" s="237" t="str">
        <f>PIERNA!B11</f>
        <v>IDEAL TRADING</v>
      </c>
      <c r="C11" s="237" t="str">
        <f>PIERNA!C11</f>
        <v>SIOUX</v>
      </c>
      <c r="D11" s="148" t="str">
        <f>PIERNA!D11</f>
        <v>PED. 43351938</v>
      </c>
      <c r="E11" s="119">
        <f>PIERNA!E11</f>
        <v>43753</v>
      </c>
      <c r="F11" s="228">
        <f>PIERNA!F11</f>
        <v>18825.27</v>
      </c>
      <c r="G11" s="145">
        <f>PIERNA!G11</f>
        <v>21</v>
      </c>
      <c r="H11" s="52">
        <f>PIERNA!H11</f>
        <v>18871</v>
      </c>
      <c r="I11" s="256">
        <f>PIERNA!I11</f>
        <v>-45.729999999999563</v>
      </c>
      <c r="J11" s="736" t="s">
        <v>244</v>
      </c>
      <c r="K11" s="547">
        <v>9508</v>
      </c>
      <c r="L11" s="551" t="s">
        <v>249</v>
      </c>
      <c r="M11" s="547">
        <v>30160</v>
      </c>
      <c r="N11" s="549" t="s">
        <v>250</v>
      </c>
      <c r="O11" s="555">
        <v>202477</v>
      </c>
      <c r="P11" s="744">
        <v>3451</v>
      </c>
      <c r="Q11" s="539">
        <f>27761.68*19.309</f>
        <v>536050.27912000008</v>
      </c>
      <c r="R11" s="540" t="s">
        <v>259</v>
      </c>
      <c r="S11" s="83">
        <f t="shared" si="0"/>
        <v>579169.27912000008</v>
      </c>
      <c r="T11" s="83">
        <f t="shared" si="5"/>
        <v>30.790969165386048</v>
      </c>
      <c r="U11" s="402"/>
      <c r="W11" s="97"/>
      <c r="X11" s="97"/>
      <c r="Y11" s="301"/>
      <c r="Z11" s="302">
        <v>5.0000000000000001E-3</v>
      </c>
      <c r="AA11" s="301">
        <f t="shared" si="2"/>
        <v>0</v>
      </c>
      <c r="AB11" s="301">
        <f t="shared" si="3"/>
        <v>0</v>
      </c>
      <c r="AC11" s="301">
        <f t="shared" si="4"/>
        <v>0</v>
      </c>
    </row>
    <row r="12" spans="1:29" s="237" customFormat="1" x14ac:dyDescent="0.25">
      <c r="A12" s="145">
        <v>9</v>
      </c>
      <c r="B12" s="237" t="str">
        <f>PIERNA!B12</f>
        <v>SMITHFIELD FRESH MEATS</v>
      </c>
      <c r="C12" s="237" t="str">
        <f>PIERNA!C12</f>
        <v>Smithfield</v>
      </c>
      <c r="D12" s="148" t="str">
        <f>PIERNA!D12</f>
        <v>PED. 43352191</v>
      </c>
      <c r="E12" s="119">
        <f>PIERNA!E12</f>
        <v>43753</v>
      </c>
      <c r="F12" s="228">
        <f>PIERNA!F12</f>
        <v>19225.849999999999</v>
      </c>
      <c r="G12" s="145">
        <f>PIERNA!G12</f>
        <v>20</v>
      </c>
      <c r="H12" s="52">
        <f>PIERNA!H12</f>
        <v>18918.830000000002</v>
      </c>
      <c r="I12" s="154">
        <f>PIERNA!I12</f>
        <v>307.0199999999968</v>
      </c>
      <c r="J12" s="546" t="s">
        <v>245</v>
      </c>
      <c r="K12" s="547">
        <v>10858</v>
      </c>
      <c r="L12" s="551" t="s">
        <v>249</v>
      </c>
      <c r="M12" s="547">
        <v>30160</v>
      </c>
      <c r="N12" s="549" t="s">
        <v>250</v>
      </c>
      <c r="O12" s="555">
        <v>9001263305</v>
      </c>
      <c r="P12" s="743">
        <v>3451</v>
      </c>
      <c r="Q12" s="539">
        <f>28112.41*19.32</f>
        <v>543131.76119999995</v>
      </c>
      <c r="R12" s="540" t="s">
        <v>258</v>
      </c>
      <c r="S12" s="83">
        <f t="shared" si="0"/>
        <v>587600.76119999995</v>
      </c>
      <c r="T12" s="83">
        <f t="shared" si="5"/>
        <v>31.159043355218053</v>
      </c>
      <c r="U12" s="403"/>
      <c r="W12" s="97"/>
      <c r="X12" s="97"/>
      <c r="Y12" s="301"/>
      <c r="Z12" s="302">
        <v>5.0000000000000001E-3</v>
      </c>
      <c r="AA12" s="301">
        <f t="shared" si="2"/>
        <v>0</v>
      </c>
      <c r="AB12" s="301">
        <f t="shared" si="3"/>
        <v>0</v>
      </c>
      <c r="AC12" s="301">
        <f t="shared" si="4"/>
        <v>0</v>
      </c>
    </row>
    <row r="13" spans="1:29" s="237" customFormat="1" x14ac:dyDescent="0.25">
      <c r="A13" s="145">
        <v>10</v>
      </c>
      <c r="B13" s="237" t="str">
        <f>PIERNA!B13</f>
        <v>TYSON FRESH MEATS</v>
      </c>
      <c r="C13" s="237" t="str">
        <f>PIERNA!C13</f>
        <v xml:space="preserve">I B P </v>
      </c>
      <c r="D13" s="148" t="str">
        <f>PIERNA!D13</f>
        <v>PED. 43397922</v>
      </c>
      <c r="E13" s="119">
        <f>PIERNA!E13</f>
        <v>43754</v>
      </c>
      <c r="F13" s="228">
        <f>PIERNA!F13</f>
        <v>18566.64</v>
      </c>
      <c r="G13" s="145">
        <f>PIERNA!G13</f>
        <v>20</v>
      </c>
      <c r="H13" s="52">
        <f>PIERNA!H13</f>
        <v>18632.099999999999</v>
      </c>
      <c r="I13" s="256">
        <f>PIERNA!I13</f>
        <v>-65.459999999999127</v>
      </c>
      <c r="J13" s="546" t="s">
        <v>246</v>
      </c>
      <c r="K13" s="547">
        <v>11808</v>
      </c>
      <c r="L13" s="551" t="s">
        <v>250</v>
      </c>
      <c r="M13" s="547">
        <v>30160</v>
      </c>
      <c r="N13" s="549" t="s">
        <v>251</v>
      </c>
      <c r="O13" s="555" t="s">
        <v>262</v>
      </c>
      <c r="P13" s="743">
        <v>3538</v>
      </c>
      <c r="Q13" s="553">
        <f>28297.95*19.61</f>
        <v>554922.79949999996</v>
      </c>
      <c r="R13" s="540" t="s">
        <v>263</v>
      </c>
      <c r="S13" s="83">
        <f t="shared" si="0"/>
        <v>600428.79949999996</v>
      </c>
      <c r="T13" s="83">
        <f t="shared" si="5"/>
        <v>32.325503271236201</v>
      </c>
      <c r="U13" s="349"/>
      <c r="W13" s="97"/>
      <c r="X13" s="97"/>
      <c r="Y13" s="301"/>
      <c r="Z13" s="302">
        <v>5.0000000000000001E-3</v>
      </c>
      <c r="AA13" s="301">
        <f t="shared" si="2"/>
        <v>0</v>
      </c>
      <c r="AB13" s="301">
        <f t="shared" si="3"/>
        <v>0</v>
      </c>
      <c r="AC13" s="301">
        <f t="shared" si="4"/>
        <v>0</v>
      </c>
    </row>
    <row r="14" spans="1:29" s="237" customFormat="1" x14ac:dyDescent="0.25">
      <c r="A14" s="145">
        <v>11</v>
      </c>
      <c r="B14" s="237" t="str">
        <f>PIERNA!B14</f>
        <v>SMITHFIELD FRESH MEATS</v>
      </c>
      <c r="C14" s="237" t="str">
        <f>PIERNA!C14</f>
        <v xml:space="preserve">Smithfield </v>
      </c>
      <c r="D14" s="148" t="str">
        <f>PIERNA!D14</f>
        <v>PED. 43397923</v>
      </c>
      <c r="E14" s="119">
        <f>PIERNA!E14</f>
        <v>43754</v>
      </c>
      <c r="F14" s="228">
        <f>PIERNA!F14</f>
        <v>18852.13</v>
      </c>
      <c r="G14" s="145">
        <f>PIERNA!G14</f>
        <v>20</v>
      </c>
      <c r="H14" s="52">
        <f>PIERNA!H14</f>
        <v>18817.25</v>
      </c>
      <c r="I14" s="256">
        <f>PIERNA!I14</f>
        <v>34.880000000001019</v>
      </c>
      <c r="J14" s="546" t="s">
        <v>247</v>
      </c>
      <c r="K14" s="547">
        <v>11658</v>
      </c>
      <c r="L14" s="551" t="s">
        <v>250</v>
      </c>
      <c r="M14" s="547">
        <v>30160</v>
      </c>
      <c r="N14" s="549" t="s">
        <v>251</v>
      </c>
      <c r="O14" s="550">
        <v>9001264701</v>
      </c>
      <c r="P14" s="743">
        <v>3364</v>
      </c>
      <c r="Q14" s="553">
        <f>27265.46*19.31</f>
        <v>526496.03259999992</v>
      </c>
      <c r="R14" s="558" t="s">
        <v>260</v>
      </c>
      <c r="S14" s="83">
        <f t="shared" si="0"/>
        <v>571678.03259999992</v>
      </c>
      <c r="T14" s="83">
        <f t="shared" si="5"/>
        <v>30.480530236883709</v>
      </c>
      <c r="U14" s="349"/>
      <c r="W14" s="97"/>
      <c r="X14" s="97"/>
      <c r="Y14" s="301"/>
      <c r="Z14" s="302">
        <v>5.0000000000000001E-3</v>
      </c>
      <c r="AA14" s="301">
        <f t="shared" si="2"/>
        <v>0</v>
      </c>
      <c r="AB14" s="301">
        <f t="shared" si="3"/>
        <v>0</v>
      </c>
      <c r="AC14" s="301">
        <f t="shared" si="4"/>
        <v>0</v>
      </c>
    </row>
    <row r="15" spans="1:29" s="237" customFormat="1" x14ac:dyDescent="0.25">
      <c r="A15" s="145">
        <v>12</v>
      </c>
      <c r="B15" s="237" t="str">
        <f>PIERNA!B15</f>
        <v>IDEAL TRADING</v>
      </c>
      <c r="C15" s="237" t="str">
        <f>PIERNA!C15</f>
        <v>SIOUX</v>
      </c>
      <c r="D15" s="148" t="str">
        <f>PIERNA!D15</f>
        <v>PED. 43354896</v>
      </c>
      <c r="E15" s="119">
        <f>PIERNA!E15</f>
        <v>43755</v>
      </c>
      <c r="F15" s="228">
        <f>PIERNA!F15</f>
        <v>18686.27</v>
      </c>
      <c r="G15" s="145">
        <f>PIERNA!G15</f>
        <v>21</v>
      </c>
      <c r="H15" s="52">
        <f>PIERNA!H15</f>
        <v>18774.5</v>
      </c>
      <c r="I15" s="256">
        <f>PIERNA!I15</f>
        <v>-88.229999999999563</v>
      </c>
      <c r="J15" s="556" t="s">
        <v>248</v>
      </c>
      <c r="K15" s="547">
        <v>11808</v>
      </c>
      <c r="L15" s="551" t="s">
        <v>251</v>
      </c>
      <c r="M15" s="547">
        <v>30160</v>
      </c>
      <c r="N15" s="557" t="s">
        <v>252</v>
      </c>
      <c r="O15" s="550">
        <v>202478</v>
      </c>
      <c r="P15" s="739">
        <v>3422</v>
      </c>
      <c r="Q15" s="553">
        <f>27412.6*19.215</f>
        <v>526733.10899999994</v>
      </c>
      <c r="R15" s="602" t="s">
        <v>261</v>
      </c>
      <c r="S15" s="83">
        <f t="shared" si="0"/>
        <v>572123.10899999994</v>
      </c>
      <c r="T15" s="83">
        <f t="shared" si="5"/>
        <v>30.573413885855814</v>
      </c>
      <c r="U15" s="349"/>
      <c r="W15" s="97"/>
      <c r="X15" s="97"/>
      <c r="Y15" s="301"/>
      <c r="Z15" s="302">
        <v>5.0000000000000001E-3</v>
      </c>
      <c r="AA15" s="301">
        <f t="shared" si="2"/>
        <v>0</v>
      </c>
      <c r="AB15" s="301">
        <f t="shared" si="3"/>
        <v>0</v>
      </c>
      <c r="AC15" s="301">
        <f t="shared" si="4"/>
        <v>0</v>
      </c>
    </row>
    <row r="16" spans="1:29" s="237" customFormat="1" x14ac:dyDescent="0.25">
      <c r="A16" s="145">
        <v>13</v>
      </c>
      <c r="B16" s="237" t="str">
        <f>PIERNA!B16</f>
        <v>SMITHFIELD FRESH MEATS</v>
      </c>
      <c r="C16" s="237" t="str">
        <f>PIERNA!C16</f>
        <v>Smithfield</v>
      </c>
      <c r="D16" s="148" t="str">
        <f>PIERNA!D16</f>
        <v>PED. 43632540</v>
      </c>
      <c r="E16" s="119">
        <f>PIERNA!E16</f>
        <v>43760</v>
      </c>
      <c r="F16" s="228">
        <f>PIERNA!F16</f>
        <v>19210.04</v>
      </c>
      <c r="G16" s="145">
        <f>PIERNA!G16</f>
        <v>20</v>
      </c>
      <c r="H16" s="52">
        <f>PIERNA!H16</f>
        <v>19125.61</v>
      </c>
      <c r="I16" s="256">
        <f>PIERNA!I16</f>
        <v>84.430000000000291</v>
      </c>
      <c r="J16" s="512" t="s">
        <v>270</v>
      </c>
      <c r="K16" s="547">
        <v>11808</v>
      </c>
      <c r="L16" s="551" t="s">
        <v>363</v>
      </c>
      <c r="M16" s="547">
        <v>30160</v>
      </c>
      <c r="N16" s="557" t="s">
        <v>274</v>
      </c>
      <c r="O16" s="550">
        <v>9001279336</v>
      </c>
      <c r="P16" s="739">
        <v>3828</v>
      </c>
      <c r="Q16" s="539">
        <f>31489.83*19.189</f>
        <v>604258.34787000006</v>
      </c>
      <c r="R16" s="540" t="s">
        <v>367</v>
      </c>
      <c r="S16" s="83">
        <f t="shared" si="0"/>
        <v>650054.34787000006</v>
      </c>
      <c r="T16" s="83">
        <f t="shared" si="5"/>
        <v>34.088685739696672</v>
      </c>
      <c r="U16" s="349"/>
      <c r="W16" s="97"/>
      <c r="X16" s="97"/>
      <c r="Y16" s="301"/>
      <c r="Z16" s="302">
        <v>5.0000000000000001E-3</v>
      </c>
      <c r="AA16" s="301">
        <f t="shared" si="2"/>
        <v>0</v>
      </c>
      <c r="AB16" s="301">
        <f t="shared" si="3"/>
        <v>0</v>
      </c>
      <c r="AC16" s="301">
        <f t="shared" si="4"/>
        <v>0</v>
      </c>
    </row>
    <row r="17" spans="1:29" s="237" customFormat="1" x14ac:dyDescent="0.25">
      <c r="A17" s="145">
        <v>14</v>
      </c>
      <c r="B17" s="237" t="str">
        <f>PIERNA!B17</f>
        <v>TYSON FRESH MEATS</v>
      </c>
      <c r="C17" s="237" t="str">
        <f>PIERNA!C17</f>
        <v xml:space="preserve">I B P </v>
      </c>
      <c r="D17" s="148" t="str">
        <f>PIERNA!D17</f>
        <v>PED. 43660261</v>
      </c>
      <c r="E17" s="119">
        <f>PIERNA!E17</f>
        <v>43761</v>
      </c>
      <c r="F17" s="228">
        <f>PIERNA!F17</f>
        <v>18658.66</v>
      </c>
      <c r="G17" s="145">
        <f>PIERNA!G17</f>
        <v>20</v>
      </c>
      <c r="H17" s="52">
        <f>PIERNA!H17</f>
        <v>18723.29</v>
      </c>
      <c r="I17" s="256">
        <f>PIERNA!I17</f>
        <v>-64.630000000001019</v>
      </c>
      <c r="J17" s="546" t="s">
        <v>271</v>
      </c>
      <c r="K17" s="547">
        <v>11808</v>
      </c>
      <c r="L17" s="551" t="s">
        <v>274</v>
      </c>
      <c r="M17" s="547">
        <v>3016</v>
      </c>
      <c r="N17" s="557" t="s">
        <v>275</v>
      </c>
      <c r="O17" s="550" t="s">
        <v>366</v>
      </c>
      <c r="P17" s="739">
        <v>3828</v>
      </c>
      <c r="Q17" s="539">
        <f>31441.45*19.32</f>
        <v>607448.81400000001</v>
      </c>
      <c r="R17" s="558" t="s">
        <v>365</v>
      </c>
      <c r="S17" s="83">
        <f t="shared" si="0"/>
        <v>626100.81400000001</v>
      </c>
      <c r="T17" s="83">
        <f t="shared" si="5"/>
        <v>33.539679351225132</v>
      </c>
      <c r="U17" s="401"/>
      <c r="W17" s="97"/>
      <c r="X17" s="97"/>
      <c r="Y17" s="301"/>
      <c r="Z17" s="302">
        <v>5.0000000000000001E-3</v>
      </c>
      <c r="AA17" s="301">
        <f t="shared" si="2"/>
        <v>0</v>
      </c>
      <c r="AB17" s="301">
        <f t="shared" si="3"/>
        <v>0</v>
      </c>
      <c r="AC17" s="301">
        <f t="shared" si="4"/>
        <v>0</v>
      </c>
    </row>
    <row r="18" spans="1:29" s="237" customFormat="1" x14ac:dyDescent="0.25">
      <c r="A18" s="145">
        <v>15</v>
      </c>
      <c r="B18" s="102" t="str">
        <f>PIERNA!B18</f>
        <v>TYSON FRESH MEATS</v>
      </c>
      <c r="C18" s="237" t="str">
        <f>PIERNA!C18</f>
        <v xml:space="preserve">I B P </v>
      </c>
      <c r="D18" s="148" t="str">
        <f>PIERNA!D18</f>
        <v>PED. 43660263</v>
      </c>
      <c r="E18" s="119">
        <f>PIERNA!E18</f>
        <v>43761</v>
      </c>
      <c r="F18" s="228">
        <f>PIERNA!F18</f>
        <v>18630.439999999999</v>
      </c>
      <c r="G18" s="145">
        <f>PIERNA!G18</f>
        <v>20</v>
      </c>
      <c r="H18" s="52">
        <f>PIERNA!H18</f>
        <v>18731.45</v>
      </c>
      <c r="I18" s="256">
        <f>PIERNA!I18</f>
        <v>-101.01000000000204</v>
      </c>
      <c r="J18" s="546" t="s">
        <v>272</v>
      </c>
      <c r="K18" s="553">
        <v>9508</v>
      </c>
      <c r="L18" s="624" t="s">
        <v>274</v>
      </c>
      <c r="M18" s="547">
        <v>30160</v>
      </c>
      <c r="N18" s="549" t="s">
        <v>275</v>
      </c>
      <c r="O18" s="550" t="s">
        <v>364</v>
      </c>
      <c r="P18" s="740">
        <v>3828</v>
      </c>
      <c r="Q18" s="539">
        <f>31455.16*19.253</f>
        <v>605606.19547999999</v>
      </c>
      <c r="R18" s="540" t="s">
        <v>365</v>
      </c>
      <c r="S18" s="83">
        <f t="shared" si="0"/>
        <v>649102.19547999999</v>
      </c>
      <c r="T18" s="83">
        <f t="shared" si="5"/>
        <v>34.753067193410011</v>
      </c>
      <c r="U18" s="348"/>
      <c r="W18" s="97"/>
      <c r="X18" s="97"/>
      <c r="Y18" s="301"/>
      <c r="Z18" s="302">
        <v>5.0000000000000001E-3</v>
      </c>
      <c r="AA18" s="301">
        <f t="shared" si="2"/>
        <v>0</v>
      </c>
      <c r="AB18" s="301">
        <f t="shared" si="3"/>
        <v>0</v>
      </c>
      <c r="AC18" s="301">
        <f t="shared" si="4"/>
        <v>0</v>
      </c>
    </row>
    <row r="19" spans="1:29" s="237" customFormat="1" x14ac:dyDescent="0.25">
      <c r="A19" s="145">
        <v>16</v>
      </c>
      <c r="B19" s="237" t="str">
        <f>PIERNA!B19</f>
        <v>IDEAL TRADING</v>
      </c>
      <c r="C19" s="237" t="str">
        <f>PIERNA!C19</f>
        <v>SIOUX</v>
      </c>
      <c r="D19" s="148" t="str">
        <f>PIERNA!D19</f>
        <v>PED. 43632539</v>
      </c>
      <c r="E19" s="119">
        <f>PIERNA!E19</f>
        <v>43761</v>
      </c>
      <c r="F19" s="228">
        <f>PIERNA!F19</f>
        <v>18719.27</v>
      </c>
      <c r="G19" s="145">
        <f>PIERNA!G19</f>
        <v>21</v>
      </c>
      <c r="H19" s="52">
        <f>PIERNA!H19</f>
        <v>18760</v>
      </c>
      <c r="I19" s="256">
        <f>PIERNA!I19</f>
        <v>-40.729999999999563</v>
      </c>
      <c r="J19" s="546" t="s">
        <v>273</v>
      </c>
      <c r="K19" s="547">
        <v>10858</v>
      </c>
      <c r="L19" s="551" t="s">
        <v>363</v>
      </c>
      <c r="M19" s="547">
        <v>30160</v>
      </c>
      <c r="N19" s="549" t="s">
        <v>276</v>
      </c>
      <c r="O19" s="550">
        <v>202483</v>
      </c>
      <c r="P19" s="739">
        <v>3770</v>
      </c>
      <c r="Q19" s="539">
        <f>31089.56*19.17</f>
        <v>595986.86520000012</v>
      </c>
      <c r="R19" s="559" t="s">
        <v>367</v>
      </c>
      <c r="S19" s="83">
        <f t="shared" si="0"/>
        <v>640774.86520000012</v>
      </c>
      <c r="T19" s="83">
        <f t="shared" si="5"/>
        <v>34.256442707889136</v>
      </c>
      <c r="W19" s="97"/>
      <c r="X19" s="97"/>
      <c r="Y19" s="301"/>
      <c r="Z19" s="302">
        <v>5.0000000000000001E-3</v>
      </c>
      <c r="AA19" s="301">
        <f t="shared" si="2"/>
        <v>0</v>
      </c>
      <c r="AB19" s="301">
        <f t="shared" si="3"/>
        <v>0</v>
      </c>
      <c r="AC19" s="301">
        <f t="shared" si="4"/>
        <v>0</v>
      </c>
    </row>
    <row r="20" spans="1:29" s="237" customFormat="1" x14ac:dyDescent="0.25">
      <c r="A20" s="145">
        <v>17</v>
      </c>
      <c r="B20" s="237" t="str">
        <f>PIERNA!B20</f>
        <v>IDEAL TRADING</v>
      </c>
      <c r="C20" s="102" t="str">
        <f>PIERNA!C20</f>
        <v>SIOUX</v>
      </c>
      <c r="D20" s="148" t="str">
        <f>PIERNA!D20</f>
        <v>PED. 43892702</v>
      </c>
      <c r="E20" s="119">
        <f>PIERNA!E20</f>
        <v>43767</v>
      </c>
      <c r="F20" s="228">
        <f>PIERNA!F20</f>
        <v>18701.87</v>
      </c>
      <c r="G20" s="145">
        <f>PIERNA!G20</f>
        <v>21</v>
      </c>
      <c r="H20" s="52">
        <f>PIERNA!H20</f>
        <v>18752</v>
      </c>
      <c r="I20" s="256">
        <f>PIERNA!I20</f>
        <v>-50.130000000001019</v>
      </c>
      <c r="J20" s="546" t="s">
        <v>340</v>
      </c>
      <c r="K20" s="547">
        <v>11808</v>
      </c>
      <c r="L20" s="551" t="s">
        <v>361</v>
      </c>
      <c r="M20" s="547">
        <v>30160</v>
      </c>
      <c r="N20" s="549" t="s">
        <v>357</v>
      </c>
      <c r="O20" s="550">
        <v>202486</v>
      </c>
      <c r="P20" s="740">
        <v>3886</v>
      </c>
      <c r="Q20" s="539">
        <f>32245.98*19.15</f>
        <v>617510.51699999999</v>
      </c>
      <c r="R20" s="559" t="s">
        <v>320</v>
      </c>
      <c r="S20" s="83">
        <f t="shared" si="0"/>
        <v>663364.51699999999</v>
      </c>
      <c r="T20" s="83">
        <f t="shared" si="5"/>
        <v>35.475667502133106</v>
      </c>
      <c r="W20" s="97"/>
      <c r="X20" s="97"/>
      <c r="Y20" s="301"/>
      <c r="Z20" s="302">
        <v>5.0000000000000001E-3</v>
      </c>
      <c r="AA20" s="301">
        <f t="shared" si="2"/>
        <v>0</v>
      </c>
      <c r="AB20" s="301">
        <f t="shared" si="3"/>
        <v>0</v>
      </c>
      <c r="AC20" s="301">
        <f t="shared" si="4"/>
        <v>0</v>
      </c>
    </row>
    <row r="21" spans="1:29" s="237" customFormat="1" x14ac:dyDescent="0.25">
      <c r="A21" s="145">
        <v>18</v>
      </c>
      <c r="B21" s="237" t="str">
        <f>PIERNA!B21</f>
        <v>SMITHFIELD FRESH MEATS</v>
      </c>
      <c r="C21" s="237" t="str">
        <f>PIERNA!C21</f>
        <v>Smithfield</v>
      </c>
      <c r="D21" s="148" t="str">
        <f>PIERNA!D21</f>
        <v>PED. 43891639</v>
      </c>
      <c r="E21" s="119">
        <f>PIERNA!E21</f>
        <v>43768</v>
      </c>
      <c r="F21" s="228">
        <f>PIERNA!F21</f>
        <v>17483.150000000001</v>
      </c>
      <c r="G21" s="145">
        <f>PIERNA!G21</f>
        <v>19</v>
      </c>
      <c r="H21" s="52">
        <f>PIERNA!H21</f>
        <v>17573.689999999999</v>
      </c>
      <c r="I21" s="256">
        <f>PIERNA!I21</f>
        <v>-90.539999999997235</v>
      </c>
      <c r="J21" s="546" t="s">
        <v>341</v>
      </c>
      <c r="K21" s="547">
        <v>11818</v>
      </c>
      <c r="L21" s="551" t="s">
        <v>362</v>
      </c>
      <c r="M21" s="547">
        <v>30160</v>
      </c>
      <c r="N21" s="549" t="s">
        <v>354</v>
      </c>
      <c r="O21" s="552">
        <v>9001292378</v>
      </c>
      <c r="P21" s="740">
        <v>3625</v>
      </c>
      <c r="Q21" s="539">
        <f>30031.25*19.079</f>
        <v>572966.21875</v>
      </c>
      <c r="R21" s="559" t="s">
        <v>368</v>
      </c>
      <c r="S21" s="83">
        <f t="shared" si="0"/>
        <v>618569.21875</v>
      </c>
      <c r="T21" s="83">
        <f t="shared" si="5"/>
        <v>35.298596239605914</v>
      </c>
      <c r="W21" s="97"/>
      <c r="X21" s="97"/>
      <c r="Y21" s="301"/>
      <c r="Z21" s="302">
        <v>5.0000000000000001E-3</v>
      </c>
      <c r="AA21" s="301">
        <f t="shared" si="2"/>
        <v>0</v>
      </c>
      <c r="AB21" s="301">
        <f t="shared" si="3"/>
        <v>0</v>
      </c>
      <c r="AC21" s="301">
        <f t="shared" si="4"/>
        <v>0</v>
      </c>
    </row>
    <row r="22" spans="1:29" s="237" customFormat="1" x14ac:dyDescent="0.25">
      <c r="A22" s="145">
        <v>19</v>
      </c>
      <c r="B22" s="719" t="str">
        <f>PIERNA!B22</f>
        <v xml:space="preserve">F&amp;J TRADING MEAT S DE RL DE CV </v>
      </c>
      <c r="C22" s="237" t="str">
        <f>PIERNA!C22</f>
        <v>RANTOUL</v>
      </c>
      <c r="D22" s="148" t="str">
        <f>PIERNA!D22</f>
        <v>PED. 43960344</v>
      </c>
      <c r="E22" s="119">
        <f>PIERNA!E22</f>
        <v>43768</v>
      </c>
      <c r="F22" s="228">
        <f>PIERNA!F22</f>
        <v>18165.41</v>
      </c>
      <c r="G22" s="145">
        <f>PIERNA!G22</f>
        <v>20</v>
      </c>
      <c r="H22" s="52">
        <f>PIERNA!H22</f>
        <v>18315.5</v>
      </c>
      <c r="I22" s="256">
        <f>PIERNA!I22</f>
        <v>-150.09000000000015</v>
      </c>
      <c r="J22" s="546" t="s">
        <v>342</v>
      </c>
      <c r="K22" s="547">
        <v>0</v>
      </c>
      <c r="L22" s="551" t="s">
        <v>36</v>
      </c>
      <c r="M22" s="547">
        <v>0</v>
      </c>
      <c r="N22" s="549"/>
      <c r="O22" s="555" t="s">
        <v>342</v>
      </c>
      <c r="P22" s="741">
        <v>0</v>
      </c>
      <c r="Q22" s="539">
        <v>672182.15</v>
      </c>
      <c r="R22" s="559" t="s">
        <v>352</v>
      </c>
      <c r="S22" s="83">
        <f t="shared" si="0"/>
        <v>672182.15</v>
      </c>
      <c r="T22" s="83">
        <f t="shared" si="5"/>
        <v>36.800180175261396</v>
      </c>
      <c r="W22" s="97"/>
      <c r="X22" s="97"/>
      <c r="Y22" s="301"/>
      <c r="Z22" s="302">
        <v>5.0000000000000001E-3</v>
      </c>
      <c r="AA22" s="301">
        <f t="shared" si="2"/>
        <v>0</v>
      </c>
      <c r="AB22" s="301">
        <f t="shared" si="3"/>
        <v>0</v>
      </c>
      <c r="AC22" s="301">
        <f t="shared" si="4"/>
        <v>0</v>
      </c>
    </row>
    <row r="23" spans="1:29" s="237" customFormat="1" x14ac:dyDescent="0.25">
      <c r="A23" s="145">
        <v>20</v>
      </c>
      <c r="B23" s="102" t="str">
        <f>PIERNA!B23</f>
        <v>TYSON FRESH MEATS</v>
      </c>
      <c r="C23" s="237" t="str">
        <f>PIERNA!C23</f>
        <v>PED. 43956191</v>
      </c>
      <c r="D23" s="148" t="str">
        <f>PIERNA!D23</f>
        <v>PED. 43956191</v>
      </c>
      <c r="E23" s="119">
        <f>PIERNA!E23</f>
        <v>43768</v>
      </c>
      <c r="F23" s="228">
        <f>PIERNA!F23</f>
        <v>18549.7</v>
      </c>
      <c r="G23" s="145">
        <f>PIERNA!G23</f>
        <v>20</v>
      </c>
      <c r="H23" s="52">
        <f>PIERNA!H23</f>
        <v>18679.259999999998</v>
      </c>
      <c r="I23" s="256">
        <f>PIERNA!I23</f>
        <v>-129.55999999999767</v>
      </c>
      <c r="J23" s="546" t="s">
        <v>343</v>
      </c>
      <c r="K23" s="547">
        <v>9508</v>
      </c>
      <c r="L23" s="551" t="s">
        <v>357</v>
      </c>
      <c r="M23" s="547">
        <v>30160</v>
      </c>
      <c r="N23" s="549" t="s">
        <v>354</v>
      </c>
      <c r="O23" s="550" t="s">
        <v>348</v>
      </c>
      <c r="P23" s="740">
        <v>3944</v>
      </c>
      <c r="Q23" s="539">
        <f>32532.99*19.148</f>
        <v>622941.69252000004</v>
      </c>
      <c r="R23" s="559" t="s">
        <v>347</v>
      </c>
      <c r="S23" s="83">
        <f t="shared" si="0"/>
        <v>666553.69252000004</v>
      </c>
      <c r="T23" s="83">
        <f t="shared" si="5"/>
        <v>35.784159464561235</v>
      </c>
      <c r="W23" s="97"/>
      <c r="X23" s="97"/>
      <c r="Y23" s="301"/>
      <c r="Z23" s="302">
        <v>5.0000000000000001E-3</v>
      </c>
      <c r="AA23" s="301">
        <f t="shared" ref="AA23:AA28" si="6">Y23*Z23</f>
        <v>0</v>
      </c>
      <c r="AB23" s="301">
        <f t="shared" ref="AB23:AB28" si="7">AA23*16%</f>
        <v>0</v>
      </c>
      <c r="AC23" s="301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TYSON FRESH MEATS</v>
      </c>
      <c r="C24" s="237" t="str">
        <f>PIERNA!C24</f>
        <v xml:space="preserve">I B P </v>
      </c>
      <c r="D24" s="147" t="str">
        <f>PIERNA!D24</f>
        <v>PED. 43956188</v>
      </c>
      <c r="E24" s="119">
        <f>PIERNA!E24</f>
        <v>43768</v>
      </c>
      <c r="F24" s="228">
        <f>PIERNA!F24</f>
        <v>18605.59</v>
      </c>
      <c r="G24" s="145">
        <f>PIERNA!G24</f>
        <v>20</v>
      </c>
      <c r="H24" s="52">
        <f>PIERNA!H24</f>
        <v>18693.78</v>
      </c>
      <c r="I24" s="256">
        <f>PIERNA!I24</f>
        <v>-88.18999999999869</v>
      </c>
      <c r="J24" s="546" t="s">
        <v>344</v>
      </c>
      <c r="K24" s="547">
        <v>11818</v>
      </c>
      <c r="L24" s="551" t="s">
        <v>357</v>
      </c>
      <c r="M24" s="547">
        <v>30160</v>
      </c>
      <c r="N24" s="549" t="s">
        <v>354</v>
      </c>
      <c r="O24" s="550" t="s">
        <v>346</v>
      </c>
      <c r="P24" s="740">
        <v>3944</v>
      </c>
      <c r="Q24" s="539">
        <f>32558.27*19.148</f>
        <v>623425.75396</v>
      </c>
      <c r="R24" s="559" t="s">
        <v>347</v>
      </c>
      <c r="S24" s="83">
        <f t="shared" si="0"/>
        <v>669347.75396</v>
      </c>
      <c r="T24" s="83">
        <f t="shared" si="5"/>
        <v>35.905907310346009</v>
      </c>
      <c r="W24" s="97"/>
      <c r="X24" s="97"/>
      <c r="Y24" s="301"/>
      <c r="Z24" s="302">
        <v>5.0000000000000001E-3</v>
      </c>
      <c r="AA24" s="301">
        <f t="shared" si="6"/>
        <v>0</v>
      </c>
      <c r="AB24" s="301">
        <f t="shared" si="7"/>
        <v>0</v>
      </c>
      <c r="AC24" s="301">
        <f t="shared" si="8"/>
        <v>0</v>
      </c>
    </row>
    <row r="25" spans="1:29" s="237" customFormat="1" x14ac:dyDescent="0.25">
      <c r="A25" s="145">
        <v>22</v>
      </c>
      <c r="B25" s="237" t="str">
        <f>PIERNA!GR5</f>
        <v>SAM FARMS LLC</v>
      </c>
      <c r="C25" s="83" t="str">
        <f>PIERNA!GS5</f>
        <v>Seaboard</v>
      </c>
      <c r="D25" s="147" t="str">
        <f>PIERNA!GT5</f>
        <v>PED. 44003408</v>
      </c>
      <c r="E25" s="119">
        <f>PIERNA!E25</f>
        <v>43769</v>
      </c>
      <c r="F25" s="228">
        <f>PIERNA!GV5</f>
        <v>19010.080000000002</v>
      </c>
      <c r="G25" s="145">
        <f>PIERNA!GW5</f>
        <v>21</v>
      </c>
      <c r="H25" s="52">
        <f>PIERNA!GX5</f>
        <v>19080.419999999998</v>
      </c>
      <c r="I25" s="256">
        <f>PIERNA!I25</f>
        <v>-70.339999999996508</v>
      </c>
      <c r="J25" s="720" t="s">
        <v>359</v>
      </c>
      <c r="K25" s="547">
        <v>28508</v>
      </c>
      <c r="L25" s="551" t="s">
        <v>357</v>
      </c>
      <c r="M25" s="547">
        <v>30160</v>
      </c>
      <c r="N25" s="559" t="s">
        <v>360</v>
      </c>
      <c r="O25" s="550">
        <v>7982</v>
      </c>
      <c r="P25" s="740">
        <v>3944</v>
      </c>
      <c r="Q25" s="539">
        <f>31548.75*19.18</f>
        <v>605105.02500000002</v>
      </c>
      <c r="R25" s="560" t="s">
        <v>350</v>
      </c>
      <c r="S25" s="83">
        <f t="shared" si="0"/>
        <v>667717.02500000002</v>
      </c>
      <c r="T25" s="83">
        <f t="shared" si="5"/>
        <v>35.094880877884243</v>
      </c>
      <c r="W25" s="97"/>
      <c r="X25" s="97"/>
      <c r="Y25" s="301"/>
      <c r="Z25" s="302">
        <v>5.0000000000000001E-3</v>
      </c>
      <c r="AA25" s="301">
        <f t="shared" si="6"/>
        <v>0</v>
      </c>
      <c r="AB25" s="301">
        <f t="shared" si="7"/>
        <v>0</v>
      </c>
      <c r="AC25" s="301">
        <f t="shared" si="8"/>
        <v>0</v>
      </c>
    </row>
    <row r="26" spans="1:29" s="237" customFormat="1" x14ac:dyDescent="0.25">
      <c r="A26" s="145">
        <v>23</v>
      </c>
      <c r="B26" s="237" t="str">
        <f>PIERNA!HA5</f>
        <v xml:space="preserve">ARCH MEAT SA DE CV </v>
      </c>
      <c r="C26" s="237" t="str">
        <f>PIERNA!HB5</f>
        <v>Seaboard</v>
      </c>
      <c r="D26" s="147" t="str">
        <f>PIERNA!HC5</f>
        <v>PED. 43957796</v>
      </c>
      <c r="E26" s="119">
        <f>PIERNA!HD5</f>
        <v>43769</v>
      </c>
      <c r="F26" s="228">
        <f>PIERNA!HE5</f>
        <v>18592.689999999999</v>
      </c>
      <c r="G26" s="259">
        <f>PIERNA!HF5</f>
        <v>21</v>
      </c>
      <c r="H26" s="52">
        <f>PIERNA!HG5</f>
        <v>18720.400000000001</v>
      </c>
      <c r="I26" s="154">
        <f>PIERNA!I26</f>
        <v>-127.71000000000276</v>
      </c>
      <c r="J26" s="546" t="s">
        <v>345</v>
      </c>
      <c r="K26" s="547">
        <v>0</v>
      </c>
      <c r="L26" s="551"/>
      <c r="M26" s="547">
        <v>0</v>
      </c>
      <c r="N26" s="559"/>
      <c r="O26" s="550" t="s">
        <v>345</v>
      </c>
      <c r="P26" s="741">
        <v>0</v>
      </c>
      <c r="Q26" s="539">
        <v>715111.64</v>
      </c>
      <c r="R26" s="560" t="s">
        <v>439</v>
      </c>
      <c r="S26" s="83">
        <f t="shared" si="0"/>
        <v>715111.64</v>
      </c>
      <c r="T26" s="83">
        <f t="shared" si="5"/>
        <v>38.299591889062199</v>
      </c>
      <c r="W26" s="97"/>
      <c r="X26" s="97"/>
      <c r="Y26" s="301"/>
      <c r="Z26" s="302">
        <v>5.0000000000000001E-3</v>
      </c>
      <c r="AA26" s="301">
        <f t="shared" si="6"/>
        <v>0</v>
      </c>
      <c r="AB26" s="301">
        <f t="shared" si="7"/>
        <v>0</v>
      </c>
      <c r="AC26" s="301">
        <f t="shared" si="8"/>
        <v>0</v>
      </c>
    </row>
    <row r="27" spans="1:29" s="237" customFormat="1" x14ac:dyDescent="0.25">
      <c r="A27" s="145">
        <v>24</v>
      </c>
      <c r="B27" s="102" t="str">
        <f>PIERNA!HJ5</f>
        <v>IDEAL TRADING</v>
      </c>
      <c r="C27" s="237" t="str">
        <f>PIERNA!HK5</f>
        <v>SIOUX</v>
      </c>
      <c r="D27" s="147" t="str">
        <f>PIERNA!HL5</f>
        <v>PED. 44067963</v>
      </c>
      <c r="E27" s="119">
        <f>PIERNA!HM5</f>
        <v>43770</v>
      </c>
      <c r="F27" s="228">
        <f>PIERNA!HN5</f>
        <v>18777.87</v>
      </c>
      <c r="G27" s="259">
        <f>PIERNA!HO5</f>
        <v>21</v>
      </c>
      <c r="H27" s="52">
        <f>PIERNA!HP5</f>
        <v>18871.5</v>
      </c>
      <c r="I27" s="256">
        <f>PIERNA!I27</f>
        <v>-93.630000000001019</v>
      </c>
      <c r="J27" s="546" t="s">
        <v>407</v>
      </c>
      <c r="K27" s="751">
        <v>10858</v>
      </c>
      <c r="L27" s="752" t="s">
        <v>360</v>
      </c>
      <c r="M27" s="751">
        <v>30160</v>
      </c>
      <c r="N27" s="753" t="s">
        <v>360</v>
      </c>
      <c r="O27" s="550"/>
      <c r="P27" s="740">
        <v>4002</v>
      </c>
      <c r="Q27" s="749">
        <f>33254.88*19.239</f>
        <v>639790.63631999993</v>
      </c>
      <c r="R27" s="750" t="s">
        <v>445</v>
      </c>
      <c r="S27" s="83">
        <f t="shared" si="0"/>
        <v>684810.63631999993</v>
      </c>
      <c r="T27" s="83">
        <f t="shared" si="5"/>
        <v>36.388087132448398</v>
      </c>
      <c r="W27" s="97"/>
      <c r="Y27" s="301"/>
      <c r="Z27" s="302">
        <v>5.0000000000000001E-3</v>
      </c>
      <c r="AA27" s="301">
        <f t="shared" si="6"/>
        <v>0</v>
      </c>
      <c r="AB27" s="301">
        <f t="shared" si="7"/>
        <v>0</v>
      </c>
      <c r="AC27" s="301">
        <f t="shared" si="8"/>
        <v>0</v>
      </c>
    </row>
    <row r="28" spans="1:29" s="237" customFormat="1" x14ac:dyDescent="0.25">
      <c r="A28" s="145">
        <v>25</v>
      </c>
      <c r="B28" s="237" t="str">
        <f>PIERNA!HS5</f>
        <v>SMITHFIELD FRESH MEATS</v>
      </c>
      <c r="C28" s="237" t="str">
        <f>PIERNA!HT5</f>
        <v>Smithfield</v>
      </c>
      <c r="D28" s="147" t="str">
        <f>PIERNA!HU5</f>
        <v>PED. 44169600</v>
      </c>
      <c r="E28" s="119">
        <f>PIERNA!HV5</f>
        <v>43774</v>
      </c>
      <c r="F28" s="228">
        <f>PIERNA!HW5</f>
        <v>17763.86</v>
      </c>
      <c r="G28" s="259">
        <f>PIERNA!HX5</f>
        <v>19</v>
      </c>
      <c r="H28" s="52">
        <f>PIERNA!HY5</f>
        <v>17904.77</v>
      </c>
      <c r="I28" s="256">
        <f>PIERNA!I28</f>
        <v>-140.90999999999985</v>
      </c>
      <c r="J28" s="546" t="s">
        <v>430</v>
      </c>
      <c r="K28" s="748">
        <v>10808</v>
      </c>
      <c r="L28" s="746" t="s">
        <v>443</v>
      </c>
      <c r="M28" s="745">
        <v>30160</v>
      </c>
      <c r="N28" s="747" t="s">
        <v>444</v>
      </c>
      <c r="O28" s="550">
        <v>9001309679</v>
      </c>
      <c r="P28" s="808">
        <v>4292</v>
      </c>
      <c r="Q28" s="539">
        <f>34568.69*19.18</f>
        <v>663027.47420000006</v>
      </c>
      <c r="R28" s="560" t="s">
        <v>436</v>
      </c>
      <c r="S28" s="83">
        <f t="shared" si="0"/>
        <v>708287.47420000006</v>
      </c>
      <c r="T28" s="83">
        <f t="shared" si="5"/>
        <v>39.658591045849796</v>
      </c>
      <c r="W28" s="97"/>
      <c r="X28" s="97"/>
      <c r="Y28" s="301"/>
      <c r="Z28" s="302">
        <v>0</v>
      </c>
      <c r="AA28" s="301">
        <f t="shared" si="6"/>
        <v>0</v>
      </c>
      <c r="AB28" s="301">
        <f t="shared" si="7"/>
        <v>0</v>
      </c>
      <c r="AC28" s="301">
        <f t="shared" si="8"/>
        <v>0</v>
      </c>
    </row>
    <row r="29" spans="1:29" s="237" customFormat="1" x14ac:dyDescent="0.25">
      <c r="A29" s="145">
        <v>26</v>
      </c>
      <c r="B29" s="237" t="str">
        <f>PIERNA!IB5</f>
        <v>IDEAL TRADING FOODS</v>
      </c>
      <c r="C29" s="237" t="str">
        <f>PIERNA!IC5</f>
        <v>SIOUX</v>
      </c>
      <c r="D29" s="147" t="str">
        <f>PIERNA!ID5</f>
        <v>PED.44171944</v>
      </c>
      <c r="E29" s="119">
        <f>PIERNA!IE5</f>
        <v>43774</v>
      </c>
      <c r="F29" s="228">
        <f>PIERNA!IF5</f>
        <v>17790.259999999998</v>
      </c>
      <c r="G29" s="259">
        <f>PIERNA!IG5</f>
        <v>20</v>
      </c>
      <c r="H29" s="52">
        <f>PIERNA!IH5</f>
        <v>17897.5</v>
      </c>
      <c r="I29" s="256">
        <f>PIERNA!II5</f>
        <v>-107.2400000000016</v>
      </c>
      <c r="J29" s="736" t="s">
        <v>431</v>
      </c>
      <c r="K29" s="745">
        <v>11808</v>
      </c>
      <c r="L29" s="746" t="s">
        <v>443</v>
      </c>
      <c r="M29" s="745">
        <v>30160</v>
      </c>
      <c r="N29" s="747" t="s">
        <v>444</v>
      </c>
      <c r="O29" s="550">
        <v>202492</v>
      </c>
      <c r="P29" s="808">
        <v>4408</v>
      </c>
      <c r="Q29" s="539">
        <f>35535.87*19.215</f>
        <v>682821.74205</v>
      </c>
      <c r="R29" s="560" t="s">
        <v>436</v>
      </c>
      <c r="S29" s="83">
        <f t="shared" si="0"/>
        <v>729197.74205</v>
      </c>
      <c r="T29" s="83">
        <f t="shared" si="5"/>
        <v>40.842994387484289</v>
      </c>
      <c r="W29" s="97"/>
      <c r="X29" s="97"/>
      <c r="Y29" s="301"/>
      <c r="Z29" s="302"/>
      <c r="AA29" s="301"/>
      <c r="AB29" s="301"/>
      <c r="AC29" s="301">
        <f>SUM(AC7:AC28)</f>
        <v>0</v>
      </c>
    </row>
    <row r="30" spans="1:29" s="237" customFormat="1" x14ac:dyDescent="0.25">
      <c r="A30" s="145">
        <v>27</v>
      </c>
      <c r="B30" s="237">
        <f>PIERNA!IK5</f>
        <v>0</v>
      </c>
      <c r="C30" s="237">
        <f>PIERNA!IL5</f>
        <v>0</v>
      </c>
      <c r="D30" s="147">
        <f>PIERNA!IM5</f>
        <v>0</v>
      </c>
      <c r="E30" s="119">
        <f>PIERNA!IN5</f>
        <v>0</v>
      </c>
      <c r="F30" s="228">
        <f>PIERNA!IO5</f>
        <v>0</v>
      </c>
      <c r="G30" s="259">
        <f>PIERNA!IP5</f>
        <v>0</v>
      </c>
      <c r="H30" s="52">
        <f>PIERNA!IQ5</f>
        <v>0</v>
      </c>
      <c r="I30" s="256">
        <f>PIERNA!IR5</f>
        <v>0</v>
      </c>
      <c r="J30" s="632"/>
      <c r="K30" s="553"/>
      <c r="L30" s="551"/>
      <c r="M30" s="547"/>
      <c r="N30" s="559"/>
      <c r="O30" s="550"/>
      <c r="P30" s="808"/>
      <c r="Q30" s="539"/>
      <c r="R30" s="560"/>
      <c r="S30" s="83">
        <f>Q30+M30+K30+P30</f>
        <v>0</v>
      </c>
      <c r="T30" s="83" t="e">
        <f t="shared" si="5"/>
        <v>#DIV/0!</v>
      </c>
      <c r="W30" s="97"/>
      <c r="X30" s="97"/>
      <c r="Y30" s="301"/>
      <c r="Z30" s="302"/>
      <c r="AA30" s="301"/>
      <c r="AB30" s="301"/>
      <c r="AC30" s="301"/>
    </row>
    <row r="31" spans="1:29" s="237" customFormat="1" x14ac:dyDescent="0.25">
      <c r="A31" s="145">
        <v>28</v>
      </c>
      <c r="B31" s="237">
        <f>PIERNA!IT5</f>
        <v>0</v>
      </c>
      <c r="C31" s="238">
        <f>PIERNA!IU5</f>
        <v>0</v>
      </c>
      <c r="D31" s="147">
        <f>PIERNA!IV5</f>
        <v>0</v>
      </c>
      <c r="E31" s="119">
        <f>PIERNA!IW5</f>
        <v>0</v>
      </c>
      <c r="F31" s="228">
        <f>PIERNA!IX5</f>
        <v>0</v>
      </c>
      <c r="G31" s="259">
        <f>PIERNA!IY5</f>
        <v>0</v>
      </c>
      <c r="H31" s="52">
        <f>PIERNA!IZ5</f>
        <v>0</v>
      </c>
      <c r="I31" s="256">
        <f>PIERNA!JA5</f>
        <v>0</v>
      </c>
      <c r="J31" s="632"/>
      <c r="K31" s="547"/>
      <c r="L31" s="551"/>
      <c r="M31" s="547"/>
      <c r="N31" s="559"/>
      <c r="O31" s="550"/>
      <c r="P31" s="808"/>
      <c r="Q31" s="539"/>
      <c r="R31" s="560"/>
      <c r="S31" s="83">
        <f t="shared" si="0"/>
        <v>0</v>
      </c>
      <c r="T31" s="83" t="e">
        <f t="shared" si="5"/>
        <v>#DIV/0!</v>
      </c>
      <c r="W31" s="97"/>
      <c r="X31" s="97"/>
      <c r="Y31" s="301"/>
      <c r="Z31" s="302"/>
      <c r="AA31" s="301"/>
      <c r="AB31" s="301"/>
      <c r="AC31" s="301"/>
    </row>
    <row r="32" spans="1:29" s="237" customFormat="1" x14ac:dyDescent="0.25">
      <c r="A32" s="145">
        <v>29</v>
      </c>
      <c r="B32" s="237">
        <f>PIERNA!JC5</f>
        <v>0</v>
      </c>
      <c r="C32" s="237">
        <f>PIERNA!JD5</f>
        <v>0</v>
      </c>
      <c r="D32" s="147">
        <f>PIERNA!JE5</f>
        <v>0</v>
      </c>
      <c r="E32" s="119">
        <f>PIERNA!JF5</f>
        <v>0</v>
      </c>
      <c r="F32" s="228">
        <f>PIERNA!JG5</f>
        <v>0</v>
      </c>
      <c r="G32" s="259">
        <f>PIERNA!JH5</f>
        <v>0</v>
      </c>
      <c r="H32" s="52">
        <f>PIERNA!JI5</f>
        <v>0</v>
      </c>
      <c r="I32" s="256">
        <f>PIERNA!JJ5</f>
        <v>0</v>
      </c>
      <c r="J32" s="632"/>
      <c r="K32" s="547"/>
      <c r="L32" s="551"/>
      <c r="M32" s="547"/>
      <c r="N32" s="559"/>
      <c r="O32" s="550"/>
      <c r="P32" s="539"/>
      <c r="Q32" s="539"/>
      <c r="R32" s="560"/>
      <c r="S32" s="83">
        <f>Q32+M32+K32+P32</f>
        <v>0</v>
      </c>
      <c r="T32" s="83" t="e">
        <f t="shared" si="5"/>
        <v>#DIV/0!</v>
      </c>
      <c r="W32" s="97"/>
      <c r="X32" s="97"/>
      <c r="Y32" s="301"/>
      <c r="Z32" s="302"/>
      <c r="AA32" s="301"/>
      <c r="AB32" s="301"/>
      <c r="AC32" s="301"/>
    </row>
    <row r="33" spans="1:29" s="237" customFormat="1" x14ac:dyDescent="0.25">
      <c r="A33" s="145">
        <v>30</v>
      </c>
      <c r="B33" s="397">
        <f>PIERNA!JL5</f>
        <v>0</v>
      </c>
      <c r="C33" s="237">
        <f>PIERNA!JM5</f>
        <v>0</v>
      </c>
      <c r="D33" s="147">
        <f>PIERNA!JN5</f>
        <v>0</v>
      </c>
      <c r="E33" s="119">
        <f>PIERNA!JO5</f>
        <v>0</v>
      </c>
      <c r="F33" s="228">
        <f>PIERNA!JP5</f>
        <v>0</v>
      </c>
      <c r="G33" s="259">
        <f>PIERNA!JQ5</f>
        <v>0</v>
      </c>
      <c r="H33" s="52">
        <f>PIERNA!JR5</f>
        <v>0</v>
      </c>
      <c r="I33" s="256">
        <f>PIERNA!JS5</f>
        <v>0</v>
      </c>
      <c r="J33" s="632"/>
      <c r="K33" s="553"/>
      <c r="L33" s="551"/>
      <c r="M33" s="547"/>
      <c r="N33" s="559"/>
      <c r="O33" s="550"/>
      <c r="P33" s="539"/>
      <c r="Q33" s="539"/>
      <c r="R33" s="560"/>
      <c r="S33" s="83">
        <f>Q33+M33+K33+P33</f>
        <v>0</v>
      </c>
      <c r="T33" s="83" t="e">
        <f t="shared" si="5"/>
        <v>#DIV/0!</v>
      </c>
      <c r="W33" s="97"/>
      <c r="X33" s="97"/>
      <c r="Y33" s="301"/>
      <c r="Z33" s="302"/>
      <c r="AA33" s="301"/>
      <c r="AB33" s="301"/>
      <c r="AC33" s="301"/>
    </row>
    <row r="34" spans="1:29" s="237" customFormat="1" x14ac:dyDescent="0.25">
      <c r="A34" s="145">
        <v>31</v>
      </c>
      <c r="B34" s="102">
        <f>PIERNA!B34</f>
        <v>0</v>
      </c>
      <c r="C34" s="260">
        <f>PIERNA!C34</f>
        <v>0</v>
      </c>
      <c r="D34" s="147">
        <f>PIERNA!D34</f>
        <v>0</v>
      </c>
      <c r="E34" s="119">
        <f>PIERNA!E34</f>
        <v>0</v>
      </c>
      <c r="F34" s="228">
        <f>PIERNA!F34</f>
        <v>0</v>
      </c>
      <c r="G34" s="259">
        <f>PIERNA!G34</f>
        <v>0</v>
      </c>
      <c r="H34" s="52">
        <f>PIERNA!H34</f>
        <v>0</v>
      </c>
      <c r="I34" s="256">
        <f>F34-H34</f>
        <v>0</v>
      </c>
      <c r="J34" s="632"/>
      <c r="K34" s="547"/>
      <c r="L34" s="551"/>
      <c r="M34" s="547"/>
      <c r="N34" s="559"/>
      <c r="O34" s="550"/>
      <c r="P34" s="539"/>
      <c r="Q34" s="547"/>
      <c r="R34" s="560"/>
      <c r="S34" s="83">
        <f>Q34+M34+K34+P34</f>
        <v>0</v>
      </c>
      <c r="T34" s="83" t="e">
        <f t="shared" si="5"/>
        <v>#DIV/0!</v>
      </c>
      <c r="W34" s="97"/>
      <c r="X34" s="97"/>
      <c r="Y34" s="301"/>
      <c r="Z34" s="302"/>
      <c r="AA34" s="301"/>
      <c r="AB34" s="301"/>
      <c r="AC34" s="301"/>
    </row>
    <row r="35" spans="1:29" s="237" customFormat="1" x14ac:dyDescent="0.25">
      <c r="A35" s="145">
        <v>32</v>
      </c>
      <c r="B35" s="237">
        <f>PIERNA!B35</f>
        <v>0</v>
      </c>
      <c r="C35" s="260">
        <f>PIERNA!C35</f>
        <v>0</v>
      </c>
      <c r="D35" s="147">
        <f>PIERNA!D35</f>
        <v>0</v>
      </c>
      <c r="E35" s="119">
        <f>PIERNA!E35</f>
        <v>0</v>
      </c>
      <c r="F35" s="228">
        <f>PIERNA!F35</f>
        <v>0</v>
      </c>
      <c r="G35" s="145">
        <f>PIERNA!G35</f>
        <v>0</v>
      </c>
      <c r="H35" s="52">
        <f>PIERNA!H35</f>
        <v>0</v>
      </c>
      <c r="I35" s="256">
        <f>PIERNA!I35</f>
        <v>0</v>
      </c>
      <c r="J35" s="632"/>
      <c r="K35" s="547"/>
      <c r="L35" s="551"/>
      <c r="M35" s="547"/>
      <c r="N35" s="559"/>
      <c r="O35" s="550"/>
      <c r="P35" s="539"/>
      <c r="Q35" s="547"/>
      <c r="R35" s="560"/>
      <c r="S35" s="83">
        <f>Q35+M35+K35</f>
        <v>0</v>
      </c>
      <c r="T35" s="83" t="e">
        <f t="shared" si="5"/>
        <v>#DIV/0!</v>
      </c>
      <c r="W35" s="97"/>
      <c r="X35" s="97"/>
      <c r="Y35" s="301"/>
      <c r="Z35" s="302"/>
      <c r="AA35" s="301"/>
      <c r="AB35" s="301"/>
      <c r="AC35" s="301"/>
    </row>
    <row r="36" spans="1:29" s="237" customFormat="1" x14ac:dyDescent="0.25">
      <c r="A36" s="145">
        <v>33</v>
      </c>
      <c r="B36" s="237">
        <f>PIERNA!B36</f>
        <v>0</v>
      </c>
      <c r="C36" s="260">
        <f>PIERNA!C36</f>
        <v>0</v>
      </c>
      <c r="D36" s="147">
        <f>PIERNA!D36</f>
        <v>0</v>
      </c>
      <c r="E36" s="119">
        <f>PIERNA!E36</f>
        <v>0</v>
      </c>
      <c r="F36" s="228">
        <f>PIERNA!F36</f>
        <v>0</v>
      </c>
      <c r="G36" s="145">
        <f>PIERNA!G36</f>
        <v>0</v>
      </c>
      <c r="H36" s="52">
        <f>PIERNA!H36</f>
        <v>0</v>
      </c>
      <c r="I36" s="256">
        <f>PIERNA!I36</f>
        <v>0</v>
      </c>
      <c r="J36" s="546"/>
      <c r="K36" s="547"/>
      <c r="L36" s="551"/>
      <c r="M36" s="547"/>
      <c r="N36" s="549"/>
      <c r="O36" s="550"/>
      <c r="P36" s="539"/>
      <c r="Q36" s="547"/>
      <c r="R36" s="561"/>
      <c r="S36" s="83">
        <f t="shared" ref="S36:S39" si="9">Q36+M36+K36</f>
        <v>0</v>
      </c>
      <c r="T36" s="83" t="e">
        <f t="shared" si="5"/>
        <v>#DIV/0!</v>
      </c>
      <c r="W36" s="97"/>
      <c r="X36" s="97"/>
      <c r="Y36" s="301"/>
      <c r="Z36" s="302"/>
      <c r="AA36" s="301"/>
      <c r="AB36" s="301"/>
      <c r="AC36" s="301"/>
    </row>
    <row r="37" spans="1:29" s="237" customFormat="1" x14ac:dyDescent="0.25">
      <c r="A37" s="145">
        <v>34</v>
      </c>
      <c r="B37" s="237">
        <f>PIERNA!B37</f>
        <v>0</v>
      </c>
      <c r="C37" s="260">
        <f>PIERNA!C37</f>
        <v>0</v>
      </c>
      <c r="D37" s="148">
        <f>PIERNA!D37</f>
        <v>0</v>
      </c>
      <c r="E37" s="119">
        <f>PIERNA!E37</f>
        <v>0</v>
      </c>
      <c r="F37" s="228">
        <f>PIERNA!F37</f>
        <v>0</v>
      </c>
      <c r="G37" s="145">
        <f>PIERNA!G37</f>
        <v>0</v>
      </c>
      <c r="H37" s="52">
        <f>PIERNA!H37</f>
        <v>0</v>
      </c>
      <c r="I37" s="256">
        <f>PIERNA!I37</f>
        <v>0</v>
      </c>
      <c r="J37" s="736" t="s">
        <v>431</v>
      </c>
      <c r="K37" s="547" t="s">
        <v>437</v>
      </c>
      <c r="L37" s="551"/>
      <c r="M37" s="547"/>
      <c r="N37" s="549"/>
      <c r="O37" s="550"/>
      <c r="P37" s="539"/>
      <c r="Q37" s="547"/>
      <c r="R37" s="562"/>
      <c r="S37" s="83" t="e">
        <f t="shared" si="9"/>
        <v>#VALUE!</v>
      </c>
      <c r="T37" s="83" t="e">
        <f t="shared" si="5"/>
        <v>#VALUE!</v>
      </c>
      <c r="W37" s="97"/>
      <c r="X37" s="97"/>
      <c r="Y37" s="301"/>
      <c r="Z37" s="302"/>
      <c r="AA37" s="301"/>
      <c r="AB37" s="301"/>
      <c r="AC37" s="301"/>
    </row>
    <row r="38" spans="1:29" s="237" customFormat="1" x14ac:dyDescent="0.25">
      <c r="A38" s="145">
        <v>35</v>
      </c>
      <c r="B38" s="237">
        <f>PIERNA!B38</f>
        <v>0</v>
      </c>
      <c r="C38" s="260">
        <f>PIERNA!C38</f>
        <v>0</v>
      </c>
      <c r="D38" s="187">
        <f>PIERNA!D38</f>
        <v>0</v>
      </c>
      <c r="E38" s="119">
        <f>PIERNA!E38</f>
        <v>0</v>
      </c>
      <c r="F38" s="261">
        <f>PIERNA!F38</f>
        <v>0</v>
      </c>
      <c r="G38" s="145">
        <f>PIERNA!G38</f>
        <v>0</v>
      </c>
      <c r="H38" s="194">
        <f>PIERNA!H38</f>
        <v>0</v>
      </c>
      <c r="I38" s="256">
        <f>PIERNA!I38</f>
        <v>0</v>
      </c>
      <c r="J38" s="546"/>
      <c r="K38" s="547"/>
      <c r="L38" s="551"/>
      <c r="M38" s="547"/>
      <c r="N38" s="549"/>
      <c r="O38" s="550"/>
      <c r="P38" s="539"/>
      <c r="Q38" s="547"/>
      <c r="R38" s="563"/>
      <c r="S38" s="83">
        <f t="shared" si="9"/>
        <v>0</v>
      </c>
      <c r="T38" s="83" t="e">
        <f t="shared" si="5"/>
        <v>#DIV/0!</v>
      </c>
      <c r="W38" s="97"/>
      <c r="X38" s="97"/>
      <c r="Y38" s="301"/>
      <c r="Z38" s="302"/>
      <c r="AA38" s="301"/>
      <c r="AB38" s="301"/>
      <c r="AC38" s="301"/>
    </row>
    <row r="39" spans="1:29" s="237" customFormat="1" x14ac:dyDescent="0.25">
      <c r="A39" s="145">
        <v>36</v>
      </c>
      <c r="B39" s="237">
        <f>PIERNA!B39</f>
        <v>0</v>
      </c>
      <c r="C39" s="260">
        <f>PIERNA!C39</f>
        <v>0</v>
      </c>
      <c r="D39" s="187">
        <f>PIERNA!D39</f>
        <v>0</v>
      </c>
      <c r="E39" s="119">
        <f>PIERNA!E39</f>
        <v>0</v>
      </c>
      <c r="F39" s="261">
        <f>PIERNA!F39</f>
        <v>0</v>
      </c>
      <c r="G39" s="145">
        <f>PIERNA!G39</f>
        <v>0</v>
      </c>
      <c r="H39" s="194">
        <f>PIERNA!H39</f>
        <v>0</v>
      </c>
      <c r="I39" s="256">
        <f>PIERNA!I39</f>
        <v>0</v>
      </c>
      <c r="J39" s="546"/>
      <c r="K39" s="547"/>
      <c r="L39" s="551"/>
      <c r="M39" s="547"/>
      <c r="N39" s="549"/>
      <c r="O39" s="550"/>
      <c r="P39" s="539"/>
      <c r="Q39" s="554"/>
      <c r="R39" s="563"/>
      <c r="S39" s="83">
        <f t="shared" si="9"/>
        <v>0</v>
      </c>
      <c r="T39" s="83" t="e">
        <f t="shared" si="5"/>
        <v>#DIV/0!</v>
      </c>
      <c r="W39" s="97"/>
      <c r="X39" s="97"/>
      <c r="Y39" s="301"/>
      <c r="Z39" s="302"/>
      <c r="AA39" s="301"/>
      <c r="AB39" s="301"/>
      <c r="AC39" s="301"/>
    </row>
    <row r="40" spans="1:29" s="237" customFormat="1" x14ac:dyDescent="0.25">
      <c r="A40" s="145">
        <v>37</v>
      </c>
      <c r="B40" s="237">
        <f>PIERNA!B40</f>
        <v>0</v>
      </c>
      <c r="C40" s="260">
        <f>PIERNA!C40</f>
        <v>0</v>
      </c>
      <c r="D40" s="187">
        <f>PIERNA!D40</f>
        <v>0</v>
      </c>
      <c r="E40" s="119">
        <f>PIERNA!E40</f>
        <v>0</v>
      </c>
      <c r="F40" s="261">
        <f>PIERNA!F40</f>
        <v>0</v>
      </c>
      <c r="G40" s="145">
        <f>PIERNA!G40</f>
        <v>0</v>
      </c>
      <c r="H40" s="194">
        <f>PIERNA!H40</f>
        <v>0</v>
      </c>
      <c r="I40" s="256">
        <f>PIERNA!I40</f>
        <v>0</v>
      </c>
      <c r="J40" s="546"/>
      <c r="K40" s="547"/>
      <c r="L40" s="564"/>
      <c r="M40" s="486"/>
      <c r="N40" s="565"/>
      <c r="O40" s="441"/>
      <c r="P40" s="566"/>
      <c r="Q40" s="567"/>
      <c r="R40" s="568"/>
      <c r="S40" s="83">
        <f>Q40+M40+K40+P40</f>
        <v>0</v>
      </c>
      <c r="T40" s="83" t="e">
        <f t="shared" si="5"/>
        <v>#DIV/0!</v>
      </c>
      <c r="W40" s="97"/>
      <c r="X40" s="97"/>
      <c r="Y40" s="301"/>
      <c r="Z40" s="302"/>
      <c r="AA40" s="301"/>
      <c r="AB40" s="301"/>
      <c r="AC40" s="301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1">
        <f>PIERNA!F41</f>
        <v>0</v>
      </c>
      <c r="G41" s="145">
        <f>PIERNA!G41</f>
        <v>0</v>
      </c>
      <c r="H41" s="194">
        <f>PIERNA!H41</f>
        <v>0</v>
      </c>
      <c r="I41" s="256">
        <f>PIERNA!I41</f>
        <v>0</v>
      </c>
      <c r="J41" s="546"/>
      <c r="K41" s="547"/>
      <c r="L41" s="564"/>
      <c r="M41" s="486"/>
      <c r="N41" s="565"/>
      <c r="O41" s="441"/>
      <c r="P41" s="566"/>
      <c r="Q41" s="567"/>
      <c r="R41" s="569"/>
      <c r="S41" s="83">
        <f>Q41+M41+K41+P41</f>
        <v>0</v>
      </c>
      <c r="T41" s="83" t="e">
        <f t="shared" si="5"/>
        <v>#DIV/0!</v>
      </c>
      <c r="W41" s="97"/>
      <c r="X41" s="97"/>
      <c r="Y41" s="301"/>
      <c r="AA41" s="301"/>
      <c r="AB41" s="301"/>
      <c r="AC41" s="301"/>
    </row>
    <row r="42" spans="1:29" s="237" customFormat="1" x14ac:dyDescent="0.25">
      <c r="A42" s="145">
        <v>39</v>
      </c>
      <c r="B42" s="237">
        <f>PIERNA!B42</f>
        <v>0</v>
      </c>
      <c r="C42" s="262">
        <f>PIERNA!C42</f>
        <v>0</v>
      </c>
      <c r="D42" s="287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6">
        <f>PIERNA!I42</f>
        <v>0</v>
      </c>
      <c r="J42" s="546"/>
      <c r="K42" s="547"/>
      <c r="L42" s="564"/>
      <c r="M42" s="486"/>
      <c r="N42" s="565"/>
      <c r="O42" s="441"/>
      <c r="P42" s="566"/>
      <c r="Q42" s="567"/>
      <c r="R42" s="569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1"/>
      <c r="AA42" s="301"/>
      <c r="AB42" s="301"/>
      <c r="AC42" s="301"/>
    </row>
    <row r="43" spans="1:29" s="237" customFormat="1" x14ac:dyDescent="0.25">
      <c r="A43" s="145">
        <v>40</v>
      </c>
      <c r="B43" s="237">
        <f>PIERNA!B43</f>
        <v>0</v>
      </c>
      <c r="C43" s="260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6">
        <f>PIERNA!I43</f>
        <v>0</v>
      </c>
      <c r="J43" s="546"/>
      <c r="K43" s="547"/>
      <c r="L43" s="564"/>
      <c r="M43" s="486"/>
      <c r="N43" s="565"/>
      <c r="O43" s="441"/>
      <c r="P43" s="566"/>
      <c r="Q43" s="486"/>
      <c r="R43" s="570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0">
        <f>PIERNA!C44</f>
        <v>0</v>
      </c>
      <c r="D44" s="287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6">
        <f>PIERNA!I44</f>
        <v>0</v>
      </c>
      <c r="J44" s="546"/>
      <c r="K44" s="547"/>
      <c r="L44" s="564"/>
      <c r="M44" s="486"/>
      <c r="N44" s="565"/>
      <c r="O44" s="441"/>
      <c r="P44" s="566"/>
      <c r="Q44" s="486"/>
      <c r="R44" s="571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0">
        <f>PIERNA!C45</f>
        <v>0</v>
      </c>
      <c r="D45" s="287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6">
        <f>PIERNA!I45</f>
        <v>0</v>
      </c>
      <c r="J45" s="546"/>
      <c r="K45" s="547"/>
      <c r="L45" s="564"/>
      <c r="M45" s="486"/>
      <c r="N45" s="565"/>
      <c r="O45" s="572"/>
      <c r="P45" s="566"/>
      <c r="Q45" s="486"/>
      <c r="R45" s="571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0">
        <f>PIERNA!C46</f>
        <v>0</v>
      </c>
      <c r="D46" s="287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6">
        <f>PIERNA!I46</f>
        <v>0</v>
      </c>
      <c r="J46" s="546"/>
      <c r="K46" s="547"/>
      <c r="L46" s="564"/>
      <c r="M46" s="486"/>
      <c r="N46" s="565"/>
      <c r="O46" s="572"/>
      <c r="P46" s="566"/>
      <c r="Q46" s="486"/>
      <c r="R46" s="571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0">
        <f>PIERNA!C47</f>
        <v>0</v>
      </c>
      <c r="D47" s="287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6">
        <f>PIERNA!I47</f>
        <v>0</v>
      </c>
      <c r="J47" s="546"/>
      <c r="K47" s="547"/>
      <c r="L47" s="564"/>
      <c r="M47" s="641"/>
      <c r="N47" s="642"/>
      <c r="O47" s="643"/>
      <c r="P47" s="566"/>
      <c r="Q47" s="486"/>
      <c r="R47" s="571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0">
        <f>PIERNA!C48</f>
        <v>0</v>
      </c>
      <c r="D48" s="287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6">
        <f>PIERNA!I48</f>
        <v>0</v>
      </c>
      <c r="J48" s="546"/>
      <c r="K48" s="547"/>
      <c r="L48" s="564"/>
      <c r="M48" s="567"/>
      <c r="N48" s="642"/>
      <c r="O48" s="572"/>
      <c r="P48" s="566"/>
      <c r="Q48" s="486"/>
      <c r="R48" s="571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0">
        <f>PIERNA!PA5</f>
        <v>0</v>
      </c>
      <c r="D49" s="287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6">
        <f>PIERNA!I49</f>
        <v>0</v>
      </c>
      <c r="J49" s="546"/>
      <c r="K49" s="547"/>
      <c r="L49" s="575"/>
      <c r="M49" s="567"/>
      <c r="N49" s="582"/>
      <c r="O49" s="572"/>
      <c r="P49" s="566"/>
      <c r="Q49" s="486"/>
      <c r="R49" s="571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0">
        <f>PIERNA!PJ5</f>
        <v>0</v>
      </c>
      <c r="D50" s="287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6">
        <f>PIERNA!I50</f>
        <v>0</v>
      </c>
      <c r="J50" s="546"/>
      <c r="K50" s="547"/>
      <c r="L50" s="575"/>
      <c r="M50" s="567"/>
      <c r="N50" s="582"/>
      <c r="O50" s="572"/>
      <c r="P50" s="566"/>
      <c r="Q50" s="486"/>
      <c r="R50" s="571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0">
        <f>PIERNA!C49</f>
        <v>0</v>
      </c>
      <c r="D51" s="287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6">
        <f>PIERNA!I51</f>
        <v>0</v>
      </c>
      <c r="J51" s="546"/>
      <c r="K51" s="547"/>
      <c r="L51" s="575"/>
      <c r="M51" s="567"/>
      <c r="N51" s="582"/>
      <c r="O51" s="572"/>
      <c r="P51" s="644"/>
      <c r="Q51" s="486"/>
      <c r="R51" s="571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0">
        <f>PIERNA!C50</f>
        <v>0</v>
      </c>
      <c r="D52" s="287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6">
        <f>PIERNA!I52</f>
        <v>0</v>
      </c>
      <c r="J52" s="645"/>
      <c r="K52" s="646"/>
      <c r="L52" s="462"/>
      <c r="M52" s="647"/>
      <c r="N52" s="648"/>
      <c r="O52" s="649"/>
      <c r="P52" s="435"/>
      <c r="Q52" s="436"/>
      <c r="R52" s="596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0">
        <f>PIERNA!QK5</f>
        <v>0</v>
      </c>
      <c r="D53" s="287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6">
        <f>PIERNA!QQ5</f>
        <v>0</v>
      </c>
      <c r="J53" s="645"/>
      <c r="K53" s="646"/>
      <c r="L53" s="462"/>
      <c r="M53" s="647"/>
      <c r="N53" s="648"/>
      <c r="O53" s="649"/>
      <c r="P53" s="435"/>
      <c r="Q53" s="436"/>
      <c r="R53" s="596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0">
        <f>PIERNA!QT5</f>
        <v>0</v>
      </c>
      <c r="D54" s="287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6">
        <f>PIERNA!RI5</f>
        <v>0</v>
      </c>
      <c r="J54" s="645"/>
      <c r="K54" s="646"/>
      <c r="L54" s="462"/>
      <c r="M54" s="647"/>
      <c r="N54" s="648"/>
      <c r="O54" s="649"/>
      <c r="P54" s="435"/>
      <c r="Q54" s="436"/>
      <c r="R54" s="596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0">
        <f>PIERNA!RC5</f>
        <v>0</v>
      </c>
      <c r="D55" s="415">
        <f>PIERNA!RD5</f>
        <v>0</v>
      </c>
      <c r="E55" s="119">
        <f>PIERNA!RE5</f>
        <v>0</v>
      </c>
      <c r="F55" s="416">
        <f>PIERNA!RF5</f>
        <v>0</v>
      </c>
      <c r="G55" s="145">
        <f>PIERNA!RG5</f>
        <v>0</v>
      </c>
      <c r="H55" s="52">
        <f>PIERNA!RH5</f>
        <v>0</v>
      </c>
      <c r="I55" s="256">
        <f t="shared" ref="I55:I95" si="14">H55-F55</f>
        <v>0</v>
      </c>
      <c r="J55" s="645"/>
      <c r="K55" s="646"/>
      <c r="L55" s="650"/>
      <c r="M55" s="647"/>
      <c r="N55" s="648"/>
      <c r="O55" s="649"/>
      <c r="P55" s="435"/>
      <c r="Q55" s="436"/>
      <c r="R55" s="596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0">
        <f>PIERNA!RL5</f>
        <v>0</v>
      </c>
      <c r="D56" s="287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6">
        <f>PIERNA!RR5</f>
        <v>0</v>
      </c>
      <c r="J56" s="645"/>
      <c r="K56" s="646"/>
      <c r="L56" s="651"/>
      <c r="M56" s="647"/>
      <c r="N56" s="648"/>
      <c r="O56" s="649"/>
      <c r="P56" s="435"/>
      <c r="Q56" s="436"/>
      <c r="R56" s="596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3">
        <f>PIERNA!B57</f>
        <v>0</v>
      </c>
      <c r="C57" s="260">
        <f>PIERNA!C57</f>
        <v>0</v>
      </c>
      <c r="D57" s="287">
        <f>PIERNA!D57</f>
        <v>0</v>
      </c>
      <c r="E57" s="119">
        <f>PIERNA!E57</f>
        <v>0</v>
      </c>
      <c r="F57" s="228">
        <f>PIERNA!F57</f>
        <v>0</v>
      </c>
      <c r="G57" s="266">
        <f>PIERNA!G57</f>
        <v>0</v>
      </c>
      <c r="H57" s="52">
        <f>PIERNA!H57</f>
        <v>0</v>
      </c>
      <c r="I57" s="256">
        <f t="shared" si="14"/>
        <v>0</v>
      </c>
      <c r="J57" s="645"/>
      <c r="K57" s="646"/>
      <c r="L57" s="652"/>
      <c r="M57" s="653"/>
      <c r="N57" s="648"/>
      <c r="O57" s="649"/>
      <c r="P57" s="435"/>
      <c r="Q57" s="436"/>
      <c r="R57" s="596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0">
        <f>PIERNA!C58</f>
        <v>0</v>
      </c>
      <c r="D58" s="287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6">
        <f t="shared" si="14"/>
        <v>0</v>
      </c>
      <c r="J58" s="645"/>
      <c r="K58" s="646"/>
      <c r="L58" s="652"/>
      <c r="M58" s="653"/>
      <c r="N58" s="648"/>
      <c r="O58" s="649"/>
      <c r="P58" s="435"/>
      <c r="Q58" s="436"/>
      <c r="R58" s="596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0">
        <f>PIERNA!C59</f>
        <v>0</v>
      </c>
      <c r="D59" s="287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6">
        <f t="shared" si="14"/>
        <v>0</v>
      </c>
      <c r="J59" s="645"/>
      <c r="K59" s="646"/>
      <c r="L59" s="652"/>
      <c r="M59" s="653"/>
      <c r="N59" s="648"/>
      <c r="O59" s="649"/>
      <c r="P59" s="435"/>
      <c r="Q59" s="436"/>
      <c r="R59" s="596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0">
        <f>PIERNA!SV5</f>
        <v>0</v>
      </c>
      <c r="D60" s="287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6">
        <f t="shared" si="14"/>
        <v>0</v>
      </c>
      <c r="J60" s="546"/>
      <c r="K60" s="465"/>
      <c r="L60" s="646"/>
      <c r="M60" s="653"/>
      <c r="N60" s="648"/>
      <c r="O60" s="649"/>
      <c r="P60" s="435"/>
      <c r="Q60" s="436"/>
      <c r="R60" s="596"/>
      <c r="S60" s="83">
        <f>Q60+M60+L60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0">
        <f>PIERNA!C61</f>
        <v>0</v>
      </c>
      <c r="D61" s="287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6">
        <f t="shared" si="14"/>
        <v>0</v>
      </c>
      <c r="J61" s="645"/>
      <c r="K61" s="646"/>
      <c r="L61" s="652"/>
      <c r="M61" s="653"/>
      <c r="N61" s="648"/>
      <c r="O61" s="649"/>
      <c r="P61" s="435"/>
      <c r="Q61" s="436"/>
      <c r="R61" s="596"/>
      <c r="S61" s="83">
        <f t="shared" ref="S61:S71" si="15">Q61+M61+K61</f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0">
        <f>PIERNA!C62</f>
        <v>0</v>
      </c>
      <c r="D62" s="287">
        <f>PIERNA!D62</f>
        <v>0</v>
      </c>
      <c r="E62" s="119">
        <f>PIERNA!F62</f>
        <v>0</v>
      </c>
      <c r="F62" s="228">
        <f>PIERNA!F62</f>
        <v>0</v>
      </c>
      <c r="G62" s="259">
        <f>PIERNA!G62</f>
        <v>0</v>
      </c>
      <c r="H62" s="52">
        <f>PIERNA!H62</f>
        <v>0</v>
      </c>
      <c r="I62" s="256">
        <f t="shared" si="14"/>
        <v>0</v>
      </c>
      <c r="J62" s="645"/>
      <c r="K62" s="646"/>
      <c r="L62" s="652"/>
      <c r="M62" s="653"/>
      <c r="N62" s="648"/>
      <c r="O62" s="649"/>
      <c r="P62" s="435"/>
      <c r="Q62" s="436"/>
      <c r="R62" s="596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0">
        <f>PIERNA!C62</f>
        <v>0</v>
      </c>
      <c r="D63" s="287">
        <f>PIERNA!D62</f>
        <v>0</v>
      </c>
      <c r="E63" s="119">
        <f>PIERNA!E63</f>
        <v>0</v>
      </c>
      <c r="F63" s="228">
        <f>PIERNA!F63</f>
        <v>0</v>
      </c>
      <c r="G63" s="259">
        <f>PIERNA!G63</f>
        <v>0</v>
      </c>
      <c r="H63" s="52">
        <f>PIERNA!H63</f>
        <v>0</v>
      </c>
      <c r="I63" s="256">
        <f t="shared" si="14"/>
        <v>0</v>
      </c>
      <c r="J63" s="645"/>
      <c r="K63" s="646"/>
      <c r="L63" s="652"/>
      <c r="M63" s="653"/>
      <c r="N63" s="648"/>
      <c r="O63" s="649"/>
      <c r="P63" s="435"/>
      <c r="Q63" s="436"/>
      <c r="R63" s="596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0">
        <f>PIERNA!C64</f>
        <v>0</v>
      </c>
      <c r="D64" s="287">
        <f>PIERNA!D64</f>
        <v>0</v>
      </c>
      <c r="E64" s="119">
        <f>PIERNA!E64</f>
        <v>0</v>
      </c>
      <c r="F64" s="228">
        <f>PIERNA!F64</f>
        <v>0</v>
      </c>
      <c r="G64" s="259">
        <f>PIERNA!G64</f>
        <v>0</v>
      </c>
      <c r="H64" s="52">
        <f>PIERNA!H64</f>
        <v>0</v>
      </c>
      <c r="I64" s="256">
        <f t="shared" si="14"/>
        <v>0</v>
      </c>
      <c r="J64" s="645"/>
      <c r="K64" s="646"/>
      <c r="L64" s="652"/>
      <c r="M64" s="653"/>
      <c r="N64" s="648"/>
      <c r="O64" s="649"/>
      <c r="P64" s="435"/>
      <c r="Q64" s="436"/>
      <c r="R64" s="596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0">
        <f>PIERNA!C65</f>
        <v>0</v>
      </c>
      <c r="D65" s="287">
        <f>PIERNA!D65</f>
        <v>0</v>
      </c>
      <c r="E65" s="119">
        <f>PIERNA!E65</f>
        <v>0</v>
      </c>
      <c r="F65" s="228">
        <f>PIERNA!F65</f>
        <v>0</v>
      </c>
      <c r="G65" s="259">
        <f>PIERNA!G65</f>
        <v>0</v>
      </c>
      <c r="H65" s="52">
        <f>PIERNA!H65</f>
        <v>0</v>
      </c>
      <c r="I65" s="256">
        <f t="shared" si="14"/>
        <v>0</v>
      </c>
      <c r="J65" s="645"/>
      <c r="K65" s="646"/>
      <c r="L65" s="652"/>
      <c r="M65" s="653"/>
      <c r="N65" s="648"/>
      <c r="O65" s="649"/>
      <c r="P65" s="435"/>
      <c r="Q65" s="436"/>
      <c r="R65" s="596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0">
        <f>PIERNA!C61</f>
        <v>0</v>
      </c>
      <c r="D66" s="287">
        <f>PIERNA!D61</f>
        <v>0</v>
      </c>
      <c r="E66" s="119">
        <f>PIERNA!E61</f>
        <v>0</v>
      </c>
      <c r="F66" s="228">
        <f>PIERNA!F61</f>
        <v>0</v>
      </c>
      <c r="G66" s="259">
        <f>PIERNA!G61</f>
        <v>0</v>
      </c>
      <c r="H66" s="52">
        <f>PIERNA!H61</f>
        <v>0</v>
      </c>
      <c r="I66" s="256">
        <f t="shared" si="14"/>
        <v>0</v>
      </c>
      <c r="J66" s="645"/>
      <c r="K66" s="646"/>
      <c r="L66" s="652"/>
      <c r="M66" s="653"/>
      <c r="N66" s="648"/>
      <c r="O66" s="649"/>
      <c r="P66" s="435"/>
      <c r="Q66" s="436"/>
      <c r="R66" s="596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0">
        <f>PIERNA!C62</f>
        <v>0</v>
      </c>
      <c r="D67" s="287">
        <f>PIERNA!D62</f>
        <v>0</v>
      </c>
      <c r="E67" s="119">
        <f>PIERNA!E62</f>
        <v>0</v>
      </c>
      <c r="F67" s="228">
        <f>PIERNA!F62</f>
        <v>0</v>
      </c>
      <c r="G67" s="259">
        <f>PIERNA!G62</f>
        <v>0</v>
      </c>
      <c r="H67" s="52">
        <f>PIERNA!H62</f>
        <v>0</v>
      </c>
      <c r="I67" s="256">
        <f t="shared" si="14"/>
        <v>0</v>
      </c>
      <c r="J67" s="645"/>
      <c r="K67" s="646"/>
      <c r="L67" s="462"/>
      <c r="M67" s="647"/>
      <c r="N67" s="648"/>
      <c r="O67" s="649"/>
      <c r="P67" s="435"/>
      <c r="Q67" s="436"/>
      <c r="R67" s="596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59">
        <f>PIERNA!G63</f>
        <v>0</v>
      </c>
      <c r="H68" s="52">
        <f>PIERNA!H63</f>
        <v>0</v>
      </c>
      <c r="I68" s="256">
        <f t="shared" si="14"/>
        <v>0</v>
      </c>
      <c r="J68" s="645"/>
      <c r="K68" s="646"/>
      <c r="L68" s="462"/>
      <c r="M68" s="647"/>
      <c r="N68" s="648"/>
      <c r="O68" s="649"/>
      <c r="P68" s="435"/>
      <c r="Q68" s="436"/>
      <c r="R68" s="596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59">
        <f>PIERNA!G64</f>
        <v>0</v>
      </c>
      <c r="H69" s="52">
        <f>PIERNA!H64</f>
        <v>0</v>
      </c>
      <c r="I69" s="256">
        <f t="shared" si="14"/>
        <v>0</v>
      </c>
      <c r="J69" s="645"/>
      <c r="K69" s="646"/>
      <c r="L69" s="462"/>
      <c r="M69" s="647"/>
      <c r="N69" s="648"/>
      <c r="O69" s="649"/>
      <c r="P69" s="435"/>
      <c r="Q69" s="436"/>
      <c r="R69" s="596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59">
        <f>PIERNA!G65</f>
        <v>0</v>
      </c>
      <c r="H70" s="52">
        <f>PIERNA!H65</f>
        <v>0</v>
      </c>
      <c r="I70" s="256">
        <f t="shared" si="14"/>
        <v>0</v>
      </c>
      <c r="J70" s="654"/>
      <c r="K70" s="646"/>
      <c r="L70" s="462"/>
      <c r="M70" s="647"/>
      <c r="N70" s="463"/>
      <c r="O70" s="595"/>
      <c r="P70" s="435"/>
      <c r="Q70" s="436"/>
      <c r="R70" s="596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59">
        <f>PIERNA!G66</f>
        <v>0</v>
      </c>
      <c r="H71" s="52">
        <f>PIERNA!H66</f>
        <v>0</v>
      </c>
      <c r="I71" s="256">
        <f t="shared" si="14"/>
        <v>0</v>
      </c>
      <c r="J71" s="654"/>
      <c r="K71" s="646"/>
      <c r="L71" s="462"/>
      <c r="M71" s="647"/>
      <c r="N71" s="463"/>
      <c r="O71" s="595"/>
      <c r="P71" s="435"/>
      <c r="Q71" s="436"/>
      <c r="R71" s="596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59">
        <f>PIERNA!G67</f>
        <v>0</v>
      </c>
      <c r="H72" s="52">
        <f>PIERNA!H67</f>
        <v>0</v>
      </c>
      <c r="I72" s="256">
        <f t="shared" si="14"/>
        <v>0</v>
      </c>
      <c r="J72" s="654"/>
      <c r="K72" s="646"/>
      <c r="L72" s="462"/>
      <c r="M72" s="647"/>
      <c r="N72" s="463"/>
      <c r="O72" s="595"/>
      <c r="P72" s="435"/>
      <c r="Q72" s="436"/>
      <c r="R72" s="596"/>
      <c r="S72" s="83">
        <f t="shared" ref="S72:S125" si="16">Q72+M72+K72</f>
        <v>0</v>
      </c>
      <c r="T72" s="83" t="e">
        <f t="shared" ref="T72:T97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59">
        <f>PIERNA!G68</f>
        <v>0</v>
      </c>
      <c r="H73" s="52">
        <f>PIERNA!H68</f>
        <v>0</v>
      </c>
      <c r="I73" s="256">
        <f t="shared" si="14"/>
        <v>0</v>
      </c>
      <c r="J73" s="654"/>
      <c r="K73" s="646"/>
      <c r="L73" s="462"/>
      <c r="M73" s="647"/>
      <c r="N73" s="463"/>
      <c r="O73" s="595"/>
      <c r="P73" s="435"/>
      <c r="Q73" s="436"/>
      <c r="R73" s="596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59">
        <f>PIERNA!G69</f>
        <v>0</v>
      </c>
      <c r="H74" s="52">
        <f>PIERNA!H69</f>
        <v>0</v>
      </c>
      <c r="I74" s="256">
        <f t="shared" si="14"/>
        <v>0</v>
      </c>
      <c r="J74" s="654"/>
      <c r="K74" s="646"/>
      <c r="L74" s="462"/>
      <c r="M74" s="647"/>
      <c r="N74" s="463"/>
      <c r="O74" s="595"/>
      <c r="P74" s="435"/>
      <c r="Q74" s="436"/>
      <c r="R74" s="596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59">
        <f>PIERNA!G70</f>
        <v>0</v>
      </c>
      <c r="H75" s="52">
        <f>PIERNA!H70</f>
        <v>0</v>
      </c>
      <c r="I75" s="256">
        <f t="shared" si="14"/>
        <v>0</v>
      </c>
      <c r="J75" s="654"/>
      <c r="K75" s="646"/>
      <c r="L75" s="462"/>
      <c r="M75" s="647"/>
      <c r="N75" s="463"/>
      <c r="O75" s="595"/>
      <c r="P75" s="435"/>
      <c r="Q75" s="436"/>
      <c r="R75" s="596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59">
        <f>PIERNA!G71</f>
        <v>0</v>
      </c>
      <c r="H76" s="52">
        <f>PIERNA!H71</f>
        <v>0</v>
      </c>
      <c r="I76" s="256">
        <f t="shared" si="14"/>
        <v>0</v>
      </c>
      <c r="J76" s="654"/>
      <c r="K76" s="646"/>
      <c r="L76" s="462"/>
      <c r="M76" s="647"/>
      <c r="N76" s="463"/>
      <c r="O76" s="595"/>
      <c r="P76" s="435"/>
      <c r="Q76" s="436"/>
      <c r="R76" s="596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59">
        <f>PIERNA!G72</f>
        <v>0</v>
      </c>
      <c r="H77" s="52">
        <f>PIERNA!H72</f>
        <v>0</v>
      </c>
      <c r="I77" s="256">
        <f t="shared" si="14"/>
        <v>0</v>
      </c>
      <c r="J77" s="654"/>
      <c r="K77" s="646"/>
      <c r="L77" s="462"/>
      <c r="M77" s="647"/>
      <c r="N77" s="463"/>
      <c r="O77" s="595"/>
      <c r="P77" s="435"/>
      <c r="Q77" s="436"/>
      <c r="R77" s="596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59">
        <f>PIERNA!G73</f>
        <v>0</v>
      </c>
      <c r="H78" s="52">
        <f>PIERNA!H73</f>
        <v>0</v>
      </c>
      <c r="I78" s="256">
        <f t="shared" si="14"/>
        <v>0</v>
      </c>
      <c r="J78" s="654"/>
      <c r="K78" s="646"/>
      <c r="L78" s="462"/>
      <c r="M78" s="647"/>
      <c r="N78" s="463"/>
      <c r="O78" s="595"/>
      <c r="P78" s="435"/>
      <c r="Q78" s="436"/>
      <c r="R78" s="596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59">
        <f>PIERNA!G74</f>
        <v>0</v>
      </c>
      <c r="H79" s="52">
        <f>PIERNA!H74</f>
        <v>0</v>
      </c>
      <c r="I79" s="256">
        <f t="shared" si="14"/>
        <v>0</v>
      </c>
      <c r="J79" s="654"/>
      <c r="K79" s="646"/>
      <c r="L79" s="462"/>
      <c r="M79" s="647"/>
      <c r="N79" s="463"/>
      <c r="O79" s="595"/>
      <c r="P79" s="435"/>
      <c r="Q79" s="436"/>
      <c r="R79" s="596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59">
        <f>PIERNA!G75</f>
        <v>0</v>
      </c>
      <c r="H80" s="52">
        <f>PIERNA!H75</f>
        <v>0</v>
      </c>
      <c r="I80" s="256">
        <f t="shared" si="14"/>
        <v>0</v>
      </c>
      <c r="J80" s="654"/>
      <c r="K80" s="646"/>
      <c r="L80" s="462"/>
      <c r="M80" s="647"/>
      <c r="N80" s="463"/>
      <c r="O80" s="595"/>
      <c r="P80" s="435"/>
      <c r="Q80" s="436"/>
      <c r="R80" s="596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59">
        <f>PIERNA!G76</f>
        <v>0</v>
      </c>
      <c r="H81" s="52">
        <f>PIERNA!H76</f>
        <v>0</v>
      </c>
      <c r="I81" s="256">
        <f t="shared" si="14"/>
        <v>0</v>
      </c>
      <c r="J81" s="654"/>
      <c r="K81" s="646"/>
      <c r="L81" s="462"/>
      <c r="M81" s="647"/>
      <c r="N81" s="463"/>
      <c r="O81" s="595"/>
      <c r="P81" s="435"/>
      <c r="Q81" s="436"/>
      <c r="R81" s="596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59">
        <f>PIERNA!G77</f>
        <v>0</v>
      </c>
      <c r="H82" s="52">
        <f>PIERNA!H77</f>
        <v>0</v>
      </c>
      <c r="I82" s="256">
        <f t="shared" si="14"/>
        <v>0</v>
      </c>
      <c r="J82" s="654"/>
      <c r="K82" s="646"/>
      <c r="L82" s="462"/>
      <c r="M82" s="647"/>
      <c r="N82" s="463"/>
      <c r="O82" s="595"/>
      <c r="P82" s="435"/>
      <c r="Q82" s="436"/>
      <c r="R82" s="596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59">
        <f>PIERNA!G78</f>
        <v>0</v>
      </c>
      <c r="H83" s="52">
        <f>PIERNA!H78</f>
        <v>0</v>
      </c>
      <c r="I83" s="256">
        <f t="shared" si="14"/>
        <v>0</v>
      </c>
      <c r="J83" s="654"/>
      <c r="K83" s="646"/>
      <c r="L83" s="462"/>
      <c r="M83" s="647"/>
      <c r="N83" s="463"/>
      <c r="O83" s="595"/>
      <c r="P83" s="435"/>
      <c r="Q83" s="436"/>
      <c r="R83" s="596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59">
        <f>PIERNA!G79</f>
        <v>0</v>
      </c>
      <c r="H84" s="52">
        <f>PIERNA!H79</f>
        <v>0</v>
      </c>
      <c r="I84" s="256">
        <f t="shared" si="14"/>
        <v>0</v>
      </c>
      <c r="J84" s="654"/>
      <c r="K84" s="646"/>
      <c r="L84" s="462"/>
      <c r="M84" s="647"/>
      <c r="N84" s="463"/>
      <c r="O84" s="595"/>
      <c r="P84" s="435"/>
      <c r="Q84" s="436"/>
      <c r="R84" s="596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59">
        <f>PIERNA!G80</f>
        <v>0</v>
      </c>
      <c r="H85" s="52">
        <f>PIERNA!H80</f>
        <v>0</v>
      </c>
      <c r="I85" s="256">
        <f t="shared" si="14"/>
        <v>0</v>
      </c>
      <c r="J85" s="654"/>
      <c r="K85" s="646"/>
      <c r="L85" s="462"/>
      <c r="M85" s="647"/>
      <c r="N85" s="463"/>
      <c r="O85" s="595"/>
      <c r="P85" s="435"/>
      <c r="Q85" s="436"/>
      <c r="R85" s="596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59">
        <f>PIERNA!G81</f>
        <v>0</v>
      </c>
      <c r="H86" s="52">
        <f>PIERNA!H81</f>
        <v>0</v>
      </c>
      <c r="I86" s="256">
        <f t="shared" si="14"/>
        <v>0</v>
      </c>
      <c r="J86" s="654"/>
      <c r="K86" s="646"/>
      <c r="L86" s="462"/>
      <c r="M86" s="647"/>
      <c r="N86" s="463"/>
      <c r="O86" s="595"/>
      <c r="P86" s="435"/>
      <c r="Q86" s="436"/>
      <c r="R86" s="596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59">
        <f>PIERNA!G82</f>
        <v>0</v>
      </c>
      <c r="H87" s="52">
        <f>PIERNA!H82</f>
        <v>0</v>
      </c>
      <c r="I87" s="256">
        <f t="shared" si="14"/>
        <v>0</v>
      </c>
      <c r="J87" s="654"/>
      <c r="K87" s="646"/>
      <c r="L87" s="462"/>
      <c r="M87" s="647"/>
      <c r="N87" s="463"/>
      <c r="O87" s="595"/>
      <c r="P87" s="435"/>
      <c r="Q87" s="436"/>
      <c r="R87" s="596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59">
        <f>PIERNA!G83</f>
        <v>0</v>
      </c>
      <c r="H88" s="52">
        <f>PIERNA!H83</f>
        <v>0</v>
      </c>
      <c r="I88" s="256">
        <f t="shared" si="14"/>
        <v>0</v>
      </c>
      <c r="J88" s="654"/>
      <c r="K88" s="646"/>
      <c r="L88" s="462"/>
      <c r="M88" s="647"/>
      <c r="N88" s="463"/>
      <c r="O88" s="595"/>
      <c r="P88" s="435"/>
      <c r="Q88" s="436"/>
      <c r="R88" s="596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59">
        <f>PIERNA!G84</f>
        <v>0</v>
      </c>
      <c r="H89" s="52">
        <f>PIERNA!H84</f>
        <v>0</v>
      </c>
      <c r="I89" s="256">
        <f t="shared" si="14"/>
        <v>0</v>
      </c>
      <c r="J89" s="654"/>
      <c r="K89" s="646"/>
      <c r="L89" s="462"/>
      <c r="M89" s="647"/>
      <c r="N89" s="463"/>
      <c r="O89" s="595"/>
      <c r="P89" s="435"/>
      <c r="Q89" s="436"/>
      <c r="R89" s="596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59">
        <f>PIERNA!G85</f>
        <v>0</v>
      </c>
      <c r="H90" s="52">
        <f>PIERNA!H85</f>
        <v>0</v>
      </c>
      <c r="I90" s="256">
        <f t="shared" si="14"/>
        <v>0</v>
      </c>
      <c r="J90" s="654"/>
      <c r="K90" s="646"/>
      <c r="L90" s="462"/>
      <c r="M90" s="647"/>
      <c r="N90" s="463"/>
      <c r="O90" s="595"/>
      <c r="P90" s="435"/>
      <c r="Q90" s="436"/>
      <c r="R90" s="596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59">
        <f>PIERNA!G86</f>
        <v>0</v>
      </c>
      <c r="H91" s="52">
        <f>PIERNA!H86</f>
        <v>0</v>
      </c>
      <c r="I91" s="256">
        <f t="shared" si="14"/>
        <v>0</v>
      </c>
      <c r="J91" s="654"/>
      <c r="K91" s="646"/>
      <c r="L91" s="462"/>
      <c r="M91" s="647"/>
      <c r="N91" s="463"/>
      <c r="O91" s="595"/>
      <c r="P91" s="435"/>
      <c r="Q91" s="436"/>
      <c r="R91" s="596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59">
        <f>PIERNA!G87</f>
        <v>0</v>
      </c>
      <c r="H92" s="52">
        <f>PIERNA!H87</f>
        <v>0</v>
      </c>
      <c r="I92" s="256">
        <f t="shared" si="14"/>
        <v>0</v>
      </c>
      <c r="J92" s="654"/>
      <c r="K92" s="646"/>
      <c r="L92" s="462"/>
      <c r="M92" s="647"/>
      <c r="N92" s="463"/>
      <c r="O92" s="595"/>
      <c r="P92" s="435"/>
      <c r="Q92" s="436"/>
      <c r="R92" s="596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59">
        <f>PIERNA!G88</f>
        <v>0</v>
      </c>
      <c r="H93" s="52">
        <f>PIERNA!H88</f>
        <v>0</v>
      </c>
      <c r="I93" s="256">
        <f t="shared" si="14"/>
        <v>0</v>
      </c>
      <c r="J93" s="654"/>
      <c r="K93" s="646"/>
      <c r="L93" s="462"/>
      <c r="M93" s="647"/>
      <c r="N93" s="463"/>
      <c r="O93" s="595"/>
      <c r="P93" s="435"/>
      <c r="Q93" s="436"/>
      <c r="R93" s="596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09"/>
      <c r="D94" s="147"/>
      <c r="E94" s="119"/>
      <c r="F94" s="228"/>
      <c r="G94" s="259"/>
      <c r="H94" s="52"/>
      <c r="I94" s="256">
        <f t="shared" si="14"/>
        <v>0</v>
      </c>
      <c r="J94" s="645"/>
      <c r="K94" s="655"/>
      <c r="L94" s="462"/>
      <c r="M94" s="647"/>
      <c r="N94" s="463"/>
      <c r="O94" s="595"/>
      <c r="P94" s="435"/>
      <c r="Q94" s="436"/>
      <c r="R94" s="596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59"/>
      <c r="H95" s="52"/>
      <c r="I95" s="256">
        <f t="shared" si="14"/>
        <v>0</v>
      </c>
      <c r="J95" s="654"/>
      <c r="K95" s="646"/>
      <c r="L95" s="462"/>
      <c r="M95" s="436"/>
      <c r="N95" s="463"/>
      <c r="O95" s="595"/>
      <c r="P95" s="435"/>
      <c r="Q95" s="436"/>
      <c r="R95" s="596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59"/>
      <c r="H96" s="52"/>
      <c r="I96" s="256"/>
      <c r="J96" s="654"/>
      <c r="K96" s="646"/>
      <c r="L96" s="462"/>
      <c r="M96" s="436"/>
      <c r="N96" s="463"/>
      <c r="O96" s="595"/>
      <c r="P96" s="435"/>
      <c r="Q96" s="436"/>
      <c r="R96" s="596"/>
      <c r="S96" s="83">
        <f t="shared" si="16"/>
        <v>0</v>
      </c>
      <c r="T96" s="83" t="e">
        <f t="shared" si="17"/>
        <v>#DIV/0!</v>
      </c>
    </row>
    <row r="97" spans="1:20" s="237" customFormat="1" x14ac:dyDescent="0.25">
      <c r="A97" s="145"/>
      <c r="B97" s="102"/>
      <c r="C97" s="233"/>
      <c r="D97" s="147"/>
      <c r="E97" s="119"/>
      <c r="F97" s="228"/>
      <c r="G97" s="259"/>
      <c r="H97" s="52"/>
      <c r="I97" s="256"/>
      <c r="J97" s="461"/>
      <c r="K97" s="437"/>
      <c r="L97" s="462"/>
      <c r="M97" s="436"/>
      <c r="N97" s="463"/>
      <c r="O97" s="595"/>
      <c r="P97" s="435"/>
      <c r="Q97" s="436"/>
      <c r="R97" s="596"/>
      <c r="S97" s="83">
        <f t="shared" si="16"/>
        <v>0</v>
      </c>
      <c r="T97" s="83" t="e">
        <f t="shared" si="17"/>
        <v>#DIV/0!</v>
      </c>
    </row>
    <row r="98" spans="1:20" s="237" customFormat="1" x14ac:dyDescent="0.25">
      <c r="A98" s="145">
        <v>60</v>
      </c>
      <c r="B98" s="102" t="s">
        <v>180</v>
      </c>
      <c r="C98" s="233" t="s">
        <v>196</v>
      </c>
      <c r="D98" s="147"/>
      <c r="E98" s="446">
        <v>43746</v>
      </c>
      <c r="F98" s="228">
        <v>1553.36</v>
      </c>
      <c r="G98" s="259">
        <v>82</v>
      </c>
      <c r="H98" s="52">
        <v>1553.36</v>
      </c>
      <c r="I98" s="256">
        <f t="shared" ref="I98:I103" si="18">H98-F98</f>
        <v>0</v>
      </c>
      <c r="J98" s="461"/>
      <c r="K98" s="437"/>
      <c r="L98" s="462"/>
      <c r="M98" s="436"/>
      <c r="N98" s="463"/>
      <c r="O98" s="595" t="s">
        <v>197</v>
      </c>
      <c r="P98" s="435"/>
      <c r="Q98" s="436">
        <v>78444.679999999993</v>
      </c>
      <c r="R98" s="521" t="s">
        <v>204</v>
      </c>
      <c r="S98" s="83">
        <f t="shared" si="16"/>
        <v>78444.679999999993</v>
      </c>
      <c r="T98" s="301">
        <f t="shared" ref="T98:T103" si="19">S98/H98</f>
        <v>50.5</v>
      </c>
    </row>
    <row r="99" spans="1:20" s="237" customFormat="1" x14ac:dyDescent="0.25">
      <c r="A99" s="145">
        <v>61</v>
      </c>
      <c r="B99" s="102" t="s">
        <v>180</v>
      </c>
      <c r="C99" s="233" t="s">
        <v>203</v>
      </c>
      <c r="D99" s="147"/>
      <c r="E99" s="446">
        <v>43746</v>
      </c>
      <c r="F99" s="228">
        <v>1000</v>
      </c>
      <c r="G99" s="259">
        <v>100</v>
      </c>
      <c r="H99" s="52">
        <v>1000</v>
      </c>
      <c r="I99" s="256">
        <f t="shared" si="18"/>
        <v>0</v>
      </c>
      <c r="J99" s="461"/>
      <c r="K99" s="437"/>
      <c r="L99" s="462"/>
      <c r="M99" s="436"/>
      <c r="N99" s="463"/>
      <c r="O99" s="595" t="s">
        <v>197</v>
      </c>
      <c r="P99" s="435"/>
      <c r="Q99" s="436">
        <v>25000</v>
      </c>
      <c r="R99" s="521" t="s">
        <v>204</v>
      </c>
      <c r="S99" s="83">
        <f t="shared" si="16"/>
        <v>25000</v>
      </c>
      <c r="T99" s="301">
        <f t="shared" si="19"/>
        <v>25</v>
      </c>
    </row>
    <row r="100" spans="1:20" s="237" customFormat="1" x14ac:dyDescent="0.25">
      <c r="A100" s="145">
        <v>62</v>
      </c>
      <c r="B100" s="102" t="s">
        <v>198</v>
      </c>
      <c r="C100" s="233" t="s">
        <v>199</v>
      </c>
      <c r="D100" s="147"/>
      <c r="E100" s="446">
        <v>43748</v>
      </c>
      <c r="F100" s="228">
        <v>3062.56</v>
      </c>
      <c r="G100" s="259">
        <v>161</v>
      </c>
      <c r="H100" s="52">
        <v>3062.56</v>
      </c>
      <c r="I100" s="256">
        <f t="shared" si="18"/>
        <v>0</v>
      </c>
      <c r="J100" s="461"/>
      <c r="K100" s="437"/>
      <c r="L100" s="462"/>
      <c r="M100" s="436"/>
      <c r="N100" s="463"/>
      <c r="O100" s="595" t="s">
        <v>255</v>
      </c>
      <c r="P100" s="435"/>
      <c r="Q100" s="436">
        <v>306225</v>
      </c>
      <c r="R100" s="521" t="s">
        <v>256</v>
      </c>
      <c r="S100" s="83">
        <f t="shared" si="16"/>
        <v>306225</v>
      </c>
      <c r="T100" s="301">
        <f t="shared" si="19"/>
        <v>99.989877749333886</v>
      </c>
    </row>
    <row r="101" spans="1:20" s="237" customFormat="1" ht="15" customHeight="1" x14ac:dyDescent="0.25">
      <c r="A101" s="145">
        <v>63</v>
      </c>
      <c r="B101" s="102" t="s">
        <v>101</v>
      </c>
      <c r="C101" s="233" t="s">
        <v>83</v>
      </c>
      <c r="D101" s="147"/>
      <c r="E101" s="446">
        <v>43752</v>
      </c>
      <c r="F101" s="228">
        <v>1000</v>
      </c>
      <c r="G101" s="259">
        <v>100</v>
      </c>
      <c r="H101" s="52">
        <v>1000</v>
      </c>
      <c r="I101" s="256">
        <f t="shared" si="18"/>
        <v>0</v>
      </c>
      <c r="J101" s="461"/>
      <c r="K101" s="437"/>
      <c r="L101" s="462"/>
      <c r="M101" s="436"/>
      <c r="N101" s="463"/>
      <c r="O101" s="595" t="s">
        <v>242</v>
      </c>
      <c r="P101" s="435"/>
      <c r="Q101" s="436">
        <v>45000</v>
      </c>
      <c r="R101" s="596" t="s">
        <v>258</v>
      </c>
      <c r="S101" s="83">
        <f t="shared" si="16"/>
        <v>45000</v>
      </c>
      <c r="T101" s="301">
        <f t="shared" si="19"/>
        <v>45</v>
      </c>
    </row>
    <row r="102" spans="1:20" s="237" customFormat="1" x14ac:dyDescent="0.25">
      <c r="A102" s="145">
        <v>64</v>
      </c>
      <c r="B102" s="397" t="s">
        <v>101</v>
      </c>
      <c r="C102" s="233" t="s">
        <v>82</v>
      </c>
      <c r="D102" s="147"/>
      <c r="E102" s="446">
        <v>43752</v>
      </c>
      <c r="F102" s="228">
        <v>1003.34</v>
      </c>
      <c r="G102" s="259">
        <v>221</v>
      </c>
      <c r="H102" s="52">
        <v>1003.34</v>
      </c>
      <c r="I102" s="256">
        <f t="shared" si="18"/>
        <v>0</v>
      </c>
      <c r="J102" s="573"/>
      <c r="K102" s="574"/>
      <c r="L102" s="575"/>
      <c r="M102" s="486"/>
      <c r="N102" s="576"/>
      <c r="O102" s="441" t="s">
        <v>242</v>
      </c>
      <c r="P102" s="566"/>
      <c r="Q102" s="486">
        <v>43143.62</v>
      </c>
      <c r="R102" s="596" t="s">
        <v>258</v>
      </c>
      <c r="S102" s="83">
        <f t="shared" si="16"/>
        <v>43143.62</v>
      </c>
      <c r="T102" s="301">
        <f t="shared" si="19"/>
        <v>43</v>
      </c>
    </row>
    <row r="103" spans="1:20" s="237" customFormat="1" ht="15.75" x14ac:dyDescent="0.25">
      <c r="A103" s="145">
        <v>65</v>
      </c>
      <c r="B103" s="449" t="s">
        <v>101</v>
      </c>
      <c r="C103" s="477" t="s">
        <v>81</v>
      </c>
      <c r="D103" s="458"/>
      <c r="E103" s="446">
        <v>43752</v>
      </c>
      <c r="F103" s="459">
        <v>45.4</v>
      </c>
      <c r="G103" s="460">
        <v>10</v>
      </c>
      <c r="H103" s="439">
        <v>45.4</v>
      </c>
      <c r="I103" s="256">
        <f t="shared" si="18"/>
        <v>0</v>
      </c>
      <c r="J103" s="573"/>
      <c r="K103" s="574"/>
      <c r="L103" s="575"/>
      <c r="M103" s="486"/>
      <c r="N103" s="576"/>
      <c r="O103" s="577" t="s">
        <v>242</v>
      </c>
      <c r="P103" s="566"/>
      <c r="Q103" s="486">
        <v>7491</v>
      </c>
      <c r="R103" s="596" t="s">
        <v>258</v>
      </c>
      <c r="S103" s="83">
        <f t="shared" si="16"/>
        <v>7491</v>
      </c>
      <c r="T103" s="301">
        <f t="shared" si="19"/>
        <v>165</v>
      </c>
    </row>
    <row r="104" spans="1:20" s="237" customFormat="1" ht="15.75" x14ac:dyDescent="0.25">
      <c r="A104" s="145">
        <v>66</v>
      </c>
      <c r="B104" s="449" t="s">
        <v>101</v>
      </c>
      <c r="C104" s="477" t="s">
        <v>102</v>
      </c>
      <c r="D104" s="458"/>
      <c r="E104" s="446">
        <v>43752</v>
      </c>
      <c r="F104" s="459">
        <v>10</v>
      </c>
      <c r="G104" s="460">
        <v>2</v>
      </c>
      <c r="H104" s="439">
        <v>10</v>
      </c>
      <c r="I104" s="256">
        <f t="shared" ref="I104:I120" si="20">H104-F104</f>
        <v>0</v>
      </c>
      <c r="J104" s="573"/>
      <c r="K104" s="574"/>
      <c r="L104" s="575"/>
      <c r="M104" s="486"/>
      <c r="N104" s="576"/>
      <c r="O104" s="577" t="s">
        <v>242</v>
      </c>
      <c r="P104" s="566"/>
      <c r="Q104" s="486">
        <v>1700</v>
      </c>
      <c r="R104" s="596" t="s">
        <v>258</v>
      </c>
      <c r="S104" s="83">
        <f t="shared" si="16"/>
        <v>1700</v>
      </c>
      <c r="T104" s="301">
        <f t="shared" ref="T104:T107" si="21">S104/H104</f>
        <v>170</v>
      </c>
    </row>
    <row r="105" spans="1:20" s="237" customFormat="1" ht="15.75" x14ac:dyDescent="0.25">
      <c r="A105" s="145">
        <v>67</v>
      </c>
      <c r="B105" s="449" t="s">
        <v>180</v>
      </c>
      <c r="C105" s="477" t="s">
        <v>203</v>
      </c>
      <c r="D105" s="458"/>
      <c r="E105" s="446">
        <v>43753</v>
      </c>
      <c r="F105" s="459">
        <v>2000</v>
      </c>
      <c r="G105" s="460">
        <v>200</v>
      </c>
      <c r="H105" s="439">
        <v>2000</v>
      </c>
      <c r="I105" s="256">
        <f t="shared" si="20"/>
        <v>0</v>
      </c>
      <c r="J105" s="573"/>
      <c r="K105" s="465"/>
      <c r="L105" s="574"/>
      <c r="M105" s="486"/>
      <c r="N105" s="576"/>
      <c r="O105" s="577" t="s">
        <v>306</v>
      </c>
      <c r="P105" s="566"/>
      <c r="Q105" s="486">
        <v>50000</v>
      </c>
      <c r="R105" s="520" t="s">
        <v>320</v>
      </c>
      <c r="S105" s="83">
        <f t="shared" si="16"/>
        <v>50000</v>
      </c>
      <c r="T105" s="83">
        <f t="shared" si="21"/>
        <v>25</v>
      </c>
    </row>
    <row r="106" spans="1:20" s="237" customFormat="1" ht="29.25" x14ac:dyDescent="0.25">
      <c r="A106" s="145">
        <v>68</v>
      </c>
      <c r="B106" s="449" t="s">
        <v>198</v>
      </c>
      <c r="C106" s="519" t="s">
        <v>307</v>
      </c>
      <c r="D106" s="458"/>
      <c r="E106" s="446">
        <v>43754</v>
      </c>
      <c r="F106" s="459">
        <v>9799.2000000000007</v>
      </c>
      <c r="G106" s="460">
        <v>360</v>
      </c>
      <c r="H106" s="439">
        <v>9799.2000000000007</v>
      </c>
      <c r="I106" s="256">
        <f t="shared" si="20"/>
        <v>0</v>
      </c>
      <c r="J106" s="573"/>
      <c r="K106" s="574"/>
      <c r="L106" s="575"/>
      <c r="M106" s="486"/>
      <c r="N106" s="576"/>
      <c r="O106" s="577" t="s">
        <v>351</v>
      </c>
      <c r="P106" s="566"/>
      <c r="Q106" s="486">
        <v>622249.19999999995</v>
      </c>
      <c r="R106" s="520" t="s">
        <v>350</v>
      </c>
      <c r="S106" s="83">
        <f t="shared" si="16"/>
        <v>622249.19999999995</v>
      </c>
      <c r="T106" s="83">
        <f t="shared" si="21"/>
        <v>63.499999999999993</v>
      </c>
    </row>
    <row r="107" spans="1:20" s="237" customFormat="1" x14ac:dyDescent="0.25">
      <c r="A107" s="145">
        <v>69</v>
      </c>
      <c r="B107" s="449" t="s">
        <v>180</v>
      </c>
      <c r="C107" s="519" t="s">
        <v>92</v>
      </c>
      <c r="D107" s="458"/>
      <c r="E107" s="446">
        <v>43755</v>
      </c>
      <c r="F107" s="459">
        <v>3012.3</v>
      </c>
      <c r="G107" s="460">
        <v>148</v>
      </c>
      <c r="H107" s="439">
        <v>3012.3</v>
      </c>
      <c r="I107" s="256">
        <f t="shared" si="20"/>
        <v>0</v>
      </c>
      <c r="J107" s="573"/>
      <c r="K107" s="574"/>
      <c r="L107" s="575"/>
      <c r="M107" s="486"/>
      <c r="N107" s="576"/>
      <c r="O107" s="441" t="s">
        <v>308</v>
      </c>
      <c r="P107" s="566"/>
      <c r="Q107" s="486">
        <v>177725.7</v>
      </c>
      <c r="R107" s="520" t="s">
        <v>320</v>
      </c>
      <c r="S107" s="83">
        <f t="shared" si="16"/>
        <v>177725.7</v>
      </c>
      <c r="T107" s="83">
        <f t="shared" si="21"/>
        <v>59</v>
      </c>
    </row>
    <row r="108" spans="1:20" s="237" customFormat="1" ht="15.75" x14ac:dyDescent="0.25">
      <c r="A108" s="145">
        <v>70</v>
      </c>
      <c r="B108" s="440" t="s">
        <v>180</v>
      </c>
      <c r="C108" s="477" t="s">
        <v>309</v>
      </c>
      <c r="D108" s="466"/>
      <c r="E108" s="446">
        <v>43755</v>
      </c>
      <c r="F108" s="459">
        <v>3465</v>
      </c>
      <c r="G108" s="467">
        <v>4</v>
      </c>
      <c r="H108" s="439">
        <v>3465</v>
      </c>
      <c r="I108" s="256">
        <f t="shared" si="20"/>
        <v>0</v>
      </c>
      <c r="J108" s="573"/>
      <c r="K108" s="574"/>
      <c r="L108" s="575"/>
      <c r="M108" s="486"/>
      <c r="N108" s="578"/>
      <c r="O108" s="441" t="s">
        <v>308</v>
      </c>
      <c r="P108" s="566"/>
      <c r="Q108" s="486">
        <v>65835</v>
      </c>
      <c r="R108" s="520" t="s">
        <v>320</v>
      </c>
      <c r="S108" s="83">
        <f t="shared" si="16"/>
        <v>65835</v>
      </c>
      <c r="T108" s="83">
        <f>S108/H108</f>
        <v>19</v>
      </c>
    </row>
    <row r="109" spans="1:20" s="237" customFormat="1" ht="15.75" x14ac:dyDescent="0.25">
      <c r="A109" s="145">
        <v>71</v>
      </c>
      <c r="B109" s="468" t="s">
        <v>180</v>
      </c>
      <c r="C109" s="477" t="s">
        <v>309</v>
      </c>
      <c r="D109" s="458"/>
      <c r="E109" s="446">
        <v>43756</v>
      </c>
      <c r="F109" s="459">
        <v>1740</v>
      </c>
      <c r="G109" s="460">
        <v>2</v>
      </c>
      <c r="H109" s="439">
        <v>1740</v>
      </c>
      <c r="I109" s="256">
        <f t="shared" si="20"/>
        <v>0</v>
      </c>
      <c r="J109" s="573"/>
      <c r="K109" s="574"/>
      <c r="L109" s="575"/>
      <c r="M109" s="486"/>
      <c r="N109" s="578"/>
      <c r="O109" s="441" t="s">
        <v>310</v>
      </c>
      <c r="P109" s="566"/>
      <c r="Q109" s="486">
        <v>33060</v>
      </c>
      <c r="R109" s="520" t="s">
        <v>356</v>
      </c>
      <c r="S109" s="83">
        <f t="shared" si="16"/>
        <v>33060</v>
      </c>
      <c r="T109" s="83">
        <f t="shared" ref="T109:T111" si="22">S109/H109</f>
        <v>19</v>
      </c>
    </row>
    <row r="110" spans="1:20" s="237" customFormat="1" ht="15.75" x14ac:dyDescent="0.25">
      <c r="A110" s="145">
        <v>72</v>
      </c>
      <c r="B110" s="468" t="s">
        <v>180</v>
      </c>
      <c r="C110" s="477" t="s">
        <v>309</v>
      </c>
      <c r="D110" s="458"/>
      <c r="E110" s="446">
        <v>43760</v>
      </c>
      <c r="F110" s="459">
        <v>1709</v>
      </c>
      <c r="G110" s="460">
        <v>2</v>
      </c>
      <c r="H110" s="439">
        <v>1709</v>
      </c>
      <c r="I110" s="256">
        <f t="shared" si="20"/>
        <v>0</v>
      </c>
      <c r="J110" s="573"/>
      <c r="K110" s="574"/>
      <c r="L110" s="575"/>
      <c r="M110" s="486"/>
      <c r="N110" s="578"/>
      <c r="O110" s="441" t="s">
        <v>311</v>
      </c>
      <c r="P110" s="566"/>
      <c r="Q110" s="486">
        <v>32471</v>
      </c>
      <c r="R110" s="520" t="s">
        <v>355</v>
      </c>
      <c r="S110" s="83">
        <f t="shared" si="16"/>
        <v>32471</v>
      </c>
      <c r="T110" s="83">
        <f t="shared" si="22"/>
        <v>19</v>
      </c>
    </row>
    <row r="111" spans="1:20" s="237" customFormat="1" ht="30" x14ac:dyDescent="0.3">
      <c r="A111" s="145">
        <v>73</v>
      </c>
      <c r="B111" s="468" t="s">
        <v>198</v>
      </c>
      <c r="C111" s="457" t="s">
        <v>305</v>
      </c>
      <c r="D111" s="458"/>
      <c r="E111" s="446">
        <v>43760</v>
      </c>
      <c r="F111" s="459">
        <v>612.45000000000005</v>
      </c>
      <c r="G111" s="460">
        <v>45</v>
      </c>
      <c r="H111" s="439">
        <v>612.45000000000005</v>
      </c>
      <c r="I111" s="256">
        <f t="shared" si="20"/>
        <v>0</v>
      </c>
      <c r="J111" s="573"/>
      <c r="K111" s="574"/>
      <c r="L111" s="575"/>
      <c r="M111" s="579"/>
      <c r="N111" s="580"/>
      <c r="O111" s="441" t="s">
        <v>349</v>
      </c>
      <c r="P111" s="566"/>
      <c r="Q111" s="486">
        <v>24498</v>
      </c>
      <c r="R111" s="520" t="s">
        <v>350</v>
      </c>
      <c r="S111" s="83">
        <f t="shared" si="16"/>
        <v>24498</v>
      </c>
      <c r="T111" s="83">
        <f t="shared" si="22"/>
        <v>40</v>
      </c>
    </row>
    <row r="112" spans="1:20" s="237" customFormat="1" x14ac:dyDescent="0.25">
      <c r="A112" s="145">
        <v>74</v>
      </c>
      <c r="B112" s="468" t="s">
        <v>312</v>
      </c>
      <c r="C112" s="609" t="s">
        <v>103</v>
      </c>
      <c r="D112" s="458"/>
      <c r="E112" s="446">
        <v>43761</v>
      </c>
      <c r="F112" s="459">
        <v>18310.68</v>
      </c>
      <c r="G112" s="460">
        <v>598</v>
      </c>
      <c r="H112" s="439">
        <v>18300.61</v>
      </c>
      <c r="I112" s="256">
        <f t="shared" si="20"/>
        <v>-10.069999999999709</v>
      </c>
      <c r="J112" s="441"/>
      <c r="K112" s="574"/>
      <c r="L112" s="575"/>
      <c r="M112" s="486"/>
      <c r="N112" s="565"/>
      <c r="O112" s="441" t="s">
        <v>440</v>
      </c>
      <c r="P112" s="566"/>
      <c r="Q112" s="737">
        <v>1629623.38</v>
      </c>
      <c r="R112" s="738" t="s">
        <v>441</v>
      </c>
      <c r="S112" s="83">
        <f t="shared" si="16"/>
        <v>1629623.38</v>
      </c>
      <c r="T112" s="83">
        <f t="shared" ref="T112:T113" si="23">S112/H112</f>
        <v>89.047489673841469</v>
      </c>
    </row>
    <row r="113" spans="1:20" s="237" customFormat="1" x14ac:dyDescent="0.25">
      <c r="A113" s="145">
        <v>75</v>
      </c>
      <c r="B113" s="468" t="s">
        <v>180</v>
      </c>
      <c r="C113" s="715" t="s">
        <v>309</v>
      </c>
      <c r="D113" s="458"/>
      <c r="E113" s="446">
        <v>43767</v>
      </c>
      <c r="F113" s="459">
        <v>3442</v>
      </c>
      <c r="G113" s="460">
        <v>4</v>
      </c>
      <c r="H113" s="439">
        <v>3442</v>
      </c>
      <c r="I113" s="256">
        <f t="shared" si="20"/>
        <v>0</v>
      </c>
      <c r="J113" s="441"/>
      <c r="K113" s="574"/>
      <c r="L113" s="575"/>
      <c r="M113" s="486"/>
      <c r="N113" s="565"/>
      <c r="O113" s="441" t="s">
        <v>339</v>
      </c>
      <c r="P113" s="566"/>
      <c r="Q113" s="486">
        <v>65398</v>
      </c>
      <c r="R113" s="520" t="s">
        <v>435</v>
      </c>
      <c r="S113" s="83">
        <f t="shared" si="16"/>
        <v>65398</v>
      </c>
      <c r="T113" s="83">
        <f t="shared" si="23"/>
        <v>19</v>
      </c>
    </row>
    <row r="114" spans="1:20" s="237" customFormat="1" ht="15.75" x14ac:dyDescent="0.25">
      <c r="A114" s="145">
        <v>76</v>
      </c>
      <c r="B114" s="469" t="s">
        <v>180</v>
      </c>
      <c r="C114" s="470" t="s">
        <v>309</v>
      </c>
      <c r="D114" s="471"/>
      <c r="E114" s="472">
        <v>43774</v>
      </c>
      <c r="F114" s="473">
        <v>1718</v>
      </c>
      <c r="G114" s="474">
        <v>2</v>
      </c>
      <c r="H114" s="475">
        <v>1718</v>
      </c>
      <c r="I114" s="256">
        <f t="shared" si="20"/>
        <v>0</v>
      </c>
      <c r="J114" s="573"/>
      <c r="K114" s="574"/>
      <c r="L114" s="575"/>
      <c r="M114" s="486"/>
      <c r="N114" s="576"/>
      <c r="O114" s="581" t="s">
        <v>432</v>
      </c>
      <c r="P114" s="597"/>
      <c r="Q114" s="737">
        <v>32642</v>
      </c>
      <c r="R114" s="738" t="s">
        <v>442</v>
      </c>
      <c r="S114" s="83">
        <f t="shared" si="16"/>
        <v>32642</v>
      </c>
      <c r="T114" s="83">
        <f t="shared" ref="T114:T120" si="24">S114/H114</f>
        <v>19</v>
      </c>
    </row>
    <row r="115" spans="1:20" s="237" customFormat="1" ht="15.75" x14ac:dyDescent="0.25">
      <c r="A115" s="145">
        <v>77</v>
      </c>
      <c r="B115" s="449"/>
      <c r="C115" s="457"/>
      <c r="D115" s="458"/>
      <c r="E115" s="446"/>
      <c r="F115" s="459"/>
      <c r="G115" s="467"/>
      <c r="H115" s="439"/>
      <c r="I115" s="256">
        <f t="shared" si="20"/>
        <v>0</v>
      </c>
      <c r="J115" s="441"/>
      <c r="K115" s="574"/>
      <c r="L115" s="575"/>
      <c r="M115" s="486"/>
      <c r="N115" s="576"/>
      <c r="O115" s="577"/>
      <c r="P115" s="597"/>
      <c r="Q115" s="598"/>
      <c r="R115" s="599"/>
      <c r="S115" s="83">
        <f t="shared" si="16"/>
        <v>0</v>
      </c>
      <c r="T115" s="83" t="e">
        <f t="shared" si="24"/>
        <v>#DIV/0!</v>
      </c>
    </row>
    <row r="116" spans="1:20" s="237" customFormat="1" ht="15.75" x14ac:dyDescent="0.25">
      <c r="A116" s="145">
        <v>78</v>
      </c>
      <c r="B116" s="449"/>
      <c r="C116" s="457"/>
      <c r="D116" s="458"/>
      <c r="E116" s="446"/>
      <c r="F116" s="459"/>
      <c r="G116" s="467"/>
      <c r="H116" s="439"/>
      <c r="I116" s="256">
        <f t="shared" si="20"/>
        <v>0</v>
      </c>
      <c r="J116" s="573"/>
      <c r="K116" s="574"/>
      <c r="L116" s="575"/>
      <c r="M116" s="486"/>
      <c r="N116" s="582"/>
      <c r="O116" s="577"/>
      <c r="P116" s="597"/>
      <c r="Q116" s="598"/>
      <c r="R116" s="599"/>
      <c r="S116" s="83">
        <f t="shared" si="16"/>
        <v>0</v>
      </c>
      <c r="T116" s="83" t="e">
        <f t="shared" si="24"/>
        <v>#DIV/0!</v>
      </c>
    </row>
    <row r="117" spans="1:20" s="237" customFormat="1" ht="15.75" x14ac:dyDescent="0.25">
      <c r="A117" s="145">
        <v>79</v>
      </c>
      <c r="B117" s="449"/>
      <c r="C117" s="457"/>
      <c r="D117" s="458"/>
      <c r="E117" s="446"/>
      <c r="F117" s="459"/>
      <c r="G117" s="467"/>
      <c r="H117" s="439"/>
      <c r="I117" s="256">
        <f t="shared" si="20"/>
        <v>0</v>
      </c>
      <c r="J117" s="573"/>
      <c r="K117" s="574"/>
      <c r="L117" s="575"/>
      <c r="M117" s="486"/>
      <c r="N117" s="582"/>
      <c r="O117" s="577"/>
      <c r="P117" s="597"/>
      <c r="Q117" s="598"/>
      <c r="R117" s="599"/>
      <c r="S117" s="83">
        <f t="shared" si="16"/>
        <v>0</v>
      </c>
      <c r="T117" s="83" t="e">
        <f t="shared" si="24"/>
        <v>#DIV/0!</v>
      </c>
    </row>
    <row r="118" spans="1:20" s="237" customFormat="1" ht="15.75" x14ac:dyDescent="0.25">
      <c r="A118" s="145">
        <v>80</v>
      </c>
      <c r="B118" s="449"/>
      <c r="C118" s="457"/>
      <c r="D118" s="458"/>
      <c r="E118" s="446"/>
      <c r="F118" s="459"/>
      <c r="G118" s="467"/>
      <c r="H118" s="439"/>
      <c r="I118" s="256">
        <f t="shared" si="20"/>
        <v>0</v>
      </c>
      <c r="J118" s="573"/>
      <c r="K118" s="574"/>
      <c r="L118" s="575"/>
      <c r="M118" s="486"/>
      <c r="N118" s="582"/>
      <c r="O118" s="577"/>
      <c r="P118" s="566"/>
      <c r="Q118" s="486"/>
      <c r="R118" s="520"/>
      <c r="S118" s="83">
        <f t="shared" si="16"/>
        <v>0</v>
      </c>
      <c r="T118" s="83" t="e">
        <f t="shared" si="24"/>
        <v>#DIV/0!</v>
      </c>
    </row>
    <row r="119" spans="1:20" s="237" customFormat="1" ht="15.75" x14ac:dyDescent="0.25">
      <c r="A119" s="145">
        <v>81</v>
      </c>
      <c r="B119" s="468"/>
      <c r="C119" s="457"/>
      <c r="D119" s="458"/>
      <c r="E119" s="446"/>
      <c r="F119" s="459"/>
      <c r="G119" s="460"/>
      <c r="H119" s="439"/>
      <c r="I119" s="256">
        <f t="shared" si="20"/>
        <v>0</v>
      </c>
      <c r="J119" s="461"/>
      <c r="K119" s="437"/>
      <c r="L119" s="462"/>
      <c r="M119" s="437"/>
      <c r="N119" s="462"/>
      <c r="O119" s="464"/>
      <c r="P119" s="435"/>
      <c r="Q119" s="436"/>
      <c r="R119" s="521"/>
      <c r="S119" s="83">
        <f t="shared" si="16"/>
        <v>0</v>
      </c>
      <c r="T119" s="83" t="e">
        <f t="shared" si="24"/>
        <v>#DIV/0!</v>
      </c>
    </row>
    <row r="120" spans="1:20" s="237" customFormat="1" ht="15.75" x14ac:dyDescent="0.25">
      <c r="A120" s="145">
        <v>82</v>
      </c>
      <c r="B120" s="449"/>
      <c r="C120" s="457"/>
      <c r="D120" s="458"/>
      <c r="E120" s="446"/>
      <c r="F120" s="459"/>
      <c r="G120" s="460"/>
      <c r="H120" s="439"/>
      <c r="I120" s="256">
        <f t="shared" si="20"/>
        <v>0</v>
      </c>
      <c r="J120" s="461"/>
      <c r="K120" s="437"/>
      <c r="L120" s="462"/>
      <c r="M120" s="437"/>
      <c r="N120" s="462"/>
      <c r="O120" s="464"/>
      <c r="P120" s="476"/>
      <c r="Q120" s="436"/>
      <c r="R120" s="521"/>
      <c r="S120" s="83">
        <f t="shared" si="16"/>
        <v>0</v>
      </c>
      <c r="T120" s="83" t="e">
        <f t="shared" si="24"/>
        <v>#DIV/0!</v>
      </c>
    </row>
    <row r="121" spans="1:20" s="237" customFormat="1" ht="15.75" x14ac:dyDescent="0.25">
      <c r="A121" s="145">
        <v>83</v>
      </c>
      <c r="B121" s="440"/>
      <c r="C121" s="457"/>
      <c r="D121" s="458"/>
      <c r="E121" s="446"/>
      <c r="F121" s="459"/>
      <c r="G121" s="460"/>
      <c r="H121" s="439"/>
      <c r="I121" s="256" t="s">
        <v>41</v>
      </c>
      <c r="J121" s="461"/>
      <c r="K121" s="437"/>
      <c r="L121" s="462"/>
      <c r="M121" s="437"/>
      <c r="N121" s="462"/>
      <c r="O121" s="464"/>
      <c r="P121" s="435"/>
      <c r="Q121" s="436"/>
      <c r="R121" s="521"/>
      <c r="S121" s="83">
        <f t="shared" si="16"/>
        <v>0</v>
      </c>
      <c r="T121" s="83" t="e">
        <f>S121/H121+0.1</f>
        <v>#DIV/0!</v>
      </c>
    </row>
    <row r="122" spans="1:20" s="237" customFormat="1" ht="15.75" x14ac:dyDescent="0.25">
      <c r="A122" s="145">
        <v>84</v>
      </c>
      <c r="B122" s="449"/>
      <c r="C122" s="457"/>
      <c r="D122" s="458"/>
      <c r="E122" s="446"/>
      <c r="F122" s="459"/>
      <c r="G122" s="460"/>
      <c r="H122" s="439"/>
      <c r="I122" s="256">
        <f t="shared" ref="I122:I148" si="25">H122-F122</f>
        <v>0</v>
      </c>
      <c r="J122" s="461"/>
      <c r="K122" s="437"/>
      <c r="L122" s="462"/>
      <c r="M122" s="437"/>
      <c r="N122" s="462"/>
      <c r="O122" s="464"/>
      <c r="P122" s="435"/>
      <c r="Q122" s="436"/>
      <c r="R122" s="521"/>
      <c r="S122" s="83">
        <f t="shared" si="16"/>
        <v>0</v>
      </c>
      <c r="T122" s="83" t="e">
        <f t="shared" ref="T122:T129" si="26">S122/H122+0.1</f>
        <v>#DIV/0!</v>
      </c>
    </row>
    <row r="123" spans="1:20" s="237" customFormat="1" ht="15.75" x14ac:dyDescent="0.25">
      <c r="A123" s="145">
        <v>85</v>
      </c>
      <c r="B123" s="449"/>
      <c r="C123" s="477"/>
      <c r="D123" s="458"/>
      <c r="E123" s="446"/>
      <c r="F123" s="459"/>
      <c r="G123" s="460"/>
      <c r="H123" s="439"/>
      <c r="I123" s="256">
        <f t="shared" si="25"/>
        <v>0</v>
      </c>
      <c r="J123" s="461"/>
      <c r="K123" s="437"/>
      <c r="L123" s="462"/>
      <c r="M123" s="436"/>
      <c r="N123" s="463"/>
      <c r="O123" s="464"/>
      <c r="P123" s="435"/>
      <c r="Q123" s="436"/>
      <c r="R123" s="521"/>
      <c r="S123" s="83">
        <f t="shared" si="16"/>
        <v>0</v>
      </c>
      <c r="T123" s="83" t="e">
        <f t="shared" si="26"/>
        <v>#DIV/0!</v>
      </c>
    </row>
    <row r="124" spans="1:20" s="237" customFormat="1" ht="15.75" x14ac:dyDescent="0.25">
      <c r="A124" s="145">
        <v>86</v>
      </c>
      <c r="B124" s="449"/>
      <c r="C124" s="457"/>
      <c r="D124" s="458"/>
      <c r="E124" s="446"/>
      <c r="F124" s="459"/>
      <c r="G124" s="460"/>
      <c r="H124" s="439"/>
      <c r="I124" s="256">
        <f t="shared" si="25"/>
        <v>0</v>
      </c>
      <c r="J124" s="461"/>
      <c r="K124" s="437"/>
      <c r="L124" s="462"/>
      <c r="M124" s="436"/>
      <c r="N124" s="463"/>
      <c r="O124" s="464"/>
      <c r="P124" s="435"/>
      <c r="Q124" s="436"/>
      <c r="R124" s="521"/>
      <c r="S124" s="83">
        <f t="shared" si="16"/>
        <v>0</v>
      </c>
      <c r="T124" s="83" t="e">
        <f t="shared" si="26"/>
        <v>#DIV/0!</v>
      </c>
    </row>
    <row r="125" spans="1:20" s="237" customFormat="1" ht="15.75" x14ac:dyDescent="0.25">
      <c r="A125" s="145">
        <v>87</v>
      </c>
      <c r="B125" s="440"/>
      <c r="C125" s="457"/>
      <c r="D125" s="466"/>
      <c r="E125" s="446"/>
      <c r="F125" s="459"/>
      <c r="G125" s="467"/>
      <c r="H125" s="439"/>
      <c r="I125" s="256">
        <f t="shared" si="25"/>
        <v>0</v>
      </c>
      <c r="J125" s="461"/>
      <c r="K125" s="437"/>
      <c r="L125" s="462"/>
      <c r="M125" s="436"/>
      <c r="N125" s="463"/>
      <c r="O125" s="464"/>
      <c r="P125" s="435"/>
      <c r="Q125" s="436"/>
      <c r="R125" s="521"/>
      <c r="S125" s="83">
        <f t="shared" si="16"/>
        <v>0</v>
      </c>
      <c r="T125" s="83" t="e">
        <f t="shared" si="26"/>
        <v>#DIV/0!</v>
      </c>
    </row>
    <row r="126" spans="1:20" s="237" customFormat="1" ht="15.75" x14ac:dyDescent="0.25">
      <c r="A126" s="145">
        <v>88</v>
      </c>
      <c r="B126" s="449"/>
      <c r="C126" s="457"/>
      <c r="D126" s="466"/>
      <c r="E126" s="446"/>
      <c r="F126" s="459"/>
      <c r="G126" s="467"/>
      <c r="H126" s="439"/>
      <c r="I126" s="256">
        <f t="shared" si="25"/>
        <v>0</v>
      </c>
      <c r="J126" s="461"/>
      <c r="K126" s="436"/>
      <c r="L126" s="462"/>
      <c r="M126" s="436"/>
      <c r="N126" s="463"/>
      <c r="O126" s="464"/>
      <c r="P126" s="435"/>
      <c r="Q126" s="436"/>
      <c r="R126" s="521"/>
      <c r="S126" s="83">
        <f t="shared" ref="S126:S134" si="27">Q126+M126+K126</f>
        <v>0</v>
      </c>
      <c r="T126" s="83" t="e">
        <f t="shared" si="26"/>
        <v>#DIV/0!</v>
      </c>
    </row>
    <row r="127" spans="1:20" s="237" customFormat="1" ht="15.75" x14ac:dyDescent="0.25">
      <c r="A127" s="145">
        <v>89</v>
      </c>
      <c r="B127" s="102"/>
      <c r="C127" s="218"/>
      <c r="D127" s="281"/>
      <c r="E127" s="203"/>
      <c r="F127" s="228"/>
      <c r="G127" s="145"/>
      <c r="H127" s="52"/>
      <c r="I127" s="256">
        <f t="shared" si="25"/>
        <v>0</v>
      </c>
      <c r="J127" s="464"/>
      <c r="K127" s="436"/>
      <c r="L127" s="462"/>
      <c r="M127" s="436"/>
      <c r="N127" s="463"/>
      <c r="O127" s="595"/>
      <c r="P127" s="435"/>
      <c r="Q127" s="436"/>
      <c r="R127" s="596"/>
      <c r="S127" s="83">
        <f t="shared" si="27"/>
        <v>0</v>
      </c>
      <c r="T127" s="83" t="e">
        <f t="shared" si="26"/>
        <v>#DIV/0!</v>
      </c>
    </row>
    <row r="128" spans="1:20" s="237" customFormat="1" x14ac:dyDescent="0.25">
      <c r="A128" s="145">
        <v>90</v>
      </c>
      <c r="B128" s="397"/>
      <c r="C128" s="218"/>
      <c r="D128" s="281"/>
      <c r="E128" s="203"/>
      <c r="F128" s="228"/>
      <c r="G128" s="145"/>
      <c r="H128" s="52"/>
      <c r="I128" s="256">
        <f t="shared" si="25"/>
        <v>0</v>
      </c>
      <c r="J128" s="437"/>
      <c r="K128" s="438"/>
      <c r="L128" s="462"/>
      <c r="M128" s="436"/>
      <c r="N128" s="463"/>
      <c r="O128" s="595"/>
      <c r="P128" s="435"/>
      <c r="Q128" s="436"/>
      <c r="R128" s="596"/>
      <c r="S128" s="83">
        <f t="shared" si="27"/>
        <v>0</v>
      </c>
      <c r="T128" s="83" t="e">
        <f t="shared" si="26"/>
        <v>#DIV/0!</v>
      </c>
    </row>
    <row r="129" spans="1:20" s="237" customFormat="1" x14ac:dyDescent="0.25">
      <c r="A129" s="145"/>
      <c r="B129" s="280"/>
      <c r="C129" s="218"/>
      <c r="D129" s="147"/>
      <c r="E129" s="203"/>
      <c r="F129" s="228"/>
      <c r="G129" s="145"/>
      <c r="H129" s="52"/>
      <c r="I129" s="256">
        <f t="shared" si="25"/>
        <v>0</v>
      </c>
      <c r="J129" s="595"/>
      <c r="K129" s="437"/>
      <c r="L129" s="462"/>
      <c r="M129" s="436"/>
      <c r="N129" s="656"/>
      <c r="O129" s="595"/>
      <c r="P129" s="435"/>
      <c r="Q129" s="436"/>
      <c r="R129" s="596"/>
      <c r="S129" s="83">
        <f t="shared" si="27"/>
        <v>0</v>
      </c>
      <c r="T129" s="83" t="e">
        <f t="shared" si="26"/>
        <v>#DIV/0!</v>
      </c>
    </row>
    <row r="130" spans="1:20" s="237" customFormat="1" x14ac:dyDescent="0.25">
      <c r="A130" s="145"/>
      <c r="B130" s="280"/>
      <c r="C130" s="218"/>
      <c r="D130" s="147"/>
      <c r="E130" s="203"/>
      <c r="F130" s="228"/>
      <c r="G130" s="145"/>
      <c r="H130" s="52"/>
      <c r="I130" s="256">
        <f t="shared" si="25"/>
        <v>0</v>
      </c>
      <c r="J130" s="595"/>
      <c r="K130" s="437"/>
      <c r="L130" s="462"/>
      <c r="M130" s="436"/>
      <c r="N130" s="656"/>
      <c r="O130" s="595"/>
      <c r="P130" s="435"/>
      <c r="Q130" s="436"/>
      <c r="R130" s="596"/>
      <c r="S130" s="83">
        <f t="shared" si="27"/>
        <v>0</v>
      </c>
      <c r="T130" s="83" t="e">
        <f t="shared" ref="T130:T134" si="28">S130/H130</f>
        <v>#DIV/0!</v>
      </c>
    </row>
    <row r="131" spans="1:20" s="237" customFormat="1" ht="15.75" x14ac:dyDescent="0.25">
      <c r="A131" s="145"/>
      <c r="B131" s="406"/>
      <c r="C131" s="218"/>
      <c r="D131" s="147"/>
      <c r="E131" s="203"/>
      <c r="F131" s="228"/>
      <c r="G131" s="145"/>
      <c r="H131" s="52"/>
      <c r="I131" s="256">
        <f t="shared" si="25"/>
        <v>0</v>
      </c>
      <c r="J131" s="595"/>
      <c r="K131" s="437"/>
      <c r="L131" s="462"/>
      <c r="M131" s="436"/>
      <c r="N131" s="656"/>
      <c r="O131" s="595"/>
      <c r="P131" s="435"/>
      <c r="Q131" s="436"/>
      <c r="R131" s="596"/>
      <c r="S131" s="83">
        <f t="shared" si="27"/>
        <v>0</v>
      </c>
      <c r="T131" s="83" t="e">
        <f t="shared" si="28"/>
        <v>#DIV/0!</v>
      </c>
    </row>
    <row r="132" spans="1:20" s="237" customFormat="1" x14ac:dyDescent="0.25">
      <c r="A132" s="145"/>
      <c r="B132" s="280"/>
      <c r="C132" s="218"/>
      <c r="D132" s="147"/>
      <c r="E132" s="203"/>
      <c r="F132" s="228"/>
      <c r="G132" s="145"/>
      <c r="H132" s="52"/>
      <c r="I132" s="256">
        <f t="shared" si="25"/>
        <v>0</v>
      </c>
      <c r="J132" s="595"/>
      <c r="K132" s="437"/>
      <c r="L132" s="462"/>
      <c r="M132" s="436"/>
      <c r="N132" s="656"/>
      <c r="O132" s="595"/>
      <c r="P132" s="435"/>
      <c r="Q132" s="436"/>
      <c r="R132" s="596"/>
      <c r="S132" s="83">
        <f t="shared" si="27"/>
        <v>0</v>
      </c>
      <c r="T132" s="83" t="e">
        <f t="shared" si="28"/>
        <v>#DIV/0!</v>
      </c>
    </row>
    <row r="133" spans="1:20" s="237" customFormat="1" ht="15.75" x14ac:dyDescent="0.25">
      <c r="A133" s="145"/>
      <c r="B133" s="280"/>
      <c r="C133" s="218"/>
      <c r="D133" s="147"/>
      <c r="E133" s="203"/>
      <c r="F133" s="228"/>
      <c r="G133" s="145"/>
      <c r="H133" s="52"/>
      <c r="I133" s="256">
        <f t="shared" si="25"/>
        <v>0</v>
      </c>
      <c r="J133" s="657"/>
      <c r="K133" s="437"/>
      <c r="L133" s="462"/>
      <c r="M133" s="436"/>
      <c r="N133" s="658"/>
      <c r="O133" s="595"/>
      <c r="P133" s="435"/>
      <c r="Q133" s="436"/>
      <c r="R133" s="596"/>
      <c r="S133" s="83">
        <f t="shared" si="27"/>
        <v>0</v>
      </c>
      <c r="T133" s="83" t="e">
        <f t="shared" si="28"/>
        <v>#DIV/0!</v>
      </c>
    </row>
    <row r="134" spans="1:20" s="237" customFormat="1" x14ac:dyDescent="0.25">
      <c r="A134" s="145"/>
      <c r="B134" s="397"/>
      <c r="C134" s="218"/>
      <c r="D134" s="218"/>
      <c r="E134" s="203"/>
      <c r="F134" s="228"/>
      <c r="G134" s="145"/>
      <c r="H134" s="52"/>
      <c r="I134" s="256">
        <f t="shared" si="25"/>
        <v>0</v>
      </c>
      <c r="J134" s="461"/>
      <c r="K134" s="437"/>
      <c r="L134" s="462"/>
      <c r="M134" s="436"/>
      <c r="N134" s="656"/>
      <c r="O134" s="595"/>
      <c r="P134" s="435"/>
      <c r="Q134" s="436"/>
      <c r="R134" s="596"/>
      <c r="S134" s="83">
        <f t="shared" si="27"/>
        <v>0</v>
      </c>
      <c r="T134" s="83" t="e">
        <f t="shared" si="28"/>
        <v>#DIV/0!</v>
      </c>
    </row>
    <row r="135" spans="1:20" s="237" customFormat="1" x14ac:dyDescent="0.25">
      <c r="A135" s="145"/>
      <c r="B135" s="102"/>
      <c r="C135" s="97"/>
      <c r="D135" s="247"/>
      <c r="E135" s="234"/>
      <c r="F135" s="194"/>
      <c r="G135" s="145"/>
      <c r="H135" s="52"/>
      <c r="I135" s="256">
        <f t="shared" si="25"/>
        <v>0</v>
      </c>
      <c r="J135" s="461"/>
      <c r="K135" s="437"/>
      <c r="L135" s="462"/>
      <c r="M135" s="436"/>
      <c r="N135" s="656"/>
      <c r="O135" s="595"/>
      <c r="P135" s="435"/>
      <c r="Q135" s="436"/>
      <c r="R135" s="596"/>
      <c r="S135" s="83">
        <f t="shared" ref="S135" si="29">Q135+M135+K135</f>
        <v>0</v>
      </c>
      <c r="T135" s="83" t="e">
        <f t="shared" ref="T135" si="30">S135/H135</f>
        <v>#DIV/0!</v>
      </c>
    </row>
    <row r="136" spans="1:20" s="237" customFormat="1" ht="15.75" thickBot="1" x14ac:dyDescent="0.3">
      <c r="A136" s="145"/>
      <c r="B136" s="102"/>
      <c r="C136" s="218"/>
      <c r="D136" s="218"/>
      <c r="E136" s="119"/>
      <c r="F136" s="228"/>
      <c r="G136" s="145"/>
      <c r="H136" s="52"/>
      <c r="I136" s="256">
        <f t="shared" si="25"/>
        <v>0</v>
      </c>
      <c r="J136" s="461"/>
      <c r="K136" s="574"/>
      <c r="L136" s="575"/>
      <c r="M136" s="486"/>
      <c r="N136" s="659"/>
      <c r="O136" s="441"/>
      <c r="P136" s="566"/>
      <c r="Q136" s="598"/>
      <c r="R136" s="660"/>
      <c r="S136" s="83">
        <f t="shared" ref="S136:S141" si="31">Q136+M136+K136</f>
        <v>0</v>
      </c>
      <c r="T136" s="83" t="e">
        <f t="shared" ref="T136:T144" si="32">S136/H136+0.1</f>
        <v>#DIV/0!</v>
      </c>
    </row>
    <row r="137" spans="1:20" s="237" customFormat="1" ht="15.75" hidden="1" thickBot="1" x14ac:dyDescent="0.3">
      <c r="A137" s="145">
        <v>72</v>
      </c>
      <c r="B137" s="102"/>
      <c r="D137" s="218"/>
      <c r="E137" s="119"/>
      <c r="F137" s="228"/>
      <c r="G137" s="145"/>
      <c r="H137" s="52"/>
      <c r="I137" s="256">
        <f t="shared" si="25"/>
        <v>0</v>
      </c>
      <c r="J137" s="330"/>
      <c r="K137" s="157"/>
      <c r="L137" s="274"/>
      <c r="M137" s="91"/>
      <c r="N137" s="275"/>
      <c r="O137" s="97"/>
      <c r="P137" s="168"/>
      <c r="Q137" s="284"/>
      <c r="R137" s="282"/>
      <c r="S137" s="83">
        <f t="shared" si="31"/>
        <v>0</v>
      </c>
      <c r="T137" s="83" t="e">
        <f t="shared" si="32"/>
        <v>#DIV/0!</v>
      </c>
    </row>
    <row r="138" spans="1:20" s="237" customFormat="1" ht="15.75" hidden="1" thickBot="1" x14ac:dyDescent="0.3">
      <c r="A138" s="145">
        <v>73</v>
      </c>
      <c r="B138" s="102"/>
      <c r="D138" s="218"/>
      <c r="E138" s="119"/>
      <c r="F138" s="228"/>
      <c r="G138" s="145"/>
      <c r="H138" s="52"/>
      <c r="I138" s="256">
        <f t="shared" si="25"/>
        <v>0</v>
      </c>
      <c r="J138" s="330"/>
      <c r="K138" s="157"/>
      <c r="L138" s="274"/>
      <c r="M138" s="91"/>
      <c r="N138" s="275"/>
      <c r="O138" s="97"/>
      <c r="P138" s="168"/>
      <c r="Q138" s="284"/>
      <c r="R138" s="282"/>
      <c r="S138" s="83">
        <f t="shared" si="31"/>
        <v>0</v>
      </c>
      <c r="T138" s="83" t="e">
        <f t="shared" si="32"/>
        <v>#DIV/0!</v>
      </c>
    </row>
    <row r="139" spans="1:20" s="237" customFormat="1" ht="15.75" hidden="1" thickBot="1" x14ac:dyDescent="0.3">
      <c r="A139" s="145">
        <v>74</v>
      </c>
      <c r="B139" s="102"/>
      <c r="D139" s="218"/>
      <c r="E139" s="119"/>
      <c r="F139" s="228"/>
      <c r="G139" s="145"/>
      <c r="H139" s="52"/>
      <c r="I139" s="256">
        <f t="shared" si="25"/>
        <v>0</v>
      </c>
      <c r="J139" s="330"/>
      <c r="K139" s="157"/>
      <c r="L139" s="274"/>
      <c r="M139" s="91"/>
      <c r="N139" s="275"/>
      <c r="O139" s="97"/>
      <c r="P139" s="168"/>
      <c r="Q139" s="284"/>
      <c r="R139" s="283"/>
      <c r="S139" s="83">
        <f t="shared" si="31"/>
        <v>0</v>
      </c>
      <c r="T139" s="83" t="e">
        <f t="shared" si="32"/>
        <v>#DIV/0!</v>
      </c>
    </row>
    <row r="140" spans="1:20" s="237" customFormat="1" ht="15.75" hidden="1" thickBot="1" x14ac:dyDescent="0.3">
      <c r="A140" s="145">
        <v>75</v>
      </c>
      <c r="B140" s="102"/>
      <c r="D140" s="218"/>
      <c r="E140" s="119"/>
      <c r="F140" s="228"/>
      <c r="G140" s="145"/>
      <c r="H140" s="52"/>
      <c r="I140" s="256">
        <f t="shared" si="25"/>
        <v>0</v>
      </c>
      <c r="J140" s="330"/>
      <c r="K140" s="157"/>
      <c r="L140" s="274"/>
      <c r="M140" s="91"/>
      <c r="N140" s="275"/>
      <c r="O140" s="97"/>
      <c r="P140" s="168"/>
      <c r="Q140" s="284"/>
      <c r="R140" s="283"/>
      <c r="S140" s="83">
        <f t="shared" si="31"/>
        <v>0</v>
      </c>
      <c r="T140" s="83" t="e">
        <f t="shared" si="32"/>
        <v>#DIV/0!</v>
      </c>
    </row>
    <row r="141" spans="1:20" s="237" customFormat="1" ht="15.75" hidden="1" thickBot="1" x14ac:dyDescent="0.3">
      <c r="A141" s="145">
        <v>76</v>
      </c>
      <c r="B141" s="102"/>
      <c r="C141" s="218"/>
      <c r="E141" s="119"/>
      <c r="F141" s="228"/>
      <c r="G141" s="145"/>
      <c r="H141" s="52"/>
      <c r="I141" s="256">
        <f t="shared" si="25"/>
        <v>0</v>
      </c>
      <c r="J141" s="330"/>
      <c r="K141" s="157"/>
      <c r="L141" s="274"/>
      <c r="M141" s="91"/>
      <c r="N141" s="275"/>
      <c r="O141" s="97"/>
      <c r="P141" s="168"/>
      <c r="Q141" s="91"/>
      <c r="R141" s="276"/>
      <c r="S141" s="83">
        <f t="shared" si="31"/>
        <v>0</v>
      </c>
      <c r="T141" s="83" t="e">
        <f t="shared" si="32"/>
        <v>#DIV/0!</v>
      </c>
    </row>
    <row r="142" spans="1:20" s="237" customFormat="1" ht="15.75" hidden="1" thickBot="1" x14ac:dyDescent="0.3">
      <c r="A142" s="145">
        <v>77</v>
      </c>
      <c r="B142" s="102"/>
      <c r="C142" s="218"/>
      <c r="D142" s="147"/>
      <c r="E142" s="119"/>
      <c r="F142" s="228"/>
      <c r="G142" s="145"/>
      <c r="H142" s="52"/>
      <c r="I142" s="256">
        <f t="shared" si="25"/>
        <v>0</v>
      </c>
      <c r="J142" s="330"/>
      <c r="K142" s="157"/>
      <c r="L142" s="257"/>
      <c r="M142" s="91"/>
      <c r="N142" s="275"/>
      <c r="O142" s="97"/>
      <c r="P142" s="168"/>
      <c r="Q142" s="91"/>
      <c r="R142" s="276"/>
      <c r="S142" s="83">
        <f t="shared" ref="S142:S147" si="33">Q142+M142+K142</f>
        <v>0</v>
      </c>
      <c r="T142" s="83" t="e">
        <f t="shared" si="32"/>
        <v>#DIV/0!</v>
      </c>
    </row>
    <row r="143" spans="1:20" s="237" customFormat="1" ht="15.75" hidden="1" thickBot="1" x14ac:dyDescent="0.3">
      <c r="A143" s="145">
        <v>77</v>
      </c>
      <c r="B143" s="102"/>
      <c r="C143" s="233"/>
      <c r="D143" s="147"/>
      <c r="E143" s="119"/>
      <c r="F143" s="228"/>
      <c r="G143" s="145"/>
      <c r="H143" s="52"/>
      <c r="I143" s="256">
        <f t="shared" si="25"/>
        <v>0</v>
      </c>
      <c r="J143" s="330"/>
      <c r="K143" s="157"/>
      <c r="L143" s="257"/>
      <c r="M143" s="91"/>
      <c r="N143" s="275"/>
      <c r="O143" s="97"/>
      <c r="P143" s="168"/>
      <c r="Q143" s="91"/>
      <c r="R143" s="276"/>
      <c r="S143" s="83">
        <f t="shared" si="33"/>
        <v>0</v>
      </c>
      <c r="T143" s="83" t="e">
        <f t="shared" si="32"/>
        <v>#DIV/0!</v>
      </c>
    </row>
    <row r="144" spans="1:20" s="237" customFormat="1" ht="15.75" hidden="1" thickBot="1" x14ac:dyDescent="0.3">
      <c r="A144" s="145">
        <v>78</v>
      </c>
      <c r="B144" s="102"/>
      <c r="C144" s="233"/>
      <c r="D144" s="147"/>
      <c r="E144" s="119"/>
      <c r="F144" s="228"/>
      <c r="G144" s="145"/>
      <c r="H144" s="52"/>
      <c r="I144" s="256">
        <f t="shared" si="25"/>
        <v>0</v>
      </c>
      <c r="J144" s="330"/>
      <c r="K144" s="157"/>
      <c r="L144" s="257"/>
      <c r="M144" s="91"/>
      <c r="N144" s="275"/>
      <c r="O144" s="97"/>
      <c r="P144" s="168"/>
      <c r="Q144" s="91"/>
      <c r="R144" s="276"/>
      <c r="S144" s="83">
        <f t="shared" si="33"/>
        <v>0</v>
      </c>
      <c r="T144" s="83" t="e">
        <f t="shared" si="32"/>
        <v>#DIV/0!</v>
      </c>
    </row>
    <row r="145" spans="1:20" s="237" customFormat="1" ht="15.75" hidden="1" thickBot="1" x14ac:dyDescent="0.3">
      <c r="A145" s="145"/>
      <c r="B145" s="102"/>
      <c r="C145" s="233"/>
      <c r="D145" s="147"/>
      <c r="E145" s="119"/>
      <c r="F145" s="228"/>
      <c r="G145" s="145"/>
      <c r="H145" s="52"/>
      <c r="I145" s="256">
        <f t="shared" si="25"/>
        <v>0</v>
      </c>
      <c r="J145" s="330"/>
      <c r="K145" s="157"/>
      <c r="L145" s="257"/>
      <c r="M145" s="91"/>
      <c r="N145" s="258"/>
      <c r="O145" s="97"/>
      <c r="P145" s="168"/>
      <c r="Q145" s="91"/>
      <c r="R145" s="276"/>
      <c r="S145" s="83">
        <f t="shared" si="33"/>
        <v>0</v>
      </c>
      <c r="T145" s="83" t="e">
        <f>S145/H145</f>
        <v>#DIV/0!</v>
      </c>
    </row>
    <row r="146" spans="1:20" s="237" customFormat="1" ht="15.75" hidden="1" thickBot="1" x14ac:dyDescent="0.3">
      <c r="A146" s="145"/>
      <c r="B146" s="102"/>
      <c r="C146" s="233"/>
      <c r="D146" s="242"/>
      <c r="E146" s="119"/>
      <c r="F146" s="228"/>
      <c r="G146" s="145"/>
      <c r="H146" s="52"/>
      <c r="I146" s="256">
        <f t="shared" si="25"/>
        <v>0</v>
      </c>
      <c r="J146" s="330"/>
      <c r="K146" s="157"/>
      <c r="L146" s="257"/>
      <c r="M146" s="91"/>
      <c r="N146" s="258"/>
      <c r="O146" s="97"/>
      <c r="P146" s="168"/>
      <c r="Q146" s="78"/>
      <c r="R146" s="277"/>
      <c r="S146" s="83">
        <f t="shared" si="33"/>
        <v>0</v>
      </c>
      <c r="T146" s="83" t="e">
        <f>S146/H146</f>
        <v>#DIV/0!</v>
      </c>
    </row>
    <row r="147" spans="1:20" s="237" customFormat="1" ht="15.75" hidden="1" thickBot="1" x14ac:dyDescent="0.3">
      <c r="A147" s="145"/>
      <c r="B147" s="102"/>
      <c r="C147" s="233"/>
      <c r="D147" s="242"/>
      <c r="E147" s="119"/>
      <c r="F147" s="228"/>
      <c r="G147" s="145"/>
      <c r="H147" s="52"/>
      <c r="I147" s="256">
        <f t="shared" si="25"/>
        <v>0</v>
      </c>
      <c r="J147" s="330"/>
      <c r="K147" s="157"/>
      <c r="L147" s="257"/>
      <c r="M147" s="91"/>
      <c r="N147" s="258"/>
      <c r="O147" s="97"/>
      <c r="P147" s="168"/>
      <c r="Q147" s="78"/>
      <c r="R147" s="263"/>
      <c r="S147" s="83">
        <f t="shared" si="33"/>
        <v>0</v>
      </c>
      <c r="T147" s="83" t="e">
        <f>S147/H147</f>
        <v>#DIV/0!</v>
      </c>
    </row>
    <row r="148" spans="1:20" s="237" customFormat="1" ht="15.75" hidden="1" thickBot="1" x14ac:dyDescent="0.3">
      <c r="A148" s="145"/>
      <c r="C148" s="101"/>
      <c r="D148" s="242"/>
      <c r="E148" s="160"/>
      <c r="F148" s="228"/>
      <c r="G148" s="145"/>
      <c r="H148" s="52"/>
      <c r="I148" s="256">
        <f t="shared" si="25"/>
        <v>0</v>
      </c>
      <c r="J148" s="191"/>
      <c r="K148" s="264"/>
      <c r="L148" s="265"/>
      <c r="M148" s="91"/>
      <c r="N148" s="195"/>
      <c r="O148" s="97"/>
      <c r="P148" s="137"/>
      <c r="Q148" s="102"/>
      <c r="R148" s="231"/>
      <c r="S148" s="83">
        <f>Q148+M148+K148</f>
        <v>0</v>
      </c>
      <c r="T148" s="83" t="e">
        <f>S148/H148+0.1</f>
        <v>#DIV/0!</v>
      </c>
    </row>
    <row r="149" spans="1:20" s="237" customFormat="1" ht="29.25" customHeight="1" thickTop="1" thickBot="1" x14ac:dyDescent="0.3">
      <c r="A149" s="145"/>
      <c r="C149" s="101"/>
      <c r="D149" s="266"/>
      <c r="E149" s="119"/>
      <c r="F149" s="93" t="s">
        <v>31</v>
      </c>
      <c r="G149" s="94">
        <f>SUM(G5:G148)</f>
        <v>2549</v>
      </c>
      <c r="H149" s="311">
        <f>SUM(H3:H148)</f>
        <v>537276.81000000006</v>
      </c>
      <c r="I149" s="267">
        <f>PIERNA!I37</f>
        <v>0</v>
      </c>
      <c r="J149" s="50"/>
      <c r="K149" s="269">
        <f>SUM(K5:K148)</f>
        <v>275804</v>
      </c>
      <c r="L149" s="270"/>
      <c r="M149" s="269">
        <f>SUM(M5:M148)</f>
        <v>666536</v>
      </c>
      <c r="N149" s="271"/>
      <c r="O149" s="268"/>
      <c r="P149" s="169"/>
      <c r="Q149" s="272">
        <f>SUM(Q5:Q148)</f>
        <v>18088591.707049999</v>
      </c>
      <c r="R149" s="232"/>
      <c r="S149" s="288">
        <f>Q149+M149+K149</f>
        <v>19030931.707049999</v>
      </c>
      <c r="T149" s="83"/>
    </row>
    <row r="150" spans="1:20" s="237" customFormat="1" ht="15.75" thickTop="1" x14ac:dyDescent="0.25">
      <c r="D150" s="145"/>
      <c r="E150" s="102"/>
      <c r="J150" s="191"/>
      <c r="O150" s="145"/>
      <c r="P150" s="137"/>
      <c r="Q150" s="102"/>
      <c r="R150" s="233" t="s">
        <v>66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F1" workbookViewId="0">
      <pane ySplit="7" topLeftCell="A14" activePane="bottomLeft" state="frozen"/>
      <selection pane="bottomLeft" activeCell="U14" sqref="U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97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768" t="s">
        <v>164</v>
      </c>
      <c r="B1" s="768"/>
      <c r="C1" s="768"/>
      <c r="D1" s="768"/>
      <c r="E1" s="768"/>
      <c r="F1" s="768"/>
      <c r="G1" s="768"/>
      <c r="H1" s="12">
        <v>1</v>
      </c>
      <c r="K1" s="760" t="s">
        <v>144</v>
      </c>
      <c r="L1" s="760"/>
      <c r="M1" s="760"/>
      <c r="N1" s="760"/>
      <c r="O1" s="760"/>
      <c r="P1" s="760"/>
      <c r="Q1" s="760"/>
      <c r="R1" s="12">
        <v>2</v>
      </c>
    </row>
    <row r="2" spans="1:19" ht="15.75" thickBot="1" x14ac:dyDescent="0.3"/>
    <row r="3" spans="1:1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94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6.5" thickTop="1" x14ac:dyDescent="0.25">
      <c r="C4" s="84"/>
      <c r="D4" s="203"/>
      <c r="E4" s="338"/>
      <c r="F4" s="207"/>
      <c r="G4" s="41"/>
      <c r="M4" s="84"/>
      <c r="N4" s="203"/>
      <c r="O4" s="338"/>
      <c r="P4" s="207"/>
      <c r="Q4" s="41"/>
    </row>
    <row r="5" spans="1:19" ht="18.75" x14ac:dyDescent="0.3">
      <c r="A5" s="102" t="s">
        <v>87</v>
      </c>
      <c r="B5" s="372" t="s">
        <v>81</v>
      </c>
      <c r="C5" s="167">
        <v>165</v>
      </c>
      <c r="D5" s="203">
        <v>43727</v>
      </c>
      <c r="E5" s="338">
        <v>45.4</v>
      </c>
      <c r="F5" s="207">
        <v>10</v>
      </c>
      <c r="G5" s="130">
        <f>F29</f>
        <v>31.78</v>
      </c>
      <c r="H5" s="8">
        <f>E5-G5+E4+E6</f>
        <v>13.619999999999997</v>
      </c>
      <c r="K5" s="102" t="s">
        <v>87</v>
      </c>
      <c r="L5" s="372" t="s">
        <v>81</v>
      </c>
      <c r="M5" s="167">
        <v>165</v>
      </c>
      <c r="N5" s="203">
        <v>43752</v>
      </c>
      <c r="O5" s="338">
        <v>45.4</v>
      </c>
      <c r="P5" s="207">
        <v>10</v>
      </c>
      <c r="Q5" s="130">
        <f>P29</f>
        <v>0</v>
      </c>
      <c r="R5" s="8">
        <f>O5-Q5+O4+O6</f>
        <v>45.4</v>
      </c>
    </row>
    <row r="6" spans="1:19" ht="16.5" thickBot="1" x14ac:dyDescent="0.3">
      <c r="B6" s="331"/>
      <c r="C6" s="193"/>
      <c r="D6" s="14"/>
      <c r="E6" s="339"/>
      <c r="F6" s="207"/>
      <c r="L6" s="331"/>
      <c r="M6" s="193"/>
      <c r="N6" s="14"/>
      <c r="O6" s="339"/>
      <c r="P6" s="207"/>
    </row>
    <row r="7" spans="1:19" ht="16.5" thickTop="1" thickBot="1" x14ac:dyDescent="0.3">
      <c r="B7" s="341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341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thickTop="1" x14ac:dyDescent="0.25">
      <c r="A8" s="71" t="s">
        <v>32</v>
      </c>
      <c r="B8" s="342">
        <v>4.54</v>
      </c>
      <c r="C8" s="16">
        <v>1</v>
      </c>
      <c r="D8" s="89">
        <f t="shared" ref="D8:D10" si="0">C8*B8</f>
        <v>4.54</v>
      </c>
      <c r="E8" s="119">
        <v>43731</v>
      </c>
      <c r="F8" s="154">
        <f t="shared" ref="F8:F28" si="1">D8</f>
        <v>4.54</v>
      </c>
      <c r="G8" s="90" t="s">
        <v>132</v>
      </c>
      <c r="H8" s="91">
        <v>210</v>
      </c>
      <c r="I8" s="51">
        <f>E5+E6-F8</f>
        <v>40.86</v>
      </c>
      <c r="K8" s="71" t="s">
        <v>32</v>
      </c>
      <c r="L8" s="342">
        <v>4.54</v>
      </c>
      <c r="M8" s="16"/>
      <c r="N8" s="89">
        <f t="shared" ref="N8:N10" si="2">M8*L8</f>
        <v>0</v>
      </c>
      <c r="O8" s="119"/>
      <c r="P8" s="154">
        <f t="shared" ref="P8:P28" si="3">N8</f>
        <v>0</v>
      </c>
      <c r="Q8" s="90"/>
      <c r="R8" s="91"/>
      <c r="S8" s="51">
        <f>O5+O6-P8</f>
        <v>45.4</v>
      </c>
    </row>
    <row r="9" spans="1:19" x14ac:dyDescent="0.25">
      <c r="B9" s="342">
        <v>4.54</v>
      </c>
      <c r="C9" s="16">
        <v>1</v>
      </c>
      <c r="D9" s="89">
        <f t="shared" si="0"/>
        <v>4.54</v>
      </c>
      <c r="E9" s="119">
        <v>43732</v>
      </c>
      <c r="F9" s="154">
        <f t="shared" si="1"/>
        <v>4.54</v>
      </c>
      <c r="G9" s="90" t="s">
        <v>129</v>
      </c>
      <c r="H9" s="91">
        <v>210</v>
      </c>
      <c r="I9" s="51">
        <f>I8-F9</f>
        <v>36.32</v>
      </c>
      <c r="L9" s="342">
        <v>4.54</v>
      </c>
      <c r="M9" s="16"/>
      <c r="N9" s="89">
        <f t="shared" si="2"/>
        <v>0</v>
      </c>
      <c r="O9" s="119"/>
      <c r="P9" s="154">
        <f t="shared" si="3"/>
        <v>0</v>
      </c>
      <c r="Q9" s="90"/>
      <c r="R9" s="91"/>
      <c r="S9" s="51">
        <f>S8-P9</f>
        <v>45.4</v>
      </c>
    </row>
    <row r="10" spans="1:19" x14ac:dyDescent="0.25">
      <c r="B10" s="342">
        <v>4.54</v>
      </c>
      <c r="C10" s="16">
        <v>1</v>
      </c>
      <c r="D10" s="89">
        <f t="shared" si="0"/>
        <v>4.54</v>
      </c>
      <c r="E10" s="119">
        <v>43742</v>
      </c>
      <c r="F10" s="154">
        <f t="shared" si="1"/>
        <v>4.54</v>
      </c>
      <c r="G10" s="90" t="s">
        <v>151</v>
      </c>
      <c r="H10" s="91">
        <v>210</v>
      </c>
      <c r="I10" s="51">
        <f t="shared" ref="I10:I27" si="4">I9-F10</f>
        <v>31.78</v>
      </c>
      <c r="L10" s="342">
        <v>4.54</v>
      </c>
      <c r="M10" s="16"/>
      <c r="N10" s="89">
        <f t="shared" si="2"/>
        <v>0</v>
      </c>
      <c r="O10" s="119"/>
      <c r="P10" s="154">
        <f t="shared" si="3"/>
        <v>0</v>
      </c>
      <c r="Q10" s="90"/>
      <c r="R10" s="91"/>
      <c r="S10" s="51">
        <f t="shared" ref="S10:S27" si="5">S9-P10</f>
        <v>45.4</v>
      </c>
    </row>
    <row r="11" spans="1:19" x14ac:dyDescent="0.25">
      <c r="A11" s="71" t="s">
        <v>33</v>
      </c>
      <c r="B11" s="342">
        <v>4.54</v>
      </c>
      <c r="C11" s="16">
        <v>1</v>
      </c>
      <c r="D11" s="404">
        <f>C11*B11</f>
        <v>4.54</v>
      </c>
      <c r="E11" s="407">
        <v>43748</v>
      </c>
      <c r="F11" s="532">
        <f t="shared" si="1"/>
        <v>4.54</v>
      </c>
      <c r="G11" s="279" t="s">
        <v>222</v>
      </c>
      <c r="H11" s="170">
        <v>210</v>
      </c>
      <c r="I11" s="51">
        <f t="shared" si="4"/>
        <v>27.240000000000002</v>
      </c>
      <c r="K11" s="71" t="s">
        <v>33</v>
      </c>
      <c r="L11" s="342">
        <v>4.54</v>
      </c>
      <c r="M11" s="16"/>
      <c r="N11" s="89">
        <f>M11*L11</f>
        <v>0</v>
      </c>
      <c r="O11" s="119"/>
      <c r="P11" s="154">
        <f t="shared" si="3"/>
        <v>0</v>
      </c>
      <c r="Q11" s="90"/>
      <c r="R11" s="91"/>
      <c r="S11" s="51">
        <f t="shared" si="5"/>
        <v>45.4</v>
      </c>
    </row>
    <row r="12" spans="1:19" x14ac:dyDescent="0.25">
      <c r="B12" s="342">
        <v>4.54</v>
      </c>
      <c r="C12" s="16">
        <v>2</v>
      </c>
      <c r="D12" s="404">
        <f>C12*B12</f>
        <v>9.08</v>
      </c>
      <c r="E12" s="407">
        <v>43759</v>
      </c>
      <c r="F12" s="532">
        <f t="shared" si="1"/>
        <v>9.08</v>
      </c>
      <c r="G12" s="279" t="s">
        <v>318</v>
      </c>
      <c r="H12" s="170">
        <v>210</v>
      </c>
      <c r="I12" s="51">
        <f t="shared" si="4"/>
        <v>18.160000000000004</v>
      </c>
      <c r="L12" s="342">
        <v>4.54</v>
      </c>
      <c r="M12" s="16"/>
      <c r="N12" s="89">
        <f>M12*L12</f>
        <v>0</v>
      </c>
      <c r="O12" s="119"/>
      <c r="P12" s="154">
        <f t="shared" si="3"/>
        <v>0</v>
      </c>
      <c r="Q12" s="90"/>
      <c r="R12" s="91"/>
      <c r="S12" s="51">
        <f t="shared" si="5"/>
        <v>45.4</v>
      </c>
    </row>
    <row r="13" spans="1:19" x14ac:dyDescent="0.25">
      <c r="A13" s="20"/>
      <c r="B13" s="342">
        <v>4.54</v>
      </c>
      <c r="C13" s="16">
        <v>1</v>
      </c>
      <c r="D13" s="404">
        <f t="shared" ref="D13:D27" si="6">C13*B13</f>
        <v>4.54</v>
      </c>
      <c r="E13" s="407">
        <v>43771</v>
      </c>
      <c r="F13" s="532">
        <f t="shared" si="1"/>
        <v>4.54</v>
      </c>
      <c r="G13" s="279" t="s">
        <v>417</v>
      </c>
      <c r="H13" s="170">
        <v>210</v>
      </c>
      <c r="I13" s="51">
        <f t="shared" si="4"/>
        <v>13.620000000000005</v>
      </c>
      <c r="K13" s="20"/>
      <c r="L13" s="342">
        <v>4.54</v>
      </c>
      <c r="M13" s="16"/>
      <c r="N13" s="89">
        <f t="shared" ref="N13:N27" si="7">M13*L13</f>
        <v>0</v>
      </c>
      <c r="O13" s="119"/>
      <c r="P13" s="154">
        <f t="shared" si="3"/>
        <v>0</v>
      </c>
      <c r="Q13" s="90"/>
      <c r="R13" s="91"/>
      <c r="S13" s="51">
        <f t="shared" si="5"/>
        <v>45.4</v>
      </c>
    </row>
    <row r="14" spans="1:19" x14ac:dyDescent="0.25">
      <c r="A14" s="20"/>
      <c r="B14" s="342">
        <v>4.54</v>
      </c>
      <c r="C14" s="16"/>
      <c r="D14" s="404">
        <f t="shared" si="6"/>
        <v>0</v>
      </c>
      <c r="E14" s="407"/>
      <c r="F14" s="532">
        <f t="shared" si="1"/>
        <v>0</v>
      </c>
      <c r="G14" s="279"/>
      <c r="H14" s="170"/>
      <c r="I14" s="51">
        <f t="shared" si="4"/>
        <v>13.620000000000005</v>
      </c>
      <c r="K14" s="20"/>
      <c r="L14" s="342">
        <v>4.54</v>
      </c>
      <c r="M14" s="16"/>
      <c r="N14" s="89">
        <f t="shared" si="7"/>
        <v>0</v>
      </c>
      <c r="O14" s="119"/>
      <c r="P14" s="154">
        <f t="shared" si="3"/>
        <v>0</v>
      </c>
      <c r="Q14" s="90"/>
      <c r="R14" s="91"/>
      <c r="S14" s="51">
        <f t="shared" si="5"/>
        <v>45.4</v>
      </c>
    </row>
    <row r="15" spans="1:19" x14ac:dyDescent="0.25">
      <c r="A15" s="20"/>
      <c r="B15" s="342">
        <v>4.54</v>
      </c>
      <c r="C15" s="16"/>
      <c r="D15" s="404">
        <f t="shared" si="6"/>
        <v>0</v>
      </c>
      <c r="E15" s="407"/>
      <c r="F15" s="532">
        <f t="shared" si="1"/>
        <v>0</v>
      </c>
      <c r="G15" s="279"/>
      <c r="H15" s="170"/>
      <c r="I15" s="51">
        <f t="shared" si="4"/>
        <v>13.620000000000005</v>
      </c>
      <c r="K15" s="20"/>
      <c r="L15" s="342">
        <v>4.54</v>
      </c>
      <c r="M15" s="16"/>
      <c r="N15" s="89">
        <f t="shared" si="7"/>
        <v>0</v>
      </c>
      <c r="O15" s="119"/>
      <c r="P15" s="154">
        <f t="shared" si="3"/>
        <v>0</v>
      </c>
      <c r="Q15" s="90"/>
      <c r="R15" s="91"/>
      <c r="S15" s="51">
        <f t="shared" si="5"/>
        <v>45.4</v>
      </c>
    </row>
    <row r="16" spans="1:19" x14ac:dyDescent="0.25">
      <c r="A16" s="20"/>
      <c r="B16" s="342">
        <v>4.54</v>
      </c>
      <c r="C16" s="16"/>
      <c r="D16" s="404">
        <f t="shared" si="6"/>
        <v>0</v>
      </c>
      <c r="E16" s="407"/>
      <c r="F16" s="532">
        <f t="shared" si="1"/>
        <v>0</v>
      </c>
      <c r="G16" s="279"/>
      <c r="H16" s="170"/>
      <c r="I16" s="51">
        <f t="shared" si="4"/>
        <v>13.620000000000005</v>
      </c>
      <c r="K16" s="20"/>
      <c r="L16" s="342">
        <v>4.54</v>
      </c>
      <c r="M16" s="16"/>
      <c r="N16" s="89">
        <f t="shared" si="7"/>
        <v>0</v>
      </c>
      <c r="O16" s="119"/>
      <c r="P16" s="154">
        <f t="shared" si="3"/>
        <v>0</v>
      </c>
      <c r="Q16" s="90"/>
      <c r="R16" s="91"/>
      <c r="S16" s="51">
        <f t="shared" si="5"/>
        <v>45.4</v>
      </c>
    </row>
    <row r="17" spans="1:19" x14ac:dyDescent="0.25">
      <c r="A17" s="20"/>
      <c r="B17" s="342">
        <v>4.54</v>
      </c>
      <c r="C17" s="16"/>
      <c r="D17" s="404">
        <f t="shared" si="6"/>
        <v>0</v>
      </c>
      <c r="E17" s="407"/>
      <c r="F17" s="532">
        <f t="shared" si="1"/>
        <v>0</v>
      </c>
      <c r="G17" s="279"/>
      <c r="H17" s="170"/>
      <c r="I17" s="51">
        <f t="shared" si="4"/>
        <v>13.620000000000005</v>
      </c>
      <c r="K17" s="20"/>
      <c r="L17" s="342">
        <v>4.54</v>
      </c>
      <c r="M17" s="16"/>
      <c r="N17" s="89">
        <f t="shared" si="7"/>
        <v>0</v>
      </c>
      <c r="O17" s="119"/>
      <c r="P17" s="154">
        <f t="shared" si="3"/>
        <v>0</v>
      </c>
      <c r="Q17" s="90"/>
      <c r="R17" s="91"/>
      <c r="S17" s="51">
        <f t="shared" si="5"/>
        <v>45.4</v>
      </c>
    </row>
    <row r="18" spans="1:19" x14ac:dyDescent="0.25">
      <c r="A18" s="20"/>
      <c r="B18" s="342">
        <v>4.54</v>
      </c>
      <c r="C18" s="16"/>
      <c r="D18" s="404">
        <f t="shared" si="6"/>
        <v>0</v>
      </c>
      <c r="E18" s="407"/>
      <c r="F18" s="532">
        <f t="shared" si="1"/>
        <v>0</v>
      </c>
      <c r="G18" s="279"/>
      <c r="H18" s="170"/>
      <c r="I18" s="51">
        <f t="shared" si="4"/>
        <v>13.620000000000005</v>
      </c>
      <c r="K18" s="20"/>
      <c r="L18" s="342">
        <v>4.54</v>
      </c>
      <c r="M18" s="16"/>
      <c r="N18" s="89">
        <f t="shared" si="7"/>
        <v>0</v>
      </c>
      <c r="O18" s="119"/>
      <c r="P18" s="154">
        <f t="shared" si="3"/>
        <v>0</v>
      </c>
      <c r="Q18" s="90"/>
      <c r="R18" s="91"/>
      <c r="S18" s="51">
        <f t="shared" si="5"/>
        <v>45.4</v>
      </c>
    </row>
    <row r="19" spans="1:19" x14ac:dyDescent="0.25">
      <c r="A19" s="20"/>
      <c r="B19" s="342">
        <v>4.54</v>
      </c>
      <c r="C19" s="16"/>
      <c r="D19" s="404">
        <f t="shared" si="6"/>
        <v>0</v>
      </c>
      <c r="E19" s="407"/>
      <c r="F19" s="532">
        <f t="shared" si="1"/>
        <v>0</v>
      </c>
      <c r="G19" s="279"/>
      <c r="H19" s="170"/>
      <c r="I19" s="51">
        <f t="shared" si="4"/>
        <v>13.620000000000005</v>
      </c>
      <c r="K19" s="20"/>
      <c r="L19" s="342">
        <v>4.54</v>
      </c>
      <c r="M19" s="16"/>
      <c r="N19" s="89">
        <f t="shared" si="7"/>
        <v>0</v>
      </c>
      <c r="O19" s="119"/>
      <c r="P19" s="154">
        <f t="shared" si="3"/>
        <v>0</v>
      </c>
      <c r="Q19" s="90"/>
      <c r="R19" s="91"/>
      <c r="S19" s="51">
        <f t="shared" si="5"/>
        <v>45.4</v>
      </c>
    </row>
    <row r="20" spans="1:19" x14ac:dyDescent="0.25">
      <c r="A20" s="20"/>
      <c r="B20" s="342">
        <v>4.54</v>
      </c>
      <c r="C20" s="16"/>
      <c r="D20" s="404">
        <f t="shared" si="6"/>
        <v>0</v>
      </c>
      <c r="E20" s="407"/>
      <c r="F20" s="532">
        <f t="shared" si="1"/>
        <v>0</v>
      </c>
      <c r="G20" s="279"/>
      <c r="H20" s="170"/>
      <c r="I20" s="51">
        <f t="shared" si="4"/>
        <v>13.620000000000005</v>
      </c>
      <c r="K20" s="20"/>
      <c r="L20" s="342">
        <v>4.54</v>
      </c>
      <c r="M20" s="16"/>
      <c r="N20" s="89">
        <f t="shared" si="7"/>
        <v>0</v>
      </c>
      <c r="O20" s="119"/>
      <c r="P20" s="154">
        <f t="shared" si="3"/>
        <v>0</v>
      </c>
      <c r="Q20" s="90"/>
      <c r="R20" s="91"/>
      <c r="S20" s="51">
        <f t="shared" si="5"/>
        <v>45.4</v>
      </c>
    </row>
    <row r="21" spans="1:19" x14ac:dyDescent="0.25">
      <c r="A21" s="20"/>
      <c r="B21" s="342">
        <v>4.54</v>
      </c>
      <c r="C21" s="16"/>
      <c r="D21" s="404">
        <f t="shared" si="6"/>
        <v>0</v>
      </c>
      <c r="E21" s="407"/>
      <c r="F21" s="532">
        <f t="shared" si="1"/>
        <v>0</v>
      </c>
      <c r="G21" s="279"/>
      <c r="H21" s="170"/>
      <c r="I21" s="51">
        <f t="shared" si="4"/>
        <v>13.620000000000005</v>
      </c>
      <c r="K21" s="20"/>
      <c r="L21" s="342">
        <v>4.54</v>
      </c>
      <c r="M21" s="16"/>
      <c r="N21" s="89">
        <f t="shared" si="7"/>
        <v>0</v>
      </c>
      <c r="O21" s="119"/>
      <c r="P21" s="154">
        <f t="shared" si="3"/>
        <v>0</v>
      </c>
      <c r="Q21" s="90"/>
      <c r="R21" s="91"/>
      <c r="S21" s="51">
        <f t="shared" si="5"/>
        <v>45.4</v>
      </c>
    </row>
    <row r="22" spans="1:19" x14ac:dyDescent="0.25">
      <c r="A22" s="20"/>
      <c r="B22" s="342">
        <v>4.54</v>
      </c>
      <c r="C22" s="16"/>
      <c r="D22" s="404">
        <f t="shared" si="6"/>
        <v>0</v>
      </c>
      <c r="E22" s="407"/>
      <c r="F22" s="532">
        <f t="shared" si="1"/>
        <v>0</v>
      </c>
      <c r="G22" s="279"/>
      <c r="H22" s="170"/>
      <c r="I22" s="51">
        <f t="shared" si="4"/>
        <v>13.620000000000005</v>
      </c>
      <c r="K22" s="20"/>
      <c r="L22" s="342">
        <v>4.54</v>
      </c>
      <c r="M22" s="16"/>
      <c r="N22" s="404">
        <f t="shared" si="7"/>
        <v>0</v>
      </c>
      <c r="O22" s="407"/>
      <c r="P22" s="532">
        <f t="shared" si="3"/>
        <v>0</v>
      </c>
      <c r="Q22" s="279"/>
      <c r="R22" s="170"/>
      <c r="S22" s="51">
        <f t="shared" si="5"/>
        <v>45.4</v>
      </c>
    </row>
    <row r="23" spans="1:19" x14ac:dyDescent="0.25">
      <c r="A23" s="20"/>
      <c r="B23" s="342">
        <v>4.54</v>
      </c>
      <c r="C23" s="16"/>
      <c r="D23" s="404">
        <f t="shared" si="6"/>
        <v>0</v>
      </c>
      <c r="E23" s="407"/>
      <c r="F23" s="532">
        <f t="shared" si="1"/>
        <v>0</v>
      </c>
      <c r="G23" s="279"/>
      <c r="H23" s="170"/>
      <c r="I23" s="51">
        <f t="shared" si="4"/>
        <v>13.620000000000005</v>
      </c>
      <c r="K23" s="20"/>
      <c r="L23" s="342">
        <v>4.54</v>
      </c>
      <c r="M23" s="16"/>
      <c r="N23" s="404">
        <f t="shared" si="7"/>
        <v>0</v>
      </c>
      <c r="O23" s="407"/>
      <c r="P23" s="532">
        <f t="shared" si="3"/>
        <v>0</v>
      </c>
      <c r="Q23" s="279"/>
      <c r="R23" s="170"/>
      <c r="S23" s="51">
        <f t="shared" si="5"/>
        <v>45.4</v>
      </c>
    </row>
    <row r="24" spans="1:19" x14ac:dyDescent="0.25">
      <c r="A24" s="20"/>
      <c r="B24" s="342">
        <v>4.54</v>
      </c>
      <c r="C24" s="16"/>
      <c r="D24" s="89">
        <f t="shared" si="6"/>
        <v>0</v>
      </c>
      <c r="E24" s="119"/>
      <c r="F24" s="154">
        <f t="shared" si="1"/>
        <v>0</v>
      </c>
      <c r="G24" s="90"/>
      <c r="H24" s="91"/>
      <c r="I24" s="51">
        <f t="shared" si="4"/>
        <v>13.620000000000005</v>
      </c>
      <c r="K24" s="20"/>
      <c r="L24" s="342">
        <v>4.54</v>
      </c>
      <c r="M24" s="16"/>
      <c r="N24" s="89">
        <f t="shared" si="7"/>
        <v>0</v>
      </c>
      <c r="O24" s="119"/>
      <c r="P24" s="154">
        <f t="shared" si="3"/>
        <v>0</v>
      </c>
      <c r="Q24" s="90"/>
      <c r="R24" s="91"/>
      <c r="S24" s="51">
        <f t="shared" si="5"/>
        <v>45.4</v>
      </c>
    </row>
    <row r="25" spans="1:19" x14ac:dyDescent="0.25">
      <c r="A25" s="20"/>
      <c r="B25" s="342">
        <v>4.54</v>
      </c>
      <c r="C25" s="16"/>
      <c r="D25" s="89">
        <f t="shared" si="6"/>
        <v>0</v>
      </c>
      <c r="E25" s="119"/>
      <c r="F25" s="154">
        <f t="shared" si="1"/>
        <v>0</v>
      </c>
      <c r="G25" s="90"/>
      <c r="H25" s="91"/>
      <c r="I25" s="51">
        <f t="shared" si="4"/>
        <v>13.620000000000005</v>
      </c>
      <c r="K25" s="20"/>
      <c r="L25" s="342">
        <v>4.54</v>
      </c>
      <c r="M25" s="16"/>
      <c r="N25" s="89">
        <f t="shared" si="7"/>
        <v>0</v>
      </c>
      <c r="O25" s="119"/>
      <c r="P25" s="154">
        <f t="shared" si="3"/>
        <v>0</v>
      </c>
      <c r="Q25" s="90"/>
      <c r="R25" s="91"/>
      <c r="S25" s="51">
        <f t="shared" si="5"/>
        <v>45.4</v>
      </c>
    </row>
    <row r="26" spans="1:19" x14ac:dyDescent="0.25">
      <c r="A26" s="20"/>
      <c r="B26" s="342">
        <v>4.54</v>
      </c>
      <c r="C26" s="16"/>
      <c r="D26" s="89">
        <f t="shared" si="6"/>
        <v>0</v>
      </c>
      <c r="E26" s="119"/>
      <c r="F26" s="154">
        <f t="shared" si="1"/>
        <v>0</v>
      </c>
      <c r="G26" s="90"/>
      <c r="H26" s="91"/>
      <c r="I26" s="51">
        <f t="shared" si="4"/>
        <v>13.620000000000005</v>
      </c>
      <c r="K26" s="20"/>
      <c r="L26" s="342">
        <v>4.54</v>
      </c>
      <c r="M26" s="16"/>
      <c r="N26" s="89">
        <f t="shared" si="7"/>
        <v>0</v>
      </c>
      <c r="O26" s="119"/>
      <c r="P26" s="154">
        <f t="shared" si="3"/>
        <v>0</v>
      </c>
      <c r="Q26" s="90"/>
      <c r="R26" s="91"/>
      <c r="S26" s="51">
        <f t="shared" si="5"/>
        <v>45.4</v>
      </c>
    </row>
    <row r="27" spans="1:19" x14ac:dyDescent="0.25">
      <c r="B27" s="342">
        <v>4.54</v>
      </c>
      <c r="C27" s="16"/>
      <c r="D27" s="89">
        <f t="shared" si="6"/>
        <v>0</v>
      </c>
      <c r="E27" s="119"/>
      <c r="F27" s="154">
        <f t="shared" si="1"/>
        <v>0</v>
      </c>
      <c r="G27" s="90"/>
      <c r="H27" s="91"/>
      <c r="I27" s="51">
        <f t="shared" si="4"/>
        <v>13.620000000000005</v>
      </c>
      <c r="L27" s="342">
        <v>4.54</v>
      </c>
      <c r="M27" s="16"/>
      <c r="N27" s="89">
        <f t="shared" si="7"/>
        <v>0</v>
      </c>
      <c r="O27" s="119"/>
      <c r="P27" s="154">
        <f t="shared" si="3"/>
        <v>0</v>
      </c>
      <c r="Q27" s="90"/>
      <c r="R27" s="91"/>
      <c r="S27" s="51">
        <f t="shared" si="5"/>
        <v>45.4</v>
      </c>
    </row>
    <row r="28" spans="1:19" ht="15.75" thickBot="1" x14ac:dyDescent="0.3">
      <c r="A28" s="178"/>
      <c r="B28" s="343"/>
      <c r="C28" s="40"/>
      <c r="D28" s="384">
        <f>B28*C28</f>
        <v>0</v>
      </c>
      <c r="E28" s="385"/>
      <c r="F28" s="386">
        <f t="shared" si="1"/>
        <v>0</v>
      </c>
      <c r="G28" s="209"/>
      <c r="H28" s="370"/>
      <c r="I28" s="237"/>
      <c r="K28" s="178"/>
      <c r="L28" s="343"/>
      <c r="M28" s="40"/>
      <c r="N28" s="384">
        <f>L28*M28</f>
        <v>0</v>
      </c>
      <c r="O28" s="385"/>
      <c r="P28" s="386">
        <f t="shared" si="3"/>
        <v>0</v>
      </c>
      <c r="Q28" s="209"/>
      <c r="R28" s="370"/>
      <c r="S28" s="237"/>
    </row>
    <row r="29" spans="1:19" ht="15.75" thickTop="1" x14ac:dyDescent="0.25">
      <c r="A29" s="51">
        <f>SUM(A28:A28)</f>
        <v>0</v>
      </c>
      <c r="C29" s="97">
        <f>SUM(C8:C28)</f>
        <v>7</v>
      </c>
      <c r="D29" s="154">
        <f>SUM(D8:D28)</f>
        <v>31.78</v>
      </c>
      <c r="E29" s="102"/>
      <c r="F29" s="154">
        <f>SUM(F8:F28)</f>
        <v>31.78</v>
      </c>
      <c r="G29" s="237"/>
      <c r="H29" s="237"/>
      <c r="K29" s="51">
        <f>SUM(K28:K28)</f>
        <v>0</v>
      </c>
      <c r="M29" s="97">
        <f>SUM(M8:M28)</f>
        <v>0</v>
      </c>
      <c r="N29" s="154">
        <f>SUM(N8:N28)</f>
        <v>0</v>
      </c>
      <c r="O29" s="102"/>
      <c r="P29" s="154">
        <f>SUM(P8:P28)</f>
        <v>0</v>
      </c>
      <c r="Q29" s="237"/>
      <c r="R29" s="237"/>
    </row>
    <row r="30" spans="1:19" ht="15.75" thickBot="1" x14ac:dyDescent="0.3">
      <c r="A30" s="51"/>
      <c r="K30" s="51"/>
    </row>
    <row r="31" spans="1:19" x14ac:dyDescent="0.25">
      <c r="B31" s="344"/>
      <c r="D31" s="761" t="s">
        <v>21</v>
      </c>
      <c r="E31" s="762"/>
      <c r="F31" s="211">
        <f>E4+E5-F29+E6</f>
        <v>13.619999999999997</v>
      </c>
      <c r="L31" s="344"/>
      <c r="N31" s="761" t="s">
        <v>21</v>
      </c>
      <c r="O31" s="762"/>
      <c r="P31" s="211">
        <f>O4+O5-P29+O6</f>
        <v>45.4</v>
      </c>
    </row>
    <row r="32" spans="1:19" ht="15.75" thickBot="1" x14ac:dyDescent="0.3">
      <c r="A32" s="185"/>
      <c r="D32" s="622" t="s">
        <v>4</v>
      </c>
      <c r="E32" s="623"/>
      <c r="F32" s="53">
        <f>F4+F5-C29+F6</f>
        <v>3</v>
      </c>
      <c r="K32" s="185"/>
      <c r="N32" s="679" t="s">
        <v>4</v>
      </c>
      <c r="O32" s="680"/>
      <c r="P32" s="53">
        <f>P4+P5-M29+P6</f>
        <v>10</v>
      </c>
    </row>
    <row r="33" spans="2:12" x14ac:dyDescent="0.25">
      <c r="B33" s="344"/>
      <c r="L33" s="344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Z30"/>
  <sheetViews>
    <sheetView topLeftCell="L1" workbookViewId="0">
      <pane ySplit="7" topLeftCell="A8" activePane="bottomLeft" state="frozen"/>
      <selection activeCell="K1" sqref="K1"/>
      <selection pane="bottomLeft" activeCell="T17" sqref="T17"/>
    </sheetView>
  </sheetViews>
  <sheetFormatPr baseColWidth="10" defaultColWidth="11.42578125" defaultRowHeight="15" x14ac:dyDescent="0.25"/>
  <cols>
    <col min="1" max="1" width="32.42578125" hidden="1" customWidth="1"/>
    <col min="2" max="2" width="17.7109375" hidden="1" customWidth="1"/>
    <col min="3" max="3" width="13.28515625" hidden="1" customWidth="1"/>
    <col min="4" max="5" width="0" hidden="1" customWidth="1"/>
    <col min="6" max="6" width="12" hidden="1" customWidth="1"/>
    <col min="7" max="9" width="0" hidden="1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  <col min="19" max="19" width="32.42578125" bestFit="1" customWidth="1"/>
    <col min="20" max="20" width="17.7109375" bestFit="1" customWidth="1"/>
    <col min="21" max="21" width="13.28515625" bestFit="1" customWidth="1"/>
    <col min="24" max="24" width="12" customWidth="1"/>
  </cols>
  <sheetData>
    <row r="1" spans="1:26" ht="36.75" customHeight="1" x14ac:dyDescent="0.55000000000000004">
      <c r="A1" s="768" t="s">
        <v>112</v>
      </c>
      <c r="B1" s="768"/>
      <c r="C1" s="768"/>
      <c r="D1" s="768"/>
      <c r="E1" s="768"/>
      <c r="F1" s="768"/>
      <c r="G1" s="768"/>
      <c r="H1" s="12">
        <v>1</v>
      </c>
      <c r="J1" s="768" t="s">
        <v>165</v>
      </c>
      <c r="K1" s="768"/>
      <c r="L1" s="768"/>
      <c r="M1" s="768"/>
      <c r="N1" s="768"/>
      <c r="O1" s="768"/>
      <c r="P1" s="768"/>
      <c r="Q1" s="12">
        <v>1</v>
      </c>
      <c r="S1" s="760" t="s">
        <v>232</v>
      </c>
      <c r="T1" s="760"/>
      <c r="U1" s="760"/>
      <c r="V1" s="760"/>
      <c r="W1" s="760"/>
      <c r="X1" s="760"/>
      <c r="Y1" s="760"/>
      <c r="Z1" s="12">
        <v>2</v>
      </c>
    </row>
    <row r="2" spans="1:26" ht="15.75" thickBot="1" x14ac:dyDescent="0.3"/>
    <row r="3" spans="1:26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  <c r="S3" s="10" t="s">
        <v>0</v>
      </c>
      <c r="T3" s="10" t="s">
        <v>1</v>
      </c>
      <c r="U3" s="10"/>
      <c r="V3" s="10" t="s">
        <v>2</v>
      </c>
      <c r="W3" s="10" t="s">
        <v>3</v>
      </c>
      <c r="X3" s="10" t="s">
        <v>4</v>
      </c>
      <c r="Y3" s="27" t="s">
        <v>20</v>
      </c>
      <c r="Z3" s="38" t="s">
        <v>6</v>
      </c>
    </row>
    <row r="4" spans="1:26" ht="15.75" thickTop="1" x14ac:dyDescent="0.25">
      <c r="C4" s="84"/>
      <c r="D4" s="171"/>
      <c r="E4" s="58"/>
      <c r="F4" s="13"/>
      <c r="G4" s="592"/>
      <c r="L4" s="84"/>
      <c r="M4" s="171"/>
      <c r="N4" s="58"/>
      <c r="O4" s="13"/>
      <c r="P4" s="605"/>
      <c r="U4" s="84"/>
      <c r="V4" s="171"/>
      <c r="W4" s="58"/>
      <c r="X4" s="13"/>
      <c r="Y4" s="681"/>
    </row>
    <row r="5" spans="1:26" ht="15.75" x14ac:dyDescent="0.25">
      <c r="A5" s="102" t="s">
        <v>101</v>
      </c>
      <c r="B5" s="207" t="s">
        <v>102</v>
      </c>
      <c r="C5" s="84">
        <v>170</v>
      </c>
      <c r="D5" s="171">
        <v>43664</v>
      </c>
      <c r="E5" s="58">
        <v>100</v>
      </c>
      <c r="F5" s="13">
        <v>10</v>
      </c>
      <c r="G5" s="130">
        <f>F26</f>
        <v>100</v>
      </c>
      <c r="H5" s="8">
        <f>E5-G5+E4+E6</f>
        <v>0</v>
      </c>
      <c r="J5" s="102" t="s">
        <v>101</v>
      </c>
      <c r="K5" s="207" t="s">
        <v>102</v>
      </c>
      <c r="L5" s="84">
        <v>170</v>
      </c>
      <c r="M5" s="171">
        <v>43699</v>
      </c>
      <c r="N5" s="58">
        <v>100</v>
      </c>
      <c r="O5" s="13">
        <v>10</v>
      </c>
      <c r="P5" s="703">
        <f>O26</f>
        <v>110</v>
      </c>
      <c r="Q5" s="8">
        <f>N5-P5+N4+N6</f>
        <v>0</v>
      </c>
      <c r="S5" s="102" t="s">
        <v>101</v>
      </c>
      <c r="T5" s="207" t="s">
        <v>102</v>
      </c>
      <c r="U5" s="84">
        <v>170</v>
      </c>
      <c r="V5" s="171">
        <v>43752</v>
      </c>
      <c r="W5" s="58">
        <v>10</v>
      </c>
      <c r="X5" s="13">
        <v>2</v>
      </c>
      <c r="Y5" s="703">
        <f>X26</f>
        <v>10</v>
      </c>
      <c r="Z5" s="8">
        <f>W5-Y5+W4+W6</f>
        <v>0</v>
      </c>
    </row>
    <row r="6" spans="1:26" ht="15.75" thickBot="1" x14ac:dyDescent="0.3">
      <c r="B6" s="331"/>
      <c r="C6" s="84"/>
      <c r="D6" s="171"/>
      <c r="E6" s="154"/>
      <c r="F6" s="441"/>
      <c r="G6" s="438"/>
      <c r="K6" s="331"/>
      <c r="L6" s="84"/>
      <c r="M6" s="171"/>
      <c r="N6" s="154">
        <v>10</v>
      </c>
      <c r="O6" s="97">
        <v>1</v>
      </c>
      <c r="T6" s="331"/>
      <c r="U6" s="84"/>
      <c r="V6" s="171"/>
      <c r="W6" s="154"/>
      <c r="X6" s="97"/>
    </row>
    <row r="7" spans="1:26" ht="16.5" thickTop="1" thickBot="1" x14ac:dyDescent="0.3">
      <c r="B7" s="82" t="s">
        <v>7</v>
      </c>
      <c r="C7" s="28" t="s">
        <v>8</v>
      </c>
      <c r="D7" s="382" t="s">
        <v>17</v>
      </c>
      <c r="E7" s="24" t="s">
        <v>2</v>
      </c>
      <c r="F7" s="27" t="s">
        <v>18</v>
      </c>
      <c r="G7" s="11" t="s">
        <v>15</v>
      </c>
      <c r="H7" s="25"/>
      <c r="K7" s="82" t="s">
        <v>7</v>
      </c>
      <c r="L7" s="28" t="s">
        <v>8</v>
      </c>
      <c r="M7" s="382" t="s">
        <v>17</v>
      </c>
      <c r="N7" s="24" t="s">
        <v>2</v>
      </c>
      <c r="O7" s="27" t="s">
        <v>18</v>
      </c>
      <c r="P7" s="11" t="s">
        <v>15</v>
      </c>
      <c r="Q7" s="25"/>
      <c r="T7" s="82" t="s">
        <v>7</v>
      </c>
      <c r="U7" s="28" t="s">
        <v>8</v>
      </c>
      <c r="V7" s="382" t="s">
        <v>17</v>
      </c>
      <c r="W7" s="24" t="s">
        <v>2</v>
      </c>
      <c r="X7" s="27" t="s">
        <v>18</v>
      </c>
      <c r="Y7" s="11" t="s">
        <v>15</v>
      </c>
      <c r="Z7" s="25"/>
    </row>
    <row r="8" spans="1:26" ht="15.75" thickTop="1" x14ac:dyDescent="0.25">
      <c r="A8" s="71" t="s">
        <v>32</v>
      </c>
      <c r="B8" s="342">
        <v>10</v>
      </c>
      <c r="C8" s="97">
        <v>1</v>
      </c>
      <c r="D8" s="89">
        <f t="shared" ref="D8:D9" si="0">B8*C8</f>
        <v>10</v>
      </c>
      <c r="E8" s="119">
        <v>43668</v>
      </c>
      <c r="F8" s="154">
        <f t="shared" ref="F8:F9" si="1">D8</f>
        <v>10</v>
      </c>
      <c r="G8" s="90" t="s">
        <v>107</v>
      </c>
      <c r="H8" s="91">
        <v>210</v>
      </c>
      <c r="J8" s="71" t="s">
        <v>32</v>
      </c>
      <c r="K8" s="342">
        <v>10</v>
      </c>
      <c r="L8" s="97">
        <v>2</v>
      </c>
      <c r="M8" s="89">
        <f t="shared" ref="M8" si="2">K8*L8</f>
        <v>20</v>
      </c>
      <c r="N8" s="119">
        <v>43708</v>
      </c>
      <c r="O8" s="154">
        <f t="shared" ref="O8" si="3">M8</f>
        <v>20</v>
      </c>
      <c r="P8" s="90" t="s">
        <v>120</v>
      </c>
      <c r="Q8" s="91">
        <v>210</v>
      </c>
      <c r="S8" s="71" t="s">
        <v>32</v>
      </c>
      <c r="T8" s="342">
        <v>5</v>
      </c>
      <c r="U8" s="97">
        <v>2</v>
      </c>
      <c r="V8" s="89">
        <f t="shared" ref="V8:V24" si="4">T8*U8</f>
        <v>10</v>
      </c>
      <c r="W8" s="119">
        <v>43753</v>
      </c>
      <c r="X8" s="154">
        <f t="shared" ref="X8:X25" si="5">V8</f>
        <v>10</v>
      </c>
      <c r="Y8" s="90" t="s">
        <v>277</v>
      </c>
      <c r="Z8" s="91">
        <v>210</v>
      </c>
    </row>
    <row r="9" spans="1:26" x14ac:dyDescent="0.25">
      <c r="B9" s="342">
        <v>10</v>
      </c>
      <c r="C9" s="97">
        <v>1</v>
      </c>
      <c r="D9" s="89">
        <f t="shared" si="0"/>
        <v>10</v>
      </c>
      <c r="E9" s="119">
        <v>43669</v>
      </c>
      <c r="F9" s="154">
        <f t="shared" si="1"/>
        <v>10</v>
      </c>
      <c r="G9" s="90" t="s">
        <v>108</v>
      </c>
      <c r="H9" s="91">
        <v>210</v>
      </c>
      <c r="K9" s="342">
        <v>10</v>
      </c>
      <c r="L9" s="97">
        <v>2</v>
      </c>
      <c r="M9" s="404">
        <f t="shared" ref="M9:M24" si="6">K9*L9</f>
        <v>20</v>
      </c>
      <c r="N9" s="407">
        <v>43722</v>
      </c>
      <c r="O9" s="532">
        <f t="shared" ref="O9:O25" si="7">M9</f>
        <v>20</v>
      </c>
      <c r="P9" s="279" t="s">
        <v>128</v>
      </c>
      <c r="Q9" s="170">
        <v>210</v>
      </c>
      <c r="T9" s="342">
        <v>5</v>
      </c>
      <c r="U9" s="97"/>
      <c r="V9" s="404">
        <f t="shared" si="4"/>
        <v>0</v>
      </c>
      <c r="W9" s="407"/>
      <c r="X9" s="532">
        <f t="shared" si="5"/>
        <v>0</v>
      </c>
      <c r="Y9" s="704"/>
      <c r="Z9" s="705"/>
    </row>
    <row r="10" spans="1:26" x14ac:dyDescent="0.25">
      <c r="B10" s="342">
        <v>10</v>
      </c>
      <c r="C10" s="97">
        <v>1</v>
      </c>
      <c r="D10" s="77">
        <f t="shared" ref="D10:D24" si="8">B10*C10</f>
        <v>10</v>
      </c>
      <c r="E10" s="522">
        <v>43682</v>
      </c>
      <c r="F10" s="116">
        <f t="shared" ref="F10:F25" si="9">D10</f>
        <v>10</v>
      </c>
      <c r="G10" s="86" t="s">
        <v>122</v>
      </c>
      <c r="H10" s="78">
        <v>210</v>
      </c>
      <c r="K10" s="342">
        <v>10</v>
      </c>
      <c r="L10" s="97">
        <v>2</v>
      </c>
      <c r="M10" s="404">
        <f t="shared" si="6"/>
        <v>20</v>
      </c>
      <c r="N10" s="407">
        <v>43729</v>
      </c>
      <c r="O10" s="532">
        <f t="shared" si="7"/>
        <v>20</v>
      </c>
      <c r="P10" s="279" t="s">
        <v>131</v>
      </c>
      <c r="Q10" s="170">
        <v>210</v>
      </c>
      <c r="T10" s="342"/>
      <c r="U10" s="97"/>
      <c r="V10" s="404">
        <f t="shared" si="4"/>
        <v>0</v>
      </c>
      <c r="W10" s="407"/>
      <c r="X10" s="532">
        <f t="shared" si="5"/>
        <v>0</v>
      </c>
      <c r="Y10" s="704"/>
      <c r="Z10" s="705"/>
    </row>
    <row r="11" spans="1:26" x14ac:dyDescent="0.25">
      <c r="A11" s="71" t="s">
        <v>33</v>
      </c>
      <c r="B11" s="342">
        <v>10</v>
      </c>
      <c r="C11" s="97">
        <v>1</v>
      </c>
      <c r="D11" s="77">
        <f t="shared" ref="D11:D14" si="10">B11*C11</f>
        <v>10</v>
      </c>
      <c r="E11" s="522">
        <v>43684</v>
      </c>
      <c r="F11" s="116">
        <f t="shared" ref="F11:F14" si="11">D11</f>
        <v>10</v>
      </c>
      <c r="G11" s="86" t="s">
        <v>115</v>
      </c>
      <c r="H11" s="78">
        <v>210</v>
      </c>
      <c r="J11" s="71" t="s">
        <v>33</v>
      </c>
      <c r="K11" s="342">
        <v>10</v>
      </c>
      <c r="L11" s="97">
        <v>1</v>
      </c>
      <c r="M11" s="404">
        <f t="shared" si="6"/>
        <v>10</v>
      </c>
      <c r="N11" s="407">
        <v>43736</v>
      </c>
      <c r="O11" s="532">
        <f t="shared" si="7"/>
        <v>10</v>
      </c>
      <c r="P11" s="279" t="s">
        <v>138</v>
      </c>
      <c r="Q11" s="170">
        <v>210</v>
      </c>
      <c r="S11" s="71" t="s">
        <v>33</v>
      </c>
      <c r="T11" s="342"/>
      <c r="U11" s="97"/>
      <c r="V11" s="404">
        <f t="shared" si="4"/>
        <v>0</v>
      </c>
      <c r="W11" s="407"/>
      <c r="X11" s="532">
        <f t="shared" si="5"/>
        <v>0</v>
      </c>
      <c r="Y11" s="704"/>
      <c r="Z11" s="705"/>
    </row>
    <row r="12" spans="1:26" x14ac:dyDescent="0.25">
      <c r="B12" s="342">
        <v>10</v>
      </c>
      <c r="C12" s="97">
        <v>4</v>
      </c>
      <c r="D12" s="77">
        <f t="shared" si="10"/>
        <v>40</v>
      </c>
      <c r="E12" s="522">
        <v>43697</v>
      </c>
      <c r="F12" s="116">
        <f t="shared" si="11"/>
        <v>40</v>
      </c>
      <c r="G12" s="86" t="s">
        <v>116</v>
      </c>
      <c r="H12" s="78">
        <v>210</v>
      </c>
      <c r="K12" s="342">
        <v>10</v>
      </c>
      <c r="L12" s="97">
        <v>3</v>
      </c>
      <c r="M12" s="404">
        <f t="shared" si="6"/>
        <v>30</v>
      </c>
      <c r="N12" s="407">
        <v>43741</v>
      </c>
      <c r="O12" s="532">
        <f t="shared" si="7"/>
        <v>30</v>
      </c>
      <c r="P12" s="279" t="s">
        <v>149</v>
      </c>
      <c r="Q12" s="170">
        <v>210</v>
      </c>
      <c r="T12" s="342"/>
      <c r="U12" s="97"/>
      <c r="V12" s="404">
        <f t="shared" si="4"/>
        <v>0</v>
      </c>
      <c r="W12" s="407"/>
      <c r="X12" s="532">
        <f t="shared" si="5"/>
        <v>0</v>
      </c>
      <c r="Y12" s="704"/>
      <c r="Z12" s="705"/>
    </row>
    <row r="13" spans="1:26" x14ac:dyDescent="0.25">
      <c r="A13" s="20"/>
      <c r="B13" s="342">
        <v>10</v>
      </c>
      <c r="C13" s="97">
        <v>1</v>
      </c>
      <c r="D13" s="77">
        <f t="shared" si="10"/>
        <v>10</v>
      </c>
      <c r="E13" s="522">
        <v>43707</v>
      </c>
      <c r="F13" s="116">
        <f t="shared" si="11"/>
        <v>10</v>
      </c>
      <c r="G13" s="86" t="s">
        <v>118</v>
      </c>
      <c r="H13" s="78">
        <v>210</v>
      </c>
      <c r="J13" s="20"/>
      <c r="K13" s="342">
        <v>10</v>
      </c>
      <c r="L13" s="97">
        <v>1</v>
      </c>
      <c r="M13" s="661">
        <f t="shared" si="6"/>
        <v>10</v>
      </c>
      <c r="N13" s="662">
        <v>43748</v>
      </c>
      <c r="O13" s="663">
        <f t="shared" si="7"/>
        <v>10</v>
      </c>
      <c r="P13" s="664" t="s">
        <v>217</v>
      </c>
      <c r="Q13" s="665">
        <v>210</v>
      </c>
      <c r="S13" s="20"/>
      <c r="T13" s="342"/>
      <c r="U13" s="97"/>
      <c r="V13" s="661">
        <f t="shared" si="4"/>
        <v>0</v>
      </c>
      <c r="W13" s="662"/>
      <c r="X13" s="663">
        <f t="shared" si="5"/>
        <v>0</v>
      </c>
      <c r="Y13" s="701"/>
      <c r="Z13" s="702"/>
    </row>
    <row r="14" spans="1:26" x14ac:dyDescent="0.25">
      <c r="B14" s="342">
        <v>10</v>
      </c>
      <c r="C14" s="97"/>
      <c r="D14" s="77">
        <f t="shared" si="10"/>
        <v>0</v>
      </c>
      <c r="E14" s="522"/>
      <c r="F14" s="116">
        <f t="shared" si="11"/>
        <v>0</v>
      </c>
      <c r="G14" s="86"/>
      <c r="H14" s="78"/>
      <c r="K14" s="342">
        <v>10</v>
      </c>
      <c r="L14" s="97"/>
      <c r="M14" s="661">
        <f t="shared" si="6"/>
        <v>0</v>
      </c>
      <c r="N14" s="662"/>
      <c r="O14" s="666">
        <f t="shared" si="7"/>
        <v>0</v>
      </c>
      <c r="P14" s="701"/>
      <c r="Q14" s="702"/>
      <c r="T14" s="342"/>
      <c r="U14" s="97"/>
      <c r="V14" s="661">
        <f t="shared" si="4"/>
        <v>0</v>
      </c>
      <c r="W14" s="662"/>
      <c r="X14" s="666">
        <f t="shared" si="5"/>
        <v>0</v>
      </c>
      <c r="Y14" s="701"/>
      <c r="Z14" s="702"/>
    </row>
    <row r="15" spans="1:26" x14ac:dyDescent="0.25">
      <c r="B15" s="342">
        <v>10</v>
      </c>
      <c r="C15" s="97">
        <v>1</v>
      </c>
      <c r="D15" s="77">
        <f t="shared" si="8"/>
        <v>10</v>
      </c>
      <c r="E15" s="522"/>
      <c r="F15" s="612">
        <f t="shared" si="9"/>
        <v>10</v>
      </c>
      <c r="G15" s="607"/>
      <c r="H15" s="608" t="s">
        <v>22</v>
      </c>
      <c r="K15" s="342">
        <v>10</v>
      </c>
      <c r="L15" s="97"/>
      <c r="M15" s="661">
        <f t="shared" si="6"/>
        <v>0</v>
      </c>
      <c r="N15" s="662"/>
      <c r="O15" s="666">
        <f t="shared" si="7"/>
        <v>0</v>
      </c>
      <c r="P15" s="701"/>
      <c r="Q15" s="702" t="s">
        <v>22</v>
      </c>
      <c r="T15" s="342"/>
      <c r="U15" s="97"/>
      <c r="V15" s="661">
        <f t="shared" si="4"/>
        <v>0</v>
      </c>
      <c r="W15" s="662"/>
      <c r="X15" s="666">
        <f t="shared" si="5"/>
        <v>0</v>
      </c>
      <c r="Y15" s="701"/>
      <c r="Z15" s="702"/>
    </row>
    <row r="16" spans="1:26" x14ac:dyDescent="0.25">
      <c r="B16" s="342">
        <v>10</v>
      </c>
      <c r="C16" s="97"/>
      <c r="D16" s="77">
        <f t="shared" si="8"/>
        <v>0</v>
      </c>
      <c r="E16" s="522"/>
      <c r="F16" s="612">
        <f t="shared" si="9"/>
        <v>0</v>
      </c>
      <c r="G16" s="607"/>
      <c r="H16" s="608"/>
      <c r="K16" s="342">
        <v>10</v>
      </c>
      <c r="L16" s="97"/>
      <c r="M16" s="661">
        <f t="shared" si="6"/>
        <v>0</v>
      </c>
      <c r="N16" s="662"/>
      <c r="O16" s="666">
        <f t="shared" si="7"/>
        <v>0</v>
      </c>
      <c r="P16" s="701"/>
      <c r="Q16" s="702"/>
      <c r="T16" s="342"/>
      <c r="U16" s="97"/>
      <c r="V16" s="661">
        <f t="shared" si="4"/>
        <v>0</v>
      </c>
      <c r="W16" s="662"/>
      <c r="X16" s="666">
        <f t="shared" si="5"/>
        <v>0</v>
      </c>
      <c r="Y16" s="667"/>
      <c r="Z16" s="668"/>
    </row>
    <row r="17" spans="1:26" x14ac:dyDescent="0.25">
      <c r="B17" s="342">
        <v>10</v>
      </c>
      <c r="C17" s="97"/>
      <c r="D17" s="77">
        <f t="shared" si="8"/>
        <v>0</v>
      </c>
      <c r="E17" s="522"/>
      <c r="F17" s="612">
        <f t="shared" si="9"/>
        <v>0</v>
      </c>
      <c r="G17" s="607"/>
      <c r="H17" s="608"/>
      <c r="K17" s="342">
        <v>10</v>
      </c>
      <c r="L17" s="97"/>
      <c r="M17" s="661">
        <f t="shared" si="6"/>
        <v>0</v>
      </c>
      <c r="N17" s="662"/>
      <c r="O17" s="666">
        <f t="shared" si="7"/>
        <v>0</v>
      </c>
      <c r="P17" s="701"/>
      <c r="Q17" s="702"/>
      <c r="T17" s="342"/>
      <c r="U17" s="97"/>
      <c r="V17" s="661">
        <f t="shared" si="4"/>
        <v>0</v>
      </c>
      <c r="W17" s="662"/>
      <c r="X17" s="666">
        <f t="shared" si="5"/>
        <v>0</v>
      </c>
      <c r="Y17" s="667"/>
      <c r="Z17" s="668"/>
    </row>
    <row r="18" spans="1:26" x14ac:dyDescent="0.25">
      <c r="B18" s="342">
        <v>10</v>
      </c>
      <c r="C18" s="97"/>
      <c r="D18" s="77">
        <f t="shared" si="8"/>
        <v>0</v>
      </c>
      <c r="E18" s="522"/>
      <c r="F18" s="478">
        <f t="shared" si="9"/>
        <v>0</v>
      </c>
      <c r="G18" s="600"/>
      <c r="H18" s="598"/>
      <c r="K18" s="342">
        <v>10</v>
      </c>
      <c r="L18" s="97"/>
      <c r="M18" s="661">
        <f t="shared" si="6"/>
        <v>0</v>
      </c>
      <c r="N18" s="662"/>
      <c r="O18" s="666">
        <f t="shared" si="7"/>
        <v>0</v>
      </c>
      <c r="P18" s="667"/>
      <c r="Q18" s="668"/>
      <c r="T18" s="342"/>
      <c r="U18" s="97"/>
      <c r="V18" s="661">
        <f t="shared" si="4"/>
        <v>0</v>
      </c>
      <c r="W18" s="662"/>
      <c r="X18" s="666">
        <f t="shared" si="5"/>
        <v>0</v>
      </c>
      <c r="Y18" s="667"/>
      <c r="Z18" s="668"/>
    </row>
    <row r="19" spans="1:26" x14ac:dyDescent="0.25">
      <c r="B19" s="342">
        <v>10</v>
      </c>
      <c r="C19" s="97"/>
      <c r="D19" s="77">
        <f t="shared" si="8"/>
        <v>0</v>
      </c>
      <c r="E19" s="522"/>
      <c r="F19" s="478">
        <f t="shared" si="9"/>
        <v>0</v>
      </c>
      <c r="G19" s="600"/>
      <c r="H19" s="598"/>
      <c r="K19" s="342">
        <v>10</v>
      </c>
      <c r="L19" s="97"/>
      <c r="M19" s="661">
        <f t="shared" si="6"/>
        <v>0</v>
      </c>
      <c r="N19" s="662"/>
      <c r="O19" s="666">
        <f t="shared" si="7"/>
        <v>0</v>
      </c>
      <c r="P19" s="667"/>
      <c r="Q19" s="668"/>
      <c r="T19" s="342"/>
      <c r="U19" s="97"/>
      <c r="V19" s="661">
        <f t="shared" si="4"/>
        <v>0</v>
      </c>
      <c r="W19" s="662"/>
      <c r="X19" s="666">
        <f t="shared" si="5"/>
        <v>0</v>
      </c>
      <c r="Y19" s="667"/>
      <c r="Z19" s="668"/>
    </row>
    <row r="20" spans="1:26" x14ac:dyDescent="0.25">
      <c r="B20" s="342">
        <v>10</v>
      </c>
      <c r="C20" s="97"/>
      <c r="D20" s="89">
        <f t="shared" si="8"/>
        <v>0</v>
      </c>
      <c r="E20" s="119"/>
      <c r="F20" s="507">
        <f t="shared" si="9"/>
        <v>0</v>
      </c>
      <c r="G20" s="485"/>
      <c r="H20" s="486"/>
      <c r="K20" s="342">
        <v>10</v>
      </c>
      <c r="L20" s="97"/>
      <c r="M20" s="661">
        <f t="shared" si="6"/>
        <v>0</v>
      </c>
      <c r="N20" s="662"/>
      <c r="O20" s="666">
        <f t="shared" si="7"/>
        <v>0</v>
      </c>
      <c r="P20" s="667"/>
      <c r="Q20" s="668"/>
      <c r="T20" s="342"/>
      <c r="U20" s="97"/>
      <c r="V20" s="661">
        <f t="shared" si="4"/>
        <v>0</v>
      </c>
      <c r="W20" s="662"/>
      <c r="X20" s="666">
        <f t="shared" si="5"/>
        <v>0</v>
      </c>
      <c r="Y20" s="667"/>
      <c r="Z20" s="668"/>
    </row>
    <row r="21" spans="1:26" x14ac:dyDescent="0.25">
      <c r="B21" s="342">
        <v>10</v>
      </c>
      <c r="C21" s="97"/>
      <c r="D21" s="89">
        <f t="shared" si="8"/>
        <v>0</v>
      </c>
      <c r="E21" s="119"/>
      <c r="F21" s="154">
        <f t="shared" si="9"/>
        <v>0</v>
      </c>
      <c r="G21" s="90"/>
      <c r="H21" s="91"/>
      <c r="K21" s="342">
        <v>10</v>
      </c>
      <c r="L21" s="97"/>
      <c r="M21" s="661">
        <f t="shared" si="6"/>
        <v>0</v>
      </c>
      <c r="N21" s="662"/>
      <c r="O21" s="663">
        <f t="shared" si="7"/>
        <v>0</v>
      </c>
      <c r="P21" s="664"/>
      <c r="Q21" s="665"/>
      <c r="T21" s="342"/>
      <c r="U21" s="97"/>
      <c r="V21" s="661">
        <f t="shared" si="4"/>
        <v>0</v>
      </c>
      <c r="W21" s="662"/>
      <c r="X21" s="663">
        <f t="shared" si="5"/>
        <v>0</v>
      </c>
      <c r="Y21" s="664"/>
      <c r="Z21" s="665"/>
    </row>
    <row r="22" spans="1:26" x14ac:dyDescent="0.25">
      <c r="B22" s="342">
        <v>10</v>
      </c>
      <c r="C22" s="16"/>
      <c r="D22" s="89">
        <f t="shared" si="8"/>
        <v>0</v>
      </c>
      <c r="E22" s="119"/>
      <c r="F22" s="154">
        <f t="shared" si="9"/>
        <v>0</v>
      </c>
      <c r="G22" s="418"/>
      <c r="H22" s="387"/>
      <c r="K22" s="342">
        <v>10</v>
      </c>
      <c r="L22" s="16"/>
      <c r="M22" s="661">
        <f t="shared" si="6"/>
        <v>0</v>
      </c>
      <c r="N22" s="662"/>
      <c r="O22" s="663">
        <f t="shared" si="7"/>
        <v>0</v>
      </c>
      <c r="P22" s="664"/>
      <c r="Q22" s="665"/>
      <c r="T22" s="342"/>
      <c r="U22" s="16"/>
      <c r="V22" s="661">
        <f t="shared" si="4"/>
        <v>0</v>
      </c>
      <c r="W22" s="662"/>
      <c r="X22" s="663">
        <f t="shared" si="5"/>
        <v>0</v>
      </c>
      <c r="Y22" s="664"/>
      <c r="Z22" s="665"/>
    </row>
    <row r="23" spans="1:26" x14ac:dyDescent="0.25">
      <c r="B23" s="342">
        <v>10</v>
      </c>
      <c r="C23" s="16"/>
      <c r="D23" s="89">
        <f t="shared" si="8"/>
        <v>0</v>
      </c>
      <c r="E23" s="119"/>
      <c r="F23" s="154">
        <f t="shared" si="9"/>
        <v>0</v>
      </c>
      <c r="G23" s="418"/>
      <c r="H23" s="387"/>
      <c r="K23" s="342">
        <v>10</v>
      </c>
      <c r="L23" s="16"/>
      <c r="M23" s="89">
        <f t="shared" si="6"/>
        <v>0</v>
      </c>
      <c r="N23" s="119"/>
      <c r="O23" s="154">
        <f t="shared" si="7"/>
        <v>0</v>
      </c>
      <c r="P23" s="418"/>
      <c r="Q23" s="387"/>
      <c r="T23" s="342"/>
      <c r="U23" s="16"/>
      <c r="V23" s="89">
        <f t="shared" si="4"/>
        <v>0</v>
      </c>
      <c r="W23" s="119"/>
      <c r="X23" s="154">
        <f t="shared" si="5"/>
        <v>0</v>
      </c>
      <c r="Y23" s="418"/>
      <c r="Z23" s="387"/>
    </row>
    <row r="24" spans="1:26" x14ac:dyDescent="0.25">
      <c r="B24" s="342">
        <v>10</v>
      </c>
      <c r="C24" s="16"/>
      <c r="D24" s="89">
        <f t="shared" si="8"/>
        <v>0</v>
      </c>
      <c r="E24" s="119"/>
      <c r="F24" s="154">
        <f t="shared" si="9"/>
        <v>0</v>
      </c>
      <c r="G24" s="418"/>
      <c r="H24" s="387"/>
      <c r="K24" s="342">
        <v>10</v>
      </c>
      <c r="L24" s="16"/>
      <c r="M24" s="89">
        <f t="shared" si="6"/>
        <v>0</v>
      </c>
      <c r="N24" s="119"/>
      <c r="O24" s="154">
        <f t="shared" si="7"/>
        <v>0</v>
      </c>
      <c r="P24" s="418"/>
      <c r="Q24" s="387"/>
      <c r="T24" s="342"/>
      <c r="U24" s="16"/>
      <c r="V24" s="89">
        <f t="shared" si="4"/>
        <v>0</v>
      </c>
      <c r="W24" s="119"/>
      <c r="X24" s="154">
        <f t="shared" si="5"/>
        <v>0</v>
      </c>
      <c r="Y24" s="418"/>
      <c r="Z24" s="387"/>
    </row>
    <row r="25" spans="1:26" ht="15.75" thickBot="1" x14ac:dyDescent="0.3">
      <c r="A25" s="178"/>
      <c r="B25" s="138"/>
      <c r="C25" s="40"/>
      <c r="D25" s="384">
        <f>B25*C25</f>
        <v>0</v>
      </c>
      <c r="E25" s="385"/>
      <c r="F25" s="386">
        <f t="shared" si="9"/>
        <v>0</v>
      </c>
      <c r="G25" s="209"/>
      <c r="H25" s="370"/>
      <c r="J25" s="178"/>
      <c r="K25" s="138"/>
      <c r="L25" s="40"/>
      <c r="M25" s="384">
        <f>K25*L25</f>
        <v>0</v>
      </c>
      <c r="N25" s="385"/>
      <c r="O25" s="386">
        <f t="shared" si="7"/>
        <v>0</v>
      </c>
      <c r="P25" s="209"/>
      <c r="Q25" s="370"/>
      <c r="S25" s="178"/>
      <c r="T25" s="138"/>
      <c r="U25" s="40"/>
      <c r="V25" s="384">
        <f>T25*U25</f>
        <v>0</v>
      </c>
      <c r="W25" s="385"/>
      <c r="X25" s="386">
        <f t="shared" si="5"/>
        <v>0</v>
      </c>
      <c r="Y25" s="209"/>
      <c r="Z25" s="370"/>
    </row>
    <row r="26" spans="1:26" ht="15.75" thickTop="1" x14ac:dyDescent="0.25">
      <c r="A26" s="51">
        <f>SUM(A25:A25)</f>
        <v>0</v>
      </c>
      <c r="C26" s="97">
        <f>SUM(C8:C25)</f>
        <v>10</v>
      </c>
      <c r="D26" s="154">
        <f>SUM(D8:D25)</f>
        <v>100</v>
      </c>
      <c r="E26" s="102"/>
      <c r="F26" s="154">
        <f>SUM(F8:F25)</f>
        <v>100</v>
      </c>
      <c r="J26" s="51">
        <f>SUM(J25:J25)</f>
        <v>0</v>
      </c>
      <c r="L26" s="97">
        <f>SUM(L8:L25)</f>
        <v>11</v>
      </c>
      <c r="M26" s="154">
        <f>SUM(M8:M25)</f>
        <v>110</v>
      </c>
      <c r="N26" s="102"/>
      <c r="O26" s="154">
        <f>SUM(O8:O25)</f>
        <v>110</v>
      </c>
      <c r="S26" s="51">
        <f>SUM(S25:S25)</f>
        <v>0</v>
      </c>
      <c r="U26" s="97">
        <f>SUM(U8:U25)</f>
        <v>2</v>
      </c>
      <c r="V26" s="154">
        <f>SUM(V8:V25)</f>
        <v>10</v>
      </c>
      <c r="W26" s="102"/>
      <c r="X26" s="154">
        <f>SUM(X8:X25)</f>
        <v>10</v>
      </c>
    </row>
    <row r="27" spans="1:26" ht="15.75" thickBot="1" x14ac:dyDescent="0.3">
      <c r="A27" s="51"/>
      <c r="J27" s="51"/>
      <c r="S27" s="51"/>
    </row>
    <row r="28" spans="1:26" x14ac:dyDescent="0.25">
      <c r="B28" s="6"/>
      <c r="D28" s="761" t="s">
        <v>21</v>
      </c>
      <c r="E28" s="762"/>
      <c r="F28" s="211">
        <f>E4+E5-F26+E6</f>
        <v>0</v>
      </c>
      <c r="K28" s="6"/>
      <c r="M28" s="761" t="s">
        <v>21</v>
      </c>
      <c r="N28" s="762"/>
      <c r="O28" s="211">
        <f>N4+N5-O26+N6</f>
        <v>0</v>
      </c>
      <c r="T28" s="6"/>
      <c r="V28" s="761" t="s">
        <v>21</v>
      </c>
      <c r="W28" s="762"/>
      <c r="X28" s="211">
        <f>W4+W5-X26+W6</f>
        <v>0</v>
      </c>
    </row>
    <row r="29" spans="1:26" ht="15.75" thickBot="1" x14ac:dyDescent="0.3">
      <c r="A29" s="185"/>
      <c r="D29" s="590" t="s">
        <v>4</v>
      </c>
      <c r="E29" s="591"/>
      <c r="F29" s="53">
        <f>F4+F5-C26+F6</f>
        <v>0</v>
      </c>
      <c r="J29" s="185"/>
      <c r="M29" s="603" t="s">
        <v>4</v>
      </c>
      <c r="N29" s="604"/>
      <c r="O29" s="53">
        <f>O4+O5-L26+O6</f>
        <v>0</v>
      </c>
      <c r="S29" s="185"/>
      <c r="V29" s="679" t="s">
        <v>4</v>
      </c>
      <c r="W29" s="680"/>
      <c r="X29" s="53">
        <f>X4+X5-U26+X6</f>
        <v>0</v>
      </c>
    </row>
    <row r="30" spans="1:26" x14ac:dyDescent="0.25">
      <c r="B30" s="6"/>
      <c r="K30" s="6"/>
      <c r="T30" s="6"/>
    </row>
  </sheetData>
  <mergeCells count="6">
    <mergeCell ref="A1:G1"/>
    <mergeCell ref="D28:E28"/>
    <mergeCell ref="J1:P1"/>
    <mergeCell ref="M28:N28"/>
    <mergeCell ref="S1:Y1"/>
    <mergeCell ref="V28:W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3"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68" t="s">
        <v>166</v>
      </c>
      <c r="B1" s="768"/>
      <c r="C1" s="768"/>
      <c r="D1" s="768"/>
      <c r="E1" s="768"/>
      <c r="F1" s="768"/>
      <c r="G1" s="768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87</v>
      </c>
      <c r="B5" s="207" t="s">
        <v>94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320</v>
      </c>
      <c r="H5" s="8">
        <f>E5-G5+E4+E6</f>
        <v>80</v>
      </c>
    </row>
    <row r="6" spans="1:8" ht="16.5" thickBot="1" x14ac:dyDescent="0.3">
      <c r="B6" s="207"/>
      <c r="C6" s="245">
        <v>139</v>
      </c>
      <c r="D6" s="171">
        <v>43544</v>
      </c>
      <c r="E6" s="413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95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96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398">
        <f>D10</f>
        <v>20</v>
      </c>
      <c r="G10" s="183" t="s">
        <v>97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398">
        <f t="shared" ref="F11:F25" si="1">D11</f>
        <v>40</v>
      </c>
      <c r="G11" s="183" t="s">
        <v>98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398">
        <f t="shared" si="1"/>
        <v>60</v>
      </c>
      <c r="G12" s="183" t="s">
        <v>99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489">
        <f t="shared" si="0"/>
        <v>40</v>
      </c>
      <c r="E13" s="492">
        <v>43558</v>
      </c>
      <c r="F13" s="493">
        <f t="shared" si="1"/>
        <v>40</v>
      </c>
      <c r="G13" s="490" t="s">
        <v>100</v>
      </c>
      <c r="H13" s="491">
        <v>180</v>
      </c>
    </row>
    <row r="14" spans="1:8" x14ac:dyDescent="0.25">
      <c r="B14" s="131">
        <v>20</v>
      </c>
      <c r="C14" s="16">
        <v>1</v>
      </c>
      <c r="D14" s="404">
        <f t="shared" si="0"/>
        <v>20</v>
      </c>
      <c r="E14" s="407">
        <v>43630</v>
      </c>
      <c r="F14" s="532">
        <f t="shared" si="1"/>
        <v>20</v>
      </c>
      <c r="G14" s="279" t="s">
        <v>104</v>
      </c>
      <c r="H14" s="170">
        <v>180</v>
      </c>
    </row>
    <row r="15" spans="1:8" x14ac:dyDescent="0.25">
      <c r="B15" s="131">
        <v>20</v>
      </c>
      <c r="C15" s="16">
        <v>1</v>
      </c>
      <c r="D15" s="523">
        <f t="shared" si="0"/>
        <v>20</v>
      </c>
      <c r="E15" s="528">
        <v>43648</v>
      </c>
      <c r="F15" s="586">
        <f t="shared" si="1"/>
        <v>20</v>
      </c>
      <c r="G15" s="524" t="s">
        <v>105</v>
      </c>
      <c r="H15" s="525">
        <v>180</v>
      </c>
    </row>
    <row r="16" spans="1:8" x14ac:dyDescent="0.25">
      <c r="B16" s="131">
        <v>20</v>
      </c>
      <c r="C16" s="16">
        <v>1</v>
      </c>
      <c r="D16" s="523">
        <f t="shared" si="0"/>
        <v>20</v>
      </c>
      <c r="E16" s="528">
        <v>43661</v>
      </c>
      <c r="F16" s="586">
        <f t="shared" si="1"/>
        <v>20</v>
      </c>
      <c r="G16" s="524" t="s">
        <v>106</v>
      </c>
      <c r="H16" s="525">
        <v>180</v>
      </c>
    </row>
    <row r="17" spans="1:8" x14ac:dyDescent="0.25">
      <c r="B17" s="131">
        <v>20</v>
      </c>
      <c r="C17" s="16">
        <v>1</v>
      </c>
      <c r="D17" s="77">
        <f t="shared" si="0"/>
        <v>20</v>
      </c>
      <c r="E17" s="522">
        <v>43731</v>
      </c>
      <c r="F17" s="116">
        <f t="shared" si="1"/>
        <v>20</v>
      </c>
      <c r="G17" s="86" t="s">
        <v>132</v>
      </c>
      <c r="H17" s="78">
        <v>180</v>
      </c>
    </row>
    <row r="18" spans="1:8" x14ac:dyDescent="0.25">
      <c r="B18" s="131">
        <v>20</v>
      </c>
      <c r="C18" s="16">
        <v>2</v>
      </c>
      <c r="D18" s="669">
        <f t="shared" si="0"/>
        <v>40</v>
      </c>
      <c r="E18" s="670">
        <v>43771</v>
      </c>
      <c r="F18" s="671">
        <f t="shared" si="1"/>
        <v>40</v>
      </c>
      <c r="G18" s="418" t="s">
        <v>422</v>
      </c>
      <c r="H18" s="387">
        <v>180</v>
      </c>
    </row>
    <row r="19" spans="1:8" x14ac:dyDescent="0.25">
      <c r="B19" s="131">
        <v>20</v>
      </c>
      <c r="C19" s="16"/>
      <c r="D19" s="669">
        <f t="shared" si="0"/>
        <v>0</v>
      </c>
      <c r="E19" s="670"/>
      <c r="F19" s="671">
        <f t="shared" si="1"/>
        <v>0</v>
      </c>
      <c r="G19" s="418"/>
      <c r="H19" s="387"/>
    </row>
    <row r="20" spans="1:8" x14ac:dyDescent="0.25">
      <c r="B20" s="131">
        <v>20</v>
      </c>
      <c r="C20" s="16"/>
      <c r="D20" s="669">
        <f t="shared" si="0"/>
        <v>0</v>
      </c>
      <c r="E20" s="670"/>
      <c r="F20" s="671">
        <f t="shared" si="1"/>
        <v>0</v>
      </c>
      <c r="G20" s="418"/>
      <c r="H20" s="387"/>
    </row>
    <row r="21" spans="1:8" x14ac:dyDescent="0.25">
      <c r="B21" s="131">
        <v>20</v>
      </c>
      <c r="C21" s="16"/>
      <c r="D21" s="669">
        <f t="shared" si="0"/>
        <v>0</v>
      </c>
      <c r="E21" s="670"/>
      <c r="F21" s="671">
        <f t="shared" si="1"/>
        <v>0</v>
      </c>
      <c r="G21" s="418"/>
      <c r="H21" s="387"/>
    </row>
    <row r="22" spans="1:8" x14ac:dyDescent="0.25">
      <c r="B22" s="131">
        <v>20</v>
      </c>
      <c r="C22" s="16"/>
      <c r="D22" s="669">
        <f t="shared" si="0"/>
        <v>0</v>
      </c>
      <c r="E22" s="670"/>
      <c r="F22" s="671">
        <f t="shared" si="1"/>
        <v>0</v>
      </c>
      <c r="G22" s="418"/>
      <c r="H22" s="387"/>
    </row>
    <row r="23" spans="1:8" x14ac:dyDescent="0.25">
      <c r="B23" s="131">
        <v>20</v>
      </c>
      <c r="C23" s="16"/>
      <c r="D23" s="669">
        <f t="shared" si="0"/>
        <v>0</v>
      </c>
      <c r="E23" s="670"/>
      <c r="F23" s="671">
        <f t="shared" si="1"/>
        <v>0</v>
      </c>
      <c r="G23" s="418"/>
      <c r="H23" s="387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385"/>
      <c r="F25" s="386">
        <f t="shared" si="1"/>
        <v>0</v>
      </c>
      <c r="G25" s="209"/>
      <c r="H25" s="370"/>
    </row>
    <row r="26" spans="1:8" ht="15.75" thickTop="1" x14ac:dyDescent="0.25">
      <c r="A26" s="51">
        <f>SUM(A25:A25)</f>
        <v>0</v>
      </c>
      <c r="C26" s="97">
        <f>SUM(C8:C25)</f>
        <v>16</v>
      </c>
      <c r="D26" s="154">
        <f>SUM(D8:D25)</f>
        <v>320</v>
      </c>
      <c r="E26" s="102"/>
      <c r="F26" s="154">
        <f>SUM(F8:F25)</f>
        <v>320</v>
      </c>
    </row>
    <row r="27" spans="1:8" ht="15.75" thickBot="1" x14ac:dyDescent="0.3">
      <c r="A27" s="51"/>
    </row>
    <row r="28" spans="1:8" x14ac:dyDescent="0.25">
      <c r="B28" s="6"/>
      <c r="D28" s="761" t="s">
        <v>21</v>
      </c>
      <c r="E28" s="762"/>
      <c r="F28" s="211">
        <f>E4+E5-F26+E6</f>
        <v>80</v>
      </c>
    </row>
    <row r="29" spans="1:8" ht="15.75" thickBot="1" x14ac:dyDescent="0.3">
      <c r="A29" s="185"/>
      <c r="D29" s="316" t="s">
        <v>4</v>
      </c>
      <c r="E29" s="317"/>
      <c r="F29" s="53">
        <f>F4+F5-C26+F6</f>
        <v>4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F67"/>
  <sheetViews>
    <sheetView topLeftCell="X1" workbookViewId="0">
      <pane ySplit="7" topLeftCell="A8" activePane="bottomLeft" state="frozen"/>
      <selection activeCell="L1" sqref="L1"/>
      <selection pane="bottomLeft" activeCell="AC11" sqref="AC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</cols>
  <sheetData>
    <row r="1" spans="1:32" ht="40.5" x14ac:dyDescent="0.55000000000000004">
      <c r="A1" s="768" t="s">
        <v>167</v>
      </c>
      <c r="B1" s="768"/>
      <c r="C1" s="768"/>
      <c r="D1" s="768"/>
      <c r="E1" s="768"/>
      <c r="F1" s="768"/>
      <c r="G1" s="768"/>
      <c r="H1" s="12">
        <v>1</v>
      </c>
      <c r="L1" s="768" t="s">
        <v>168</v>
      </c>
      <c r="M1" s="768"/>
      <c r="N1" s="768"/>
      <c r="O1" s="768"/>
      <c r="P1" s="768"/>
      <c r="Q1" s="768"/>
      <c r="R1" s="768"/>
      <c r="S1" s="12">
        <v>2</v>
      </c>
      <c r="W1" s="760" t="s">
        <v>144</v>
      </c>
      <c r="X1" s="760"/>
      <c r="Y1" s="760"/>
      <c r="Z1" s="760"/>
      <c r="AA1" s="760"/>
      <c r="AB1" s="760"/>
      <c r="AC1" s="760"/>
      <c r="AD1" s="12">
        <v>2</v>
      </c>
    </row>
    <row r="2" spans="1:32" ht="15.75" thickBot="1" x14ac:dyDescent="0.3">
      <c r="C2" s="13"/>
      <c r="D2" s="13"/>
      <c r="F2" s="13"/>
      <c r="N2" s="13"/>
      <c r="O2" s="13"/>
      <c r="Q2" s="13"/>
      <c r="Y2" s="13"/>
      <c r="Z2" s="13"/>
      <c r="AB2" s="13"/>
    </row>
    <row r="3" spans="1:32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  <c r="W3" s="81" t="s">
        <v>0</v>
      </c>
      <c r="X3" s="9" t="s">
        <v>1</v>
      </c>
      <c r="Y3" s="10"/>
      <c r="Z3" s="10" t="s">
        <v>2</v>
      </c>
      <c r="AA3" s="10" t="s">
        <v>3</v>
      </c>
      <c r="AB3" s="10" t="s">
        <v>4</v>
      </c>
      <c r="AC3" s="27" t="s">
        <v>20</v>
      </c>
      <c r="AD3" s="38" t="s">
        <v>24</v>
      </c>
    </row>
    <row r="4" spans="1:32" ht="16.5" thickTop="1" x14ac:dyDescent="0.25">
      <c r="B4" s="13"/>
      <c r="C4" s="383"/>
      <c r="D4" s="204"/>
      <c r="E4" s="194"/>
      <c r="F4" s="97"/>
      <c r="G4" s="243"/>
      <c r="M4" s="13"/>
      <c r="N4" s="383"/>
      <c r="O4" s="204"/>
      <c r="P4" s="194"/>
      <c r="Q4" s="97"/>
      <c r="R4" s="243"/>
      <c r="X4" s="13"/>
      <c r="Y4" s="383"/>
      <c r="Z4" s="204"/>
      <c r="AA4" s="194"/>
      <c r="AB4" s="97"/>
      <c r="AC4" s="243"/>
    </row>
    <row r="5" spans="1:32" ht="15.75" customHeight="1" x14ac:dyDescent="0.25">
      <c r="A5" s="773" t="s">
        <v>126</v>
      </c>
      <c r="B5" s="13" t="s">
        <v>114</v>
      </c>
      <c r="C5" s="247">
        <v>65</v>
      </c>
      <c r="D5" s="204">
        <v>43720</v>
      </c>
      <c r="E5" s="194">
        <v>5008.4799999999996</v>
      </c>
      <c r="F5" s="97">
        <v>184</v>
      </c>
      <c r="G5" s="690">
        <f>F62</f>
        <v>5254.579999999999</v>
      </c>
      <c r="H5" s="244">
        <f>E5+E6-G5+E4</f>
        <v>9.0949470177292824E-13</v>
      </c>
      <c r="L5" s="773" t="s">
        <v>126</v>
      </c>
      <c r="M5" s="13" t="s">
        <v>114</v>
      </c>
      <c r="N5" s="247">
        <v>62.3</v>
      </c>
      <c r="O5" s="204">
        <v>43740</v>
      </c>
      <c r="P5" s="194">
        <v>9145.92</v>
      </c>
      <c r="Q5" s="97">
        <v>336</v>
      </c>
      <c r="R5" s="51">
        <f>Q62</f>
        <v>9390.8999999999978</v>
      </c>
      <c r="S5" s="244">
        <f>P5+P6-R5+P4</f>
        <v>1.8189894035458565E-12</v>
      </c>
      <c r="W5" s="773" t="s">
        <v>126</v>
      </c>
      <c r="X5" s="13" t="s">
        <v>114</v>
      </c>
      <c r="Y5" s="247">
        <v>63.5</v>
      </c>
      <c r="Z5" s="204">
        <v>43754</v>
      </c>
      <c r="AA5" s="194">
        <v>9799.2000000000007</v>
      </c>
      <c r="AB5" s="97">
        <v>360</v>
      </c>
      <c r="AC5" s="51">
        <f>AB62</f>
        <v>2504.2399999999998</v>
      </c>
      <c r="AD5" s="244">
        <f>AA5+AA6-AC5+AA4</f>
        <v>7621.6</v>
      </c>
    </row>
    <row r="6" spans="1:32" ht="15.75" customHeight="1" thickBot="1" x14ac:dyDescent="0.3">
      <c r="A6" s="773"/>
      <c r="B6" s="250" t="s">
        <v>43</v>
      </c>
      <c r="C6" s="247"/>
      <c r="D6" s="204"/>
      <c r="E6" s="154">
        <v>246.1</v>
      </c>
      <c r="F6" s="97">
        <v>9</v>
      </c>
      <c r="L6" s="773"/>
      <c r="M6" s="250" t="s">
        <v>43</v>
      </c>
      <c r="N6" s="247"/>
      <c r="O6" s="204"/>
      <c r="P6" s="154">
        <v>244.98</v>
      </c>
      <c r="Q6" s="97">
        <v>9</v>
      </c>
      <c r="W6" s="773"/>
      <c r="X6" s="250" t="s">
        <v>43</v>
      </c>
      <c r="Y6" s="247"/>
      <c r="Z6" s="204"/>
      <c r="AA6" s="154">
        <v>326.64</v>
      </c>
      <c r="AB6" s="97">
        <v>12</v>
      </c>
    </row>
    <row r="7" spans="1:32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  <c r="X7" s="82" t="s">
        <v>7</v>
      </c>
      <c r="Y7" s="28" t="s">
        <v>8</v>
      </c>
      <c r="Z7" s="33" t="s">
        <v>3</v>
      </c>
      <c r="AA7" s="34" t="s">
        <v>2</v>
      </c>
      <c r="AB7" s="10" t="s">
        <v>9</v>
      </c>
      <c r="AC7" s="11" t="s">
        <v>15</v>
      </c>
      <c r="AD7" s="25"/>
    </row>
    <row r="8" spans="1:32" ht="15.75" thickTop="1" x14ac:dyDescent="0.25">
      <c r="A8" s="71" t="s">
        <v>32</v>
      </c>
      <c r="B8" s="637">
        <v>27.24</v>
      </c>
      <c r="C8" s="627">
        <v>32</v>
      </c>
      <c r="D8" s="636">
        <f t="shared" ref="D8:D61" si="0">C8*B8</f>
        <v>871.68</v>
      </c>
      <c r="E8" s="126">
        <v>43741</v>
      </c>
      <c r="F8" s="89">
        <f t="shared" ref="F8:F61" si="1">D8</f>
        <v>871.68</v>
      </c>
      <c r="G8" s="90" t="s">
        <v>150</v>
      </c>
      <c r="H8" s="91">
        <v>70</v>
      </c>
      <c r="I8" s="396">
        <f>E5-F8+E4+E6</f>
        <v>4382.8999999999996</v>
      </c>
      <c r="J8" s="97">
        <f>F5-C8+F4+F6</f>
        <v>161</v>
      </c>
      <c r="L8" s="71" t="s">
        <v>32</v>
      </c>
      <c r="M8" s="2">
        <v>27.22</v>
      </c>
      <c r="N8" s="16">
        <v>19</v>
      </c>
      <c r="O8" s="89">
        <f t="shared" ref="O8:O61" si="2">N8*M8</f>
        <v>517.17999999999995</v>
      </c>
      <c r="P8" s="126">
        <v>43749</v>
      </c>
      <c r="Q8" s="89">
        <f t="shared" ref="Q8:Q61" si="3">O8</f>
        <v>517.17999999999995</v>
      </c>
      <c r="R8" s="90" t="s">
        <v>223</v>
      </c>
      <c r="S8" s="91">
        <v>70</v>
      </c>
      <c r="T8" s="396">
        <f>P5-Q8+P4+P6</f>
        <v>8873.7199999999993</v>
      </c>
      <c r="U8" s="97">
        <f>Q5-N8+Q4+Q6</f>
        <v>326</v>
      </c>
      <c r="W8" s="71" t="s">
        <v>32</v>
      </c>
      <c r="X8" s="2">
        <v>27.22</v>
      </c>
      <c r="Y8" s="62">
        <v>36</v>
      </c>
      <c r="Z8" s="134">
        <f t="shared" ref="Z8" si="4">Y8*X8</f>
        <v>979.92</v>
      </c>
      <c r="AA8" s="722">
        <v>43770</v>
      </c>
      <c r="AB8" s="89">
        <f t="shared" ref="AB8" si="5">Z8</f>
        <v>979.92</v>
      </c>
      <c r="AC8" s="90" t="s">
        <v>404</v>
      </c>
      <c r="AD8" s="91">
        <v>70</v>
      </c>
      <c r="AE8" s="396">
        <f>AA5-AB8+AA4+AA6</f>
        <v>9145.92</v>
      </c>
      <c r="AF8" s="97">
        <f>AB5-Y8+AB4+AB6</f>
        <v>336</v>
      </c>
    </row>
    <row r="9" spans="1:32" x14ac:dyDescent="0.25">
      <c r="A9" s="200"/>
      <c r="B9" s="637">
        <v>27.24</v>
      </c>
      <c r="C9" s="627">
        <v>24</v>
      </c>
      <c r="D9" s="636">
        <f t="shared" si="0"/>
        <v>653.76</v>
      </c>
      <c r="E9" s="126">
        <v>43742</v>
      </c>
      <c r="F9" s="89">
        <f t="shared" si="1"/>
        <v>653.76</v>
      </c>
      <c r="G9" s="90" t="s">
        <v>152</v>
      </c>
      <c r="H9" s="91">
        <v>70</v>
      </c>
      <c r="I9" s="396">
        <f>I8-F9</f>
        <v>3729.1399999999994</v>
      </c>
      <c r="J9" s="97">
        <f>J8-C9</f>
        <v>137</v>
      </c>
      <c r="L9" s="200"/>
      <c r="M9" s="2">
        <v>27.22</v>
      </c>
      <c r="N9" s="16">
        <v>28</v>
      </c>
      <c r="O9" s="89">
        <f t="shared" si="2"/>
        <v>762.16</v>
      </c>
      <c r="P9" s="126">
        <v>43749</v>
      </c>
      <c r="Q9" s="89">
        <f t="shared" si="3"/>
        <v>762.16</v>
      </c>
      <c r="R9" s="90" t="s">
        <v>224</v>
      </c>
      <c r="S9" s="91">
        <v>70</v>
      </c>
      <c r="T9" s="396">
        <f>T8-Q9</f>
        <v>8111.5599999999995</v>
      </c>
      <c r="U9" s="97">
        <f>U8-N9</f>
        <v>298</v>
      </c>
      <c r="W9" s="200"/>
      <c r="X9" s="2">
        <v>27.22</v>
      </c>
      <c r="Y9" s="16">
        <v>28</v>
      </c>
      <c r="Z9" s="89">
        <f t="shared" ref="Z9:Z61" si="6">Y9*X9</f>
        <v>762.16</v>
      </c>
      <c r="AA9" s="126">
        <v>43771</v>
      </c>
      <c r="AB9" s="89">
        <f t="shared" ref="AB9:AB61" si="7">Z9</f>
        <v>762.16</v>
      </c>
      <c r="AC9" s="90" t="s">
        <v>411</v>
      </c>
      <c r="AD9" s="91">
        <v>70</v>
      </c>
      <c r="AE9" s="396">
        <f>AE8-AB9</f>
        <v>8383.76</v>
      </c>
      <c r="AF9" s="97">
        <f>AF8-Y9</f>
        <v>308</v>
      </c>
    </row>
    <row r="10" spans="1:32" x14ac:dyDescent="0.25">
      <c r="A10" s="201"/>
      <c r="B10" s="2">
        <v>27.22</v>
      </c>
      <c r="C10" s="16">
        <v>28</v>
      </c>
      <c r="D10" s="89">
        <f t="shared" si="0"/>
        <v>762.16</v>
      </c>
      <c r="E10" s="126">
        <v>43745</v>
      </c>
      <c r="F10" s="89">
        <f t="shared" si="1"/>
        <v>762.16</v>
      </c>
      <c r="G10" s="90" t="s">
        <v>157</v>
      </c>
      <c r="H10" s="91">
        <v>70</v>
      </c>
      <c r="I10" s="396">
        <f t="shared" ref="I10:I60" si="8">I9-F10</f>
        <v>2966.9799999999996</v>
      </c>
      <c r="J10" s="97">
        <f t="shared" ref="J10:J60" si="9">J9-C10</f>
        <v>109</v>
      </c>
      <c r="L10" s="201"/>
      <c r="M10" s="2">
        <v>27.22</v>
      </c>
      <c r="N10" s="16">
        <v>28</v>
      </c>
      <c r="O10" s="89">
        <f t="shared" si="2"/>
        <v>762.16</v>
      </c>
      <c r="P10" s="126">
        <v>43756</v>
      </c>
      <c r="Q10" s="89">
        <f t="shared" si="3"/>
        <v>762.16</v>
      </c>
      <c r="R10" s="90" t="s">
        <v>297</v>
      </c>
      <c r="S10" s="91">
        <v>70</v>
      </c>
      <c r="T10" s="396">
        <f t="shared" ref="T10:T60" si="10">T9-Q10</f>
        <v>7349.4</v>
      </c>
      <c r="U10" s="97">
        <f t="shared" ref="U10:U60" si="11">U9-N10</f>
        <v>270</v>
      </c>
      <c r="W10" s="201"/>
      <c r="X10" s="2">
        <v>27.22</v>
      </c>
      <c r="Y10" s="16">
        <v>28</v>
      </c>
      <c r="Z10" s="89">
        <f t="shared" si="6"/>
        <v>762.16</v>
      </c>
      <c r="AA10" s="126">
        <v>43771</v>
      </c>
      <c r="AB10" s="89">
        <f t="shared" si="7"/>
        <v>762.16</v>
      </c>
      <c r="AC10" s="90" t="s">
        <v>420</v>
      </c>
      <c r="AD10" s="91">
        <v>70</v>
      </c>
      <c r="AE10" s="396">
        <f t="shared" ref="AE10:AE60" si="12">AE9-AB10</f>
        <v>7621.6</v>
      </c>
      <c r="AF10" s="97">
        <f t="shared" ref="AF10:AF60" si="13">AF9-Y10</f>
        <v>280</v>
      </c>
    </row>
    <row r="11" spans="1:32" x14ac:dyDescent="0.25">
      <c r="A11" s="71"/>
      <c r="B11" s="2">
        <v>27.22</v>
      </c>
      <c r="C11" s="16">
        <v>24</v>
      </c>
      <c r="D11" s="89">
        <f t="shared" si="0"/>
        <v>653.28</v>
      </c>
      <c r="E11" s="126">
        <v>43745</v>
      </c>
      <c r="F11" s="89">
        <f t="shared" si="1"/>
        <v>653.28</v>
      </c>
      <c r="G11" s="90" t="s">
        <v>157</v>
      </c>
      <c r="H11" s="91">
        <v>70</v>
      </c>
      <c r="I11" s="396">
        <f t="shared" si="8"/>
        <v>2313.6999999999998</v>
      </c>
      <c r="J11" s="97">
        <f t="shared" si="9"/>
        <v>85</v>
      </c>
      <c r="L11" s="71" t="s">
        <v>33</v>
      </c>
      <c r="M11" s="2">
        <v>27.22</v>
      </c>
      <c r="N11" s="16">
        <v>28</v>
      </c>
      <c r="O11" s="89">
        <f t="shared" si="2"/>
        <v>762.16</v>
      </c>
      <c r="P11" s="126">
        <v>43759</v>
      </c>
      <c r="Q11" s="89">
        <f t="shared" si="3"/>
        <v>762.16</v>
      </c>
      <c r="R11" s="90" t="s">
        <v>297</v>
      </c>
      <c r="S11" s="91">
        <v>70</v>
      </c>
      <c r="T11" s="396">
        <f t="shared" si="10"/>
        <v>6587.24</v>
      </c>
      <c r="U11" s="97">
        <f t="shared" si="11"/>
        <v>242</v>
      </c>
      <c r="W11" s="71" t="s">
        <v>33</v>
      </c>
      <c r="X11" s="2">
        <v>27.22</v>
      </c>
      <c r="Y11" s="16"/>
      <c r="Z11" s="134">
        <f t="shared" si="6"/>
        <v>0</v>
      </c>
      <c r="AA11" s="722"/>
      <c r="AB11" s="89">
        <f t="shared" si="7"/>
        <v>0</v>
      </c>
      <c r="AC11" s="90"/>
      <c r="AD11" s="91"/>
      <c r="AE11" s="396">
        <f t="shared" si="12"/>
        <v>7621.6</v>
      </c>
      <c r="AF11" s="97">
        <f t="shared" si="13"/>
        <v>280</v>
      </c>
    </row>
    <row r="12" spans="1:32" x14ac:dyDescent="0.25">
      <c r="A12" s="200"/>
      <c r="B12" s="2">
        <v>27.22</v>
      </c>
      <c r="C12" s="16">
        <v>24</v>
      </c>
      <c r="D12" s="669">
        <f t="shared" si="0"/>
        <v>653.28</v>
      </c>
      <c r="E12" s="670">
        <v>43747</v>
      </c>
      <c r="F12" s="669">
        <f t="shared" si="1"/>
        <v>653.28</v>
      </c>
      <c r="G12" s="672" t="s">
        <v>215</v>
      </c>
      <c r="H12" s="387">
        <v>70</v>
      </c>
      <c r="I12" s="396">
        <f t="shared" si="8"/>
        <v>1660.4199999999998</v>
      </c>
      <c r="J12" s="97">
        <f t="shared" si="9"/>
        <v>61</v>
      </c>
      <c r="L12" s="200"/>
      <c r="M12" s="2">
        <v>27.22</v>
      </c>
      <c r="N12" s="16">
        <v>28</v>
      </c>
      <c r="O12" s="89">
        <f t="shared" ref="O12:O20" si="14">N12*M12</f>
        <v>762.16</v>
      </c>
      <c r="P12" s="126">
        <v>43759</v>
      </c>
      <c r="Q12" s="89">
        <f t="shared" ref="Q12:Q20" si="15">O12</f>
        <v>762.16</v>
      </c>
      <c r="R12" s="90" t="s">
        <v>317</v>
      </c>
      <c r="S12" s="91">
        <v>70</v>
      </c>
      <c r="T12" s="396">
        <f t="shared" si="10"/>
        <v>5825.08</v>
      </c>
      <c r="U12" s="97">
        <f t="shared" si="11"/>
        <v>214</v>
      </c>
      <c r="W12" s="200"/>
      <c r="X12" s="2">
        <v>27.22</v>
      </c>
      <c r="Y12" s="16"/>
      <c r="Z12" s="134">
        <f t="shared" si="6"/>
        <v>0</v>
      </c>
      <c r="AA12" s="119"/>
      <c r="AB12" s="89">
        <f t="shared" si="7"/>
        <v>0</v>
      </c>
      <c r="AC12" s="90"/>
      <c r="AD12" s="91"/>
      <c r="AE12" s="396">
        <f t="shared" si="12"/>
        <v>7621.6</v>
      </c>
      <c r="AF12" s="97">
        <f t="shared" si="13"/>
        <v>280</v>
      </c>
    </row>
    <row r="13" spans="1:32" x14ac:dyDescent="0.25">
      <c r="A13" s="97"/>
      <c r="B13" s="2">
        <v>27.22</v>
      </c>
      <c r="C13" s="16">
        <v>24</v>
      </c>
      <c r="D13" s="669">
        <f t="shared" si="0"/>
        <v>653.28</v>
      </c>
      <c r="E13" s="670">
        <v>43747</v>
      </c>
      <c r="F13" s="669">
        <f t="shared" si="1"/>
        <v>653.28</v>
      </c>
      <c r="G13" s="672" t="s">
        <v>216</v>
      </c>
      <c r="H13" s="387">
        <v>70</v>
      </c>
      <c r="I13" s="396">
        <f t="shared" si="8"/>
        <v>1007.1399999999999</v>
      </c>
      <c r="J13" s="97">
        <f t="shared" si="9"/>
        <v>37</v>
      </c>
      <c r="L13" s="97"/>
      <c r="M13" s="2">
        <v>27.22</v>
      </c>
      <c r="N13" s="16">
        <v>28</v>
      </c>
      <c r="O13" s="89">
        <f t="shared" si="14"/>
        <v>762.16</v>
      </c>
      <c r="P13" s="126">
        <v>43759</v>
      </c>
      <c r="Q13" s="89">
        <f t="shared" si="15"/>
        <v>762.16</v>
      </c>
      <c r="R13" s="90" t="s">
        <v>319</v>
      </c>
      <c r="S13" s="91">
        <v>70</v>
      </c>
      <c r="T13" s="396">
        <f t="shared" si="10"/>
        <v>5062.92</v>
      </c>
      <c r="U13" s="97">
        <f t="shared" si="11"/>
        <v>186</v>
      </c>
      <c r="W13" s="97"/>
      <c r="X13" s="2">
        <v>27.22</v>
      </c>
      <c r="Y13" s="16"/>
      <c r="Z13" s="134">
        <f t="shared" si="6"/>
        <v>0</v>
      </c>
      <c r="AA13" s="119"/>
      <c r="AB13" s="89">
        <f t="shared" si="7"/>
        <v>0</v>
      </c>
      <c r="AC13" s="90"/>
      <c r="AD13" s="91"/>
      <c r="AE13" s="396">
        <f t="shared" si="12"/>
        <v>7621.6</v>
      </c>
      <c r="AF13" s="97">
        <f t="shared" si="13"/>
        <v>280</v>
      </c>
    </row>
    <row r="14" spans="1:32" x14ac:dyDescent="0.25">
      <c r="B14" s="2">
        <v>27.22</v>
      </c>
      <c r="C14" s="16">
        <v>28</v>
      </c>
      <c r="D14" s="669">
        <f t="shared" si="0"/>
        <v>762.16</v>
      </c>
      <c r="E14" s="670">
        <v>43749</v>
      </c>
      <c r="F14" s="669">
        <f t="shared" si="1"/>
        <v>762.16</v>
      </c>
      <c r="G14" s="418" t="s">
        <v>223</v>
      </c>
      <c r="H14" s="387">
        <v>70</v>
      </c>
      <c r="I14" s="396">
        <f t="shared" si="8"/>
        <v>244.9799999999999</v>
      </c>
      <c r="J14" s="97">
        <f t="shared" si="9"/>
        <v>9</v>
      </c>
      <c r="M14" s="2">
        <v>27.22</v>
      </c>
      <c r="N14" s="16">
        <v>28</v>
      </c>
      <c r="O14" s="134">
        <f t="shared" si="14"/>
        <v>762.16</v>
      </c>
      <c r="P14" s="722">
        <v>43761</v>
      </c>
      <c r="Q14" s="89">
        <f t="shared" si="15"/>
        <v>762.16</v>
      </c>
      <c r="R14" s="90" t="s">
        <v>369</v>
      </c>
      <c r="S14" s="91">
        <v>70</v>
      </c>
      <c r="T14" s="396">
        <f t="shared" si="10"/>
        <v>4300.76</v>
      </c>
      <c r="U14" s="97">
        <f t="shared" si="11"/>
        <v>158</v>
      </c>
      <c r="X14" s="2">
        <v>27.22</v>
      </c>
      <c r="Y14" s="16"/>
      <c r="Z14" s="134">
        <f t="shared" si="6"/>
        <v>0</v>
      </c>
      <c r="AA14" s="119"/>
      <c r="AB14" s="89">
        <f t="shared" si="7"/>
        <v>0</v>
      </c>
      <c r="AC14" s="90"/>
      <c r="AD14" s="91"/>
      <c r="AE14" s="396">
        <f t="shared" si="12"/>
        <v>7621.6</v>
      </c>
      <c r="AF14" s="97">
        <f t="shared" si="13"/>
        <v>280</v>
      </c>
    </row>
    <row r="15" spans="1:32" x14ac:dyDescent="0.25">
      <c r="B15" s="2">
        <v>27.22</v>
      </c>
      <c r="C15" s="16"/>
      <c r="D15" s="669">
        <f t="shared" si="0"/>
        <v>0</v>
      </c>
      <c r="E15" s="673"/>
      <c r="F15" s="669">
        <f t="shared" si="1"/>
        <v>0</v>
      </c>
      <c r="G15" s="685"/>
      <c r="H15" s="686"/>
      <c r="I15" s="687">
        <f t="shared" si="8"/>
        <v>244.9799999999999</v>
      </c>
      <c r="J15" s="688">
        <f t="shared" si="9"/>
        <v>9</v>
      </c>
      <c r="M15" s="2">
        <v>27.22</v>
      </c>
      <c r="N15" s="16">
        <v>28</v>
      </c>
      <c r="O15" s="134">
        <f t="shared" si="14"/>
        <v>762.16</v>
      </c>
      <c r="P15" s="722">
        <v>43762</v>
      </c>
      <c r="Q15" s="89">
        <f t="shared" si="15"/>
        <v>762.16</v>
      </c>
      <c r="R15" s="90" t="s">
        <v>372</v>
      </c>
      <c r="S15" s="91">
        <v>70</v>
      </c>
      <c r="T15" s="396">
        <f t="shared" si="10"/>
        <v>3538.6000000000004</v>
      </c>
      <c r="U15" s="97">
        <f t="shared" si="11"/>
        <v>130</v>
      </c>
      <c r="X15" s="2">
        <v>27.22</v>
      </c>
      <c r="Y15" s="16"/>
      <c r="Z15" s="134">
        <f t="shared" si="6"/>
        <v>0</v>
      </c>
      <c r="AA15" s="722"/>
      <c r="AB15" s="89">
        <f t="shared" si="7"/>
        <v>0</v>
      </c>
      <c r="AC15" s="90"/>
      <c r="AD15" s="91"/>
      <c r="AE15" s="396">
        <f t="shared" si="12"/>
        <v>7621.6</v>
      </c>
      <c r="AF15" s="97">
        <f t="shared" si="13"/>
        <v>280</v>
      </c>
    </row>
    <row r="16" spans="1:32" x14ac:dyDescent="0.25">
      <c r="B16" s="2">
        <v>27.22</v>
      </c>
      <c r="C16" s="16"/>
      <c r="D16" s="669">
        <f t="shared" si="0"/>
        <v>0</v>
      </c>
      <c r="E16" s="673"/>
      <c r="F16" s="669">
        <f t="shared" si="1"/>
        <v>0</v>
      </c>
      <c r="G16" s="685"/>
      <c r="H16" s="686"/>
      <c r="I16" s="687">
        <f t="shared" si="8"/>
        <v>244.9799999999999</v>
      </c>
      <c r="J16" s="688">
        <f t="shared" si="9"/>
        <v>9</v>
      </c>
      <c r="M16" s="2">
        <v>27.22</v>
      </c>
      <c r="N16" s="16">
        <v>28</v>
      </c>
      <c r="O16" s="134">
        <f t="shared" si="14"/>
        <v>762.16</v>
      </c>
      <c r="P16" s="119">
        <v>43763</v>
      </c>
      <c r="Q16" s="89">
        <f t="shared" si="15"/>
        <v>762.16</v>
      </c>
      <c r="R16" s="90" t="s">
        <v>378</v>
      </c>
      <c r="S16" s="91">
        <v>70</v>
      </c>
      <c r="T16" s="396">
        <f t="shared" si="10"/>
        <v>2776.4400000000005</v>
      </c>
      <c r="U16" s="97">
        <f t="shared" si="11"/>
        <v>102</v>
      </c>
      <c r="X16" s="2">
        <v>27.22</v>
      </c>
      <c r="Y16" s="62"/>
      <c r="Z16" s="134">
        <f t="shared" si="6"/>
        <v>0</v>
      </c>
      <c r="AA16" s="722"/>
      <c r="AB16" s="89">
        <f t="shared" si="7"/>
        <v>0</v>
      </c>
      <c r="AC16" s="90"/>
      <c r="AD16" s="91"/>
      <c r="AE16" s="396">
        <f t="shared" si="12"/>
        <v>7621.6</v>
      </c>
      <c r="AF16" s="97">
        <f t="shared" si="13"/>
        <v>280</v>
      </c>
    </row>
    <row r="17" spans="1:32" x14ac:dyDescent="0.25">
      <c r="B17" s="2">
        <v>27.22</v>
      </c>
      <c r="C17" s="16">
        <v>9</v>
      </c>
      <c r="D17" s="669">
        <f t="shared" si="0"/>
        <v>244.98</v>
      </c>
      <c r="E17" s="673"/>
      <c r="F17" s="669">
        <f t="shared" si="1"/>
        <v>244.98</v>
      </c>
      <c r="G17" s="685"/>
      <c r="H17" s="686"/>
      <c r="I17" s="687">
        <f t="shared" si="8"/>
        <v>0</v>
      </c>
      <c r="J17" s="688">
        <f t="shared" si="9"/>
        <v>0</v>
      </c>
      <c r="M17" s="2">
        <v>27.22</v>
      </c>
      <c r="N17" s="16">
        <v>28</v>
      </c>
      <c r="O17" s="134">
        <f t="shared" si="14"/>
        <v>762.16</v>
      </c>
      <c r="P17" s="119">
        <v>43763</v>
      </c>
      <c r="Q17" s="89">
        <f t="shared" si="15"/>
        <v>762.16</v>
      </c>
      <c r="R17" s="90" t="s">
        <v>379</v>
      </c>
      <c r="S17" s="91">
        <v>70</v>
      </c>
      <c r="T17" s="396">
        <f t="shared" si="10"/>
        <v>2014.2800000000007</v>
      </c>
      <c r="U17" s="97">
        <f t="shared" si="11"/>
        <v>74</v>
      </c>
      <c r="X17" s="2">
        <v>27.22</v>
      </c>
      <c r="Y17" s="16"/>
      <c r="Z17" s="89">
        <f t="shared" si="6"/>
        <v>0</v>
      </c>
      <c r="AA17" s="126"/>
      <c r="AB17" s="89">
        <f t="shared" si="7"/>
        <v>0</v>
      </c>
      <c r="AC17" s="90"/>
      <c r="AD17" s="91"/>
      <c r="AE17" s="396">
        <f t="shared" si="12"/>
        <v>7621.6</v>
      </c>
      <c r="AF17" s="97">
        <f t="shared" si="13"/>
        <v>280</v>
      </c>
    </row>
    <row r="18" spans="1:32" x14ac:dyDescent="0.25">
      <c r="B18" s="2">
        <v>27.22</v>
      </c>
      <c r="C18" s="16"/>
      <c r="D18" s="669">
        <f t="shared" si="0"/>
        <v>0</v>
      </c>
      <c r="E18" s="673"/>
      <c r="F18" s="669">
        <f t="shared" si="1"/>
        <v>0</v>
      </c>
      <c r="G18" s="685"/>
      <c r="H18" s="686"/>
      <c r="I18" s="687">
        <f t="shared" si="8"/>
        <v>0</v>
      </c>
      <c r="J18" s="688">
        <f t="shared" si="9"/>
        <v>0</v>
      </c>
      <c r="M18" s="2">
        <v>27.22</v>
      </c>
      <c r="N18" s="16">
        <v>31</v>
      </c>
      <c r="O18" s="134">
        <f t="shared" si="14"/>
        <v>843.81999999999994</v>
      </c>
      <c r="P18" s="119">
        <v>43764</v>
      </c>
      <c r="Q18" s="89">
        <f t="shared" si="15"/>
        <v>843.81999999999994</v>
      </c>
      <c r="R18" s="90" t="s">
        <v>383</v>
      </c>
      <c r="S18" s="91">
        <v>70</v>
      </c>
      <c r="T18" s="396">
        <f t="shared" si="10"/>
        <v>1170.4600000000007</v>
      </c>
      <c r="U18" s="97">
        <f t="shared" si="11"/>
        <v>43</v>
      </c>
      <c r="X18" s="2">
        <v>27.22</v>
      </c>
      <c r="Y18" s="16"/>
      <c r="Z18" s="89">
        <f t="shared" si="6"/>
        <v>0</v>
      </c>
      <c r="AA18" s="126"/>
      <c r="AB18" s="89">
        <f t="shared" si="7"/>
        <v>0</v>
      </c>
      <c r="AC18" s="90"/>
      <c r="AD18" s="91"/>
      <c r="AE18" s="396">
        <f t="shared" si="12"/>
        <v>7621.6</v>
      </c>
      <c r="AF18" s="97">
        <f t="shared" si="13"/>
        <v>280</v>
      </c>
    </row>
    <row r="19" spans="1:32" x14ac:dyDescent="0.25">
      <c r="B19" s="2">
        <v>27.22</v>
      </c>
      <c r="C19" s="16"/>
      <c r="D19" s="674">
        <f t="shared" si="0"/>
        <v>0</v>
      </c>
      <c r="E19" s="670"/>
      <c r="F19" s="669">
        <f t="shared" si="1"/>
        <v>0</v>
      </c>
      <c r="G19" s="689"/>
      <c r="H19" s="686"/>
      <c r="I19" s="687">
        <f t="shared" si="8"/>
        <v>0</v>
      </c>
      <c r="J19" s="688">
        <f t="shared" si="9"/>
        <v>0</v>
      </c>
      <c r="M19" s="2">
        <v>27.22</v>
      </c>
      <c r="N19" s="16">
        <v>31</v>
      </c>
      <c r="O19" s="134">
        <f t="shared" si="14"/>
        <v>843.81999999999994</v>
      </c>
      <c r="P19" s="722">
        <v>43769</v>
      </c>
      <c r="Q19" s="89">
        <f t="shared" si="15"/>
        <v>843.81999999999994</v>
      </c>
      <c r="R19" s="90" t="s">
        <v>401</v>
      </c>
      <c r="S19" s="91">
        <v>70</v>
      </c>
      <c r="T19" s="396">
        <f t="shared" si="10"/>
        <v>326.64000000000078</v>
      </c>
      <c r="U19" s="97">
        <f t="shared" si="11"/>
        <v>12</v>
      </c>
      <c r="X19" s="2">
        <v>27.22</v>
      </c>
      <c r="Y19" s="16"/>
      <c r="Z19" s="419">
        <f t="shared" si="6"/>
        <v>0</v>
      </c>
      <c r="AA19" s="119"/>
      <c r="AB19" s="89">
        <f t="shared" si="7"/>
        <v>0</v>
      </c>
      <c r="AC19" s="90"/>
      <c r="AD19" s="91"/>
      <c r="AE19" s="396">
        <f t="shared" si="12"/>
        <v>7621.6</v>
      </c>
      <c r="AF19" s="97">
        <f t="shared" si="13"/>
        <v>280</v>
      </c>
    </row>
    <row r="20" spans="1:32" x14ac:dyDescent="0.25">
      <c r="B20" s="2">
        <v>27.22</v>
      </c>
      <c r="C20" s="16"/>
      <c r="D20" s="674">
        <f t="shared" si="0"/>
        <v>0</v>
      </c>
      <c r="E20" s="670"/>
      <c r="F20" s="669">
        <f t="shared" si="1"/>
        <v>0</v>
      </c>
      <c r="G20" s="689"/>
      <c r="H20" s="686"/>
      <c r="I20" s="687">
        <f t="shared" si="8"/>
        <v>0</v>
      </c>
      <c r="J20" s="688">
        <f t="shared" si="9"/>
        <v>0</v>
      </c>
      <c r="M20" s="2">
        <v>27.22</v>
      </c>
      <c r="N20" s="62"/>
      <c r="O20" s="134">
        <f t="shared" si="14"/>
        <v>0</v>
      </c>
      <c r="P20" s="722"/>
      <c r="Q20" s="89">
        <f t="shared" si="15"/>
        <v>0</v>
      </c>
      <c r="R20" s="90"/>
      <c r="S20" s="91"/>
      <c r="T20" s="687">
        <f t="shared" si="10"/>
        <v>326.64000000000078</v>
      </c>
      <c r="U20" s="97">
        <f t="shared" si="11"/>
        <v>12</v>
      </c>
      <c r="X20" s="2">
        <v>27.22</v>
      </c>
      <c r="Y20" s="16"/>
      <c r="Z20" s="419">
        <f t="shared" si="6"/>
        <v>0</v>
      </c>
      <c r="AA20" s="119"/>
      <c r="AB20" s="89">
        <f t="shared" si="7"/>
        <v>0</v>
      </c>
      <c r="AC20" s="90"/>
      <c r="AD20" s="91"/>
      <c r="AE20" s="396">
        <f t="shared" si="12"/>
        <v>7621.6</v>
      </c>
      <c r="AF20" s="97">
        <f t="shared" si="13"/>
        <v>280</v>
      </c>
    </row>
    <row r="21" spans="1:32" x14ac:dyDescent="0.25">
      <c r="A21" t="s">
        <v>22</v>
      </c>
      <c r="B21" s="2">
        <v>27.22</v>
      </c>
      <c r="C21" s="16"/>
      <c r="D21" s="674">
        <f t="shared" si="0"/>
        <v>0</v>
      </c>
      <c r="E21" s="670"/>
      <c r="F21" s="669">
        <f t="shared" si="1"/>
        <v>0</v>
      </c>
      <c r="G21" s="685"/>
      <c r="H21" s="686"/>
      <c r="I21" s="687">
        <f t="shared" si="8"/>
        <v>0</v>
      </c>
      <c r="J21" s="688">
        <f t="shared" si="9"/>
        <v>0</v>
      </c>
      <c r="L21" t="s">
        <v>22</v>
      </c>
      <c r="M21" s="2">
        <v>27.22</v>
      </c>
      <c r="N21" s="16"/>
      <c r="O21" s="419">
        <f t="shared" si="2"/>
        <v>0</v>
      </c>
      <c r="P21" s="119"/>
      <c r="Q21" s="89">
        <f t="shared" si="3"/>
        <v>0</v>
      </c>
      <c r="R21" s="707"/>
      <c r="S21" s="726"/>
      <c r="T21" s="687">
        <f t="shared" si="10"/>
        <v>326.64000000000078</v>
      </c>
      <c r="U21" s="97">
        <f t="shared" si="11"/>
        <v>12</v>
      </c>
      <c r="W21" t="s">
        <v>22</v>
      </c>
      <c r="X21" s="2">
        <v>27.22</v>
      </c>
      <c r="Y21" s="16"/>
      <c r="Z21" s="419">
        <f t="shared" si="6"/>
        <v>0</v>
      </c>
      <c r="AA21" s="119"/>
      <c r="AB21" s="89">
        <f t="shared" si="7"/>
        <v>0</v>
      </c>
      <c r="AC21" s="90"/>
      <c r="AD21" s="91"/>
      <c r="AE21" s="396">
        <f t="shared" si="12"/>
        <v>7621.6</v>
      </c>
      <c r="AF21" s="97">
        <f t="shared" si="13"/>
        <v>280</v>
      </c>
    </row>
    <row r="22" spans="1:32" x14ac:dyDescent="0.25">
      <c r="B22" s="2">
        <v>27.22</v>
      </c>
      <c r="C22" s="16"/>
      <c r="D22" s="669">
        <f t="shared" si="0"/>
        <v>0</v>
      </c>
      <c r="E22" s="673"/>
      <c r="F22" s="669">
        <f t="shared" si="1"/>
        <v>0</v>
      </c>
      <c r="G22" s="418"/>
      <c r="H22" s="387"/>
      <c r="I22" s="396">
        <f t="shared" si="8"/>
        <v>0</v>
      </c>
      <c r="J22" s="97">
        <f t="shared" si="9"/>
        <v>0</v>
      </c>
      <c r="M22" s="2">
        <v>27.22</v>
      </c>
      <c r="N22" s="16">
        <v>12</v>
      </c>
      <c r="O22" s="404">
        <f t="shared" si="2"/>
        <v>326.64</v>
      </c>
      <c r="P22" s="409"/>
      <c r="Q22" s="404">
        <f t="shared" si="3"/>
        <v>326.64</v>
      </c>
      <c r="R22" s="704"/>
      <c r="S22" s="726"/>
      <c r="T22" s="687">
        <f t="shared" si="10"/>
        <v>7.9580786405131221E-13</v>
      </c>
      <c r="U22" s="97">
        <f t="shared" si="11"/>
        <v>0</v>
      </c>
      <c r="X22" s="2">
        <v>27.22</v>
      </c>
      <c r="Y22" s="16"/>
      <c r="Z22" s="89">
        <f t="shared" si="6"/>
        <v>0</v>
      </c>
      <c r="AA22" s="126"/>
      <c r="AB22" s="89">
        <f t="shared" si="7"/>
        <v>0</v>
      </c>
      <c r="AC22" s="90"/>
      <c r="AD22" s="91"/>
      <c r="AE22" s="396">
        <f t="shared" si="12"/>
        <v>7621.6</v>
      </c>
      <c r="AF22" s="97">
        <f t="shared" si="13"/>
        <v>280</v>
      </c>
    </row>
    <row r="23" spans="1:32" x14ac:dyDescent="0.25">
      <c r="B23" s="2">
        <v>27.22</v>
      </c>
      <c r="C23" s="16"/>
      <c r="D23" s="674">
        <f t="shared" si="0"/>
        <v>0</v>
      </c>
      <c r="E23" s="670"/>
      <c r="F23" s="669">
        <f t="shared" si="1"/>
        <v>0</v>
      </c>
      <c r="G23" s="418"/>
      <c r="H23" s="387"/>
      <c r="I23" s="396">
        <f t="shared" si="8"/>
        <v>0</v>
      </c>
      <c r="J23" s="97">
        <f t="shared" si="9"/>
        <v>0</v>
      </c>
      <c r="M23" s="2">
        <v>27.22</v>
      </c>
      <c r="N23" s="16"/>
      <c r="O23" s="434">
        <f t="shared" si="2"/>
        <v>0</v>
      </c>
      <c r="P23" s="407"/>
      <c r="Q23" s="404">
        <f t="shared" si="3"/>
        <v>0</v>
      </c>
      <c r="R23" s="704"/>
      <c r="S23" s="726"/>
      <c r="T23" s="687">
        <f t="shared" si="10"/>
        <v>7.9580786405131221E-13</v>
      </c>
      <c r="U23" s="97">
        <f t="shared" si="11"/>
        <v>0</v>
      </c>
      <c r="X23" s="2">
        <v>27.22</v>
      </c>
      <c r="Y23" s="16"/>
      <c r="Z23" s="419">
        <f t="shared" si="6"/>
        <v>0</v>
      </c>
      <c r="AA23" s="119"/>
      <c r="AB23" s="89">
        <f t="shared" si="7"/>
        <v>0</v>
      </c>
      <c r="AC23" s="90"/>
      <c r="AD23" s="91"/>
      <c r="AE23" s="396">
        <f t="shared" si="12"/>
        <v>7621.6</v>
      </c>
      <c r="AF23" s="97">
        <f t="shared" si="13"/>
        <v>280</v>
      </c>
    </row>
    <row r="24" spans="1:32" x14ac:dyDescent="0.25">
      <c r="B24" s="2">
        <v>27.22</v>
      </c>
      <c r="C24" s="16"/>
      <c r="D24" s="669">
        <f t="shared" si="0"/>
        <v>0</v>
      </c>
      <c r="E24" s="673"/>
      <c r="F24" s="669">
        <f t="shared" si="1"/>
        <v>0</v>
      </c>
      <c r="G24" s="418"/>
      <c r="H24" s="387"/>
      <c r="I24" s="396">
        <f t="shared" si="8"/>
        <v>0</v>
      </c>
      <c r="J24" s="97">
        <f t="shared" si="9"/>
        <v>0</v>
      </c>
      <c r="M24" s="2">
        <v>27.22</v>
      </c>
      <c r="N24" s="16"/>
      <c r="O24" s="404">
        <f t="shared" si="2"/>
        <v>0</v>
      </c>
      <c r="P24" s="409"/>
      <c r="Q24" s="404">
        <f t="shared" si="3"/>
        <v>0</v>
      </c>
      <c r="R24" s="704"/>
      <c r="S24" s="726"/>
      <c r="T24" s="687">
        <f t="shared" si="10"/>
        <v>7.9580786405131221E-13</v>
      </c>
      <c r="U24" s="97">
        <f t="shared" si="11"/>
        <v>0</v>
      </c>
      <c r="X24" s="2">
        <v>27.22</v>
      </c>
      <c r="Y24" s="16"/>
      <c r="Z24" s="89">
        <f t="shared" si="6"/>
        <v>0</v>
      </c>
      <c r="AA24" s="126"/>
      <c r="AB24" s="89">
        <f t="shared" si="7"/>
        <v>0</v>
      </c>
      <c r="AC24" s="90"/>
      <c r="AD24" s="91"/>
      <c r="AE24" s="396">
        <f t="shared" si="12"/>
        <v>7621.6</v>
      </c>
      <c r="AF24" s="97">
        <f t="shared" si="13"/>
        <v>280</v>
      </c>
    </row>
    <row r="25" spans="1:32" x14ac:dyDescent="0.25">
      <c r="B25" s="2">
        <v>27.22</v>
      </c>
      <c r="C25" s="16"/>
      <c r="D25" s="669">
        <f t="shared" si="0"/>
        <v>0</v>
      </c>
      <c r="E25" s="673"/>
      <c r="F25" s="669">
        <f t="shared" si="1"/>
        <v>0</v>
      </c>
      <c r="G25" s="418"/>
      <c r="H25" s="387"/>
      <c r="I25" s="396">
        <f t="shared" si="8"/>
        <v>0</v>
      </c>
      <c r="J25" s="97">
        <f t="shared" si="9"/>
        <v>0</v>
      </c>
      <c r="M25" s="2">
        <v>27.22</v>
      </c>
      <c r="N25" s="16"/>
      <c r="O25" s="404">
        <f t="shared" si="2"/>
        <v>0</v>
      </c>
      <c r="P25" s="409"/>
      <c r="Q25" s="404">
        <f t="shared" si="3"/>
        <v>0</v>
      </c>
      <c r="R25" s="704"/>
      <c r="S25" s="726"/>
      <c r="T25" s="687">
        <f t="shared" si="10"/>
        <v>7.9580786405131221E-13</v>
      </c>
      <c r="U25" s="97">
        <f t="shared" si="11"/>
        <v>0</v>
      </c>
      <c r="X25" s="2">
        <v>27.22</v>
      </c>
      <c r="Y25" s="16"/>
      <c r="Z25" s="89">
        <f t="shared" si="6"/>
        <v>0</v>
      </c>
      <c r="AA25" s="126"/>
      <c r="AB25" s="89">
        <f t="shared" si="7"/>
        <v>0</v>
      </c>
      <c r="AC25" s="90"/>
      <c r="AD25" s="91"/>
      <c r="AE25" s="396">
        <f t="shared" si="12"/>
        <v>7621.6</v>
      </c>
      <c r="AF25" s="97">
        <f t="shared" si="13"/>
        <v>280</v>
      </c>
    </row>
    <row r="26" spans="1:32" x14ac:dyDescent="0.25">
      <c r="B26" s="2">
        <v>27.22</v>
      </c>
      <c r="C26" s="16"/>
      <c r="D26" s="669">
        <f t="shared" si="0"/>
        <v>0</v>
      </c>
      <c r="E26" s="673"/>
      <c r="F26" s="669">
        <f t="shared" si="1"/>
        <v>0</v>
      </c>
      <c r="G26" s="418"/>
      <c r="H26" s="387"/>
      <c r="I26" s="396">
        <f t="shared" si="8"/>
        <v>0</v>
      </c>
      <c r="J26" s="97">
        <f t="shared" si="9"/>
        <v>0</v>
      </c>
      <c r="M26" s="2">
        <v>27.22</v>
      </c>
      <c r="N26" s="16"/>
      <c r="O26" s="404">
        <f t="shared" si="2"/>
        <v>0</v>
      </c>
      <c r="P26" s="409"/>
      <c r="Q26" s="404">
        <f t="shared" si="3"/>
        <v>0</v>
      </c>
      <c r="R26" s="704"/>
      <c r="S26" s="726"/>
      <c r="T26" s="687">
        <f t="shared" si="10"/>
        <v>7.9580786405131221E-13</v>
      </c>
      <c r="U26" s="97">
        <f t="shared" si="11"/>
        <v>0</v>
      </c>
      <c r="X26" s="2">
        <v>27.22</v>
      </c>
      <c r="Y26" s="16"/>
      <c r="Z26" s="89">
        <f t="shared" si="6"/>
        <v>0</v>
      </c>
      <c r="AA26" s="126"/>
      <c r="AB26" s="89">
        <f t="shared" si="7"/>
        <v>0</v>
      </c>
      <c r="AC26" s="90"/>
      <c r="AD26" s="91"/>
      <c r="AE26" s="396">
        <f t="shared" si="12"/>
        <v>7621.6</v>
      </c>
      <c r="AF26" s="97">
        <f t="shared" si="13"/>
        <v>280</v>
      </c>
    </row>
    <row r="27" spans="1:32" x14ac:dyDescent="0.25">
      <c r="B27" s="2">
        <v>27.22</v>
      </c>
      <c r="C27" s="16"/>
      <c r="D27" s="669">
        <f t="shared" si="0"/>
        <v>0</v>
      </c>
      <c r="E27" s="673"/>
      <c r="F27" s="669">
        <f t="shared" si="1"/>
        <v>0</v>
      </c>
      <c r="G27" s="418"/>
      <c r="H27" s="387"/>
      <c r="I27" s="396">
        <f t="shared" si="8"/>
        <v>0</v>
      </c>
      <c r="J27" s="97">
        <f t="shared" si="9"/>
        <v>0</v>
      </c>
      <c r="M27" s="2">
        <v>27.22</v>
      </c>
      <c r="N27" s="16"/>
      <c r="O27" s="404">
        <f t="shared" si="2"/>
        <v>0</v>
      </c>
      <c r="P27" s="409"/>
      <c r="Q27" s="404">
        <f t="shared" si="3"/>
        <v>0</v>
      </c>
      <c r="R27" s="704"/>
      <c r="S27" s="726"/>
      <c r="T27" s="687">
        <f t="shared" si="10"/>
        <v>7.9580786405131221E-13</v>
      </c>
      <c r="U27" s="97">
        <f t="shared" si="11"/>
        <v>0</v>
      </c>
      <c r="X27" s="2">
        <v>27.22</v>
      </c>
      <c r="Y27" s="16"/>
      <c r="Z27" s="89">
        <f t="shared" si="6"/>
        <v>0</v>
      </c>
      <c r="AA27" s="126"/>
      <c r="AB27" s="89">
        <f t="shared" si="7"/>
        <v>0</v>
      </c>
      <c r="AC27" s="90"/>
      <c r="AD27" s="91"/>
      <c r="AE27" s="396">
        <f t="shared" si="12"/>
        <v>7621.6</v>
      </c>
      <c r="AF27" s="97">
        <f t="shared" si="13"/>
        <v>280</v>
      </c>
    </row>
    <row r="28" spans="1:32" x14ac:dyDescent="0.25">
      <c r="B28" s="2">
        <v>27.22</v>
      </c>
      <c r="C28" s="16"/>
      <c r="D28" s="669">
        <f t="shared" si="0"/>
        <v>0</v>
      </c>
      <c r="E28" s="673"/>
      <c r="F28" s="669">
        <f t="shared" si="1"/>
        <v>0</v>
      </c>
      <c r="G28" s="418"/>
      <c r="H28" s="387"/>
      <c r="I28" s="396">
        <f t="shared" si="8"/>
        <v>0</v>
      </c>
      <c r="J28" s="97">
        <f t="shared" si="9"/>
        <v>0</v>
      </c>
      <c r="M28" s="2">
        <v>27.22</v>
      </c>
      <c r="N28" s="16"/>
      <c r="O28" s="404">
        <f t="shared" si="2"/>
        <v>0</v>
      </c>
      <c r="P28" s="409"/>
      <c r="Q28" s="404">
        <f t="shared" si="3"/>
        <v>0</v>
      </c>
      <c r="R28" s="279"/>
      <c r="S28" s="432"/>
      <c r="T28" s="396">
        <f t="shared" si="10"/>
        <v>7.9580786405131221E-13</v>
      </c>
      <c r="U28" s="97">
        <f t="shared" si="11"/>
        <v>0</v>
      </c>
      <c r="X28" s="2">
        <v>27.22</v>
      </c>
      <c r="Y28" s="16"/>
      <c r="Z28" s="89">
        <f t="shared" si="6"/>
        <v>0</v>
      </c>
      <c r="AA28" s="126"/>
      <c r="AB28" s="89">
        <f t="shared" si="7"/>
        <v>0</v>
      </c>
      <c r="AC28" s="90"/>
      <c r="AD28" s="91"/>
      <c r="AE28" s="396">
        <f t="shared" si="12"/>
        <v>7621.6</v>
      </c>
      <c r="AF28" s="97">
        <f t="shared" si="13"/>
        <v>280</v>
      </c>
    </row>
    <row r="29" spans="1:32" x14ac:dyDescent="0.25">
      <c r="B29" s="2">
        <v>27.22</v>
      </c>
      <c r="C29" s="16"/>
      <c r="D29" s="669">
        <f t="shared" si="0"/>
        <v>0</v>
      </c>
      <c r="E29" s="673"/>
      <c r="F29" s="669">
        <f t="shared" si="1"/>
        <v>0</v>
      </c>
      <c r="G29" s="418"/>
      <c r="H29" s="387"/>
      <c r="I29" s="396">
        <f t="shared" si="8"/>
        <v>0</v>
      </c>
      <c r="J29" s="97">
        <f t="shared" si="9"/>
        <v>0</v>
      </c>
      <c r="M29" s="2">
        <v>27.22</v>
      </c>
      <c r="N29" s="16"/>
      <c r="O29" s="404">
        <f t="shared" si="2"/>
        <v>0</v>
      </c>
      <c r="P29" s="409"/>
      <c r="Q29" s="404">
        <f t="shared" si="3"/>
        <v>0</v>
      </c>
      <c r="R29" s="279"/>
      <c r="S29" s="432"/>
      <c r="T29" s="396">
        <f t="shared" si="10"/>
        <v>7.9580786405131221E-13</v>
      </c>
      <c r="U29" s="97">
        <f t="shared" si="11"/>
        <v>0</v>
      </c>
      <c r="X29" s="2">
        <v>27.22</v>
      </c>
      <c r="Y29" s="16"/>
      <c r="Z29" s="89">
        <f t="shared" si="6"/>
        <v>0</v>
      </c>
      <c r="AA29" s="126"/>
      <c r="AB29" s="89">
        <f t="shared" si="7"/>
        <v>0</v>
      </c>
      <c r="AC29" s="90"/>
      <c r="AD29" s="91"/>
      <c r="AE29" s="396">
        <f t="shared" si="12"/>
        <v>7621.6</v>
      </c>
      <c r="AF29" s="97">
        <f t="shared" si="13"/>
        <v>280</v>
      </c>
    </row>
    <row r="30" spans="1:32" x14ac:dyDescent="0.25">
      <c r="B30" s="2">
        <v>27.22</v>
      </c>
      <c r="C30" s="16"/>
      <c r="D30" s="669">
        <f t="shared" si="0"/>
        <v>0</v>
      </c>
      <c r="E30" s="673"/>
      <c r="F30" s="669">
        <f t="shared" si="1"/>
        <v>0</v>
      </c>
      <c r="G30" s="418"/>
      <c r="H30" s="387"/>
      <c r="I30" s="396">
        <f t="shared" si="8"/>
        <v>0</v>
      </c>
      <c r="J30" s="97">
        <f t="shared" si="9"/>
        <v>0</v>
      </c>
      <c r="M30" s="2">
        <v>27.22</v>
      </c>
      <c r="N30" s="16"/>
      <c r="O30" s="404">
        <f t="shared" si="2"/>
        <v>0</v>
      </c>
      <c r="P30" s="409"/>
      <c r="Q30" s="404">
        <f t="shared" si="3"/>
        <v>0</v>
      </c>
      <c r="R30" s="279"/>
      <c r="S30" s="91"/>
      <c r="T30" s="396">
        <f t="shared" si="10"/>
        <v>7.9580786405131221E-13</v>
      </c>
      <c r="U30" s="97">
        <f t="shared" si="11"/>
        <v>0</v>
      </c>
      <c r="X30" s="2">
        <v>27.22</v>
      </c>
      <c r="Y30" s="16"/>
      <c r="Z30" s="89">
        <f t="shared" si="6"/>
        <v>0</v>
      </c>
      <c r="AA30" s="126"/>
      <c r="AB30" s="89">
        <f t="shared" si="7"/>
        <v>0</v>
      </c>
      <c r="AC30" s="90"/>
      <c r="AD30" s="91"/>
      <c r="AE30" s="396">
        <f t="shared" si="12"/>
        <v>7621.6</v>
      </c>
      <c r="AF30" s="97">
        <f t="shared" si="13"/>
        <v>280</v>
      </c>
    </row>
    <row r="31" spans="1:32" x14ac:dyDescent="0.25">
      <c r="B31" s="2">
        <v>27.22</v>
      </c>
      <c r="C31" s="16"/>
      <c r="D31" s="669">
        <f t="shared" si="0"/>
        <v>0</v>
      </c>
      <c r="E31" s="673"/>
      <c r="F31" s="669">
        <f t="shared" si="1"/>
        <v>0</v>
      </c>
      <c r="G31" s="418"/>
      <c r="H31" s="387"/>
      <c r="I31" s="396">
        <f t="shared" si="8"/>
        <v>0</v>
      </c>
      <c r="J31" s="97">
        <f t="shared" si="9"/>
        <v>0</v>
      </c>
      <c r="M31" s="2">
        <v>27.22</v>
      </c>
      <c r="N31" s="16"/>
      <c r="O31" s="404">
        <f t="shared" si="2"/>
        <v>0</v>
      </c>
      <c r="P31" s="409"/>
      <c r="Q31" s="404">
        <f t="shared" si="3"/>
        <v>0</v>
      </c>
      <c r="R31" s="279"/>
      <c r="S31" s="91"/>
      <c r="T31" s="396">
        <f t="shared" si="10"/>
        <v>7.9580786405131221E-13</v>
      </c>
      <c r="U31" s="97">
        <f t="shared" si="11"/>
        <v>0</v>
      </c>
      <c r="X31" s="2">
        <v>27.22</v>
      </c>
      <c r="Y31" s="16"/>
      <c r="Z31" s="89">
        <f t="shared" si="6"/>
        <v>0</v>
      </c>
      <c r="AA31" s="126"/>
      <c r="AB31" s="89">
        <f t="shared" si="7"/>
        <v>0</v>
      </c>
      <c r="AC31" s="90"/>
      <c r="AD31" s="91"/>
      <c r="AE31" s="396">
        <f t="shared" si="12"/>
        <v>7621.6</v>
      </c>
      <c r="AF31" s="97">
        <f t="shared" si="13"/>
        <v>280</v>
      </c>
    </row>
    <row r="32" spans="1:32" x14ac:dyDescent="0.25">
      <c r="B32" s="2">
        <v>27.22</v>
      </c>
      <c r="C32" s="16"/>
      <c r="D32" s="669">
        <f t="shared" si="0"/>
        <v>0</v>
      </c>
      <c r="E32" s="673"/>
      <c r="F32" s="669">
        <f t="shared" si="1"/>
        <v>0</v>
      </c>
      <c r="G32" s="418"/>
      <c r="H32" s="387"/>
      <c r="I32" s="396">
        <f t="shared" si="8"/>
        <v>0</v>
      </c>
      <c r="J32" s="97">
        <f t="shared" si="9"/>
        <v>0</v>
      </c>
      <c r="M32" s="2">
        <v>27.22</v>
      </c>
      <c r="N32" s="16"/>
      <c r="O32" s="404">
        <f t="shared" si="2"/>
        <v>0</v>
      </c>
      <c r="P32" s="409"/>
      <c r="Q32" s="404">
        <f t="shared" si="3"/>
        <v>0</v>
      </c>
      <c r="R32" s="279"/>
      <c r="S32" s="91"/>
      <c r="T32" s="396">
        <f t="shared" si="10"/>
        <v>7.9580786405131221E-13</v>
      </c>
      <c r="U32" s="97">
        <f t="shared" si="11"/>
        <v>0</v>
      </c>
      <c r="X32" s="2">
        <v>27.22</v>
      </c>
      <c r="Y32" s="16"/>
      <c r="Z32" s="89">
        <f t="shared" si="6"/>
        <v>0</v>
      </c>
      <c r="AA32" s="126"/>
      <c r="AB32" s="89">
        <f t="shared" si="7"/>
        <v>0</v>
      </c>
      <c r="AC32" s="90"/>
      <c r="AD32" s="91"/>
      <c r="AE32" s="396">
        <f t="shared" si="12"/>
        <v>7621.6</v>
      </c>
      <c r="AF32" s="97">
        <f t="shared" si="13"/>
        <v>280</v>
      </c>
    </row>
    <row r="33" spans="2:32" x14ac:dyDescent="0.25">
      <c r="B33" s="2">
        <v>27.22</v>
      </c>
      <c r="C33" s="16"/>
      <c r="D33" s="669">
        <f t="shared" si="0"/>
        <v>0</v>
      </c>
      <c r="E33" s="673"/>
      <c r="F33" s="669">
        <f t="shared" si="1"/>
        <v>0</v>
      </c>
      <c r="G33" s="418"/>
      <c r="H33" s="387"/>
      <c r="I33" s="396">
        <f t="shared" si="8"/>
        <v>0</v>
      </c>
      <c r="J33" s="97">
        <f t="shared" si="9"/>
        <v>0</v>
      </c>
      <c r="M33" s="2">
        <v>27.22</v>
      </c>
      <c r="N33" s="16"/>
      <c r="O33" s="404">
        <f t="shared" si="2"/>
        <v>0</v>
      </c>
      <c r="P33" s="409"/>
      <c r="Q33" s="404">
        <f t="shared" si="3"/>
        <v>0</v>
      </c>
      <c r="R33" s="279"/>
      <c r="S33" s="91"/>
      <c r="T33" s="396">
        <f t="shared" si="10"/>
        <v>7.9580786405131221E-13</v>
      </c>
      <c r="U33" s="97">
        <f t="shared" si="11"/>
        <v>0</v>
      </c>
      <c r="X33" s="2">
        <v>27.22</v>
      </c>
      <c r="Y33" s="16"/>
      <c r="Z33" s="89">
        <f t="shared" si="6"/>
        <v>0</v>
      </c>
      <c r="AA33" s="126"/>
      <c r="AB33" s="89">
        <f t="shared" si="7"/>
        <v>0</v>
      </c>
      <c r="AC33" s="90"/>
      <c r="AD33" s="91"/>
      <c r="AE33" s="396">
        <f t="shared" si="12"/>
        <v>7621.6</v>
      </c>
      <c r="AF33" s="97">
        <f t="shared" si="13"/>
        <v>280</v>
      </c>
    </row>
    <row r="34" spans="2:32" x14ac:dyDescent="0.25">
      <c r="B34" s="2">
        <v>27.22</v>
      </c>
      <c r="C34" s="16"/>
      <c r="D34" s="669">
        <f t="shared" si="0"/>
        <v>0</v>
      </c>
      <c r="E34" s="673"/>
      <c r="F34" s="669">
        <f t="shared" si="1"/>
        <v>0</v>
      </c>
      <c r="G34" s="418"/>
      <c r="H34" s="387"/>
      <c r="I34" s="396">
        <f t="shared" si="8"/>
        <v>0</v>
      </c>
      <c r="J34" s="97">
        <f t="shared" si="9"/>
        <v>0</v>
      </c>
      <c r="M34" s="2">
        <v>27.22</v>
      </c>
      <c r="N34" s="16"/>
      <c r="O34" s="404">
        <f t="shared" si="2"/>
        <v>0</v>
      </c>
      <c r="P34" s="409"/>
      <c r="Q34" s="404">
        <f t="shared" si="3"/>
        <v>0</v>
      </c>
      <c r="R34" s="279"/>
      <c r="S34" s="91"/>
      <c r="T34" s="396">
        <f t="shared" si="10"/>
        <v>7.9580786405131221E-13</v>
      </c>
      <c r="U34" s="97">
        <f t="shared" si="11"/>
        <v>0</v>
      </c>
      <c r="X34" s="2">
        <v>27.22</v>
      </c>
      <c r="Y34" s="16"/>
      <c r="Z34" s="89">
        <f t="shared" si="6"/>
        <v>0</v>
      </c>
      <c r="AA34" s="126"/>
      <c r="AB34" s="89">
        <f t="shared" si="7"/>
        <v>0</v>
      </c>
      <c r="AC34" s="90"/>
      <c r="AD34" s="91"/>
      <c r="AE34" s="396">
        <f t="shared" si="12"/>
        <v>7621.6</v>
      </c>
      <c r="AF34" s="97">
        <f t="shared" si="13"/>
        <v>280</v>
      </c>
    </row>
    <row r="35" spans="2:32" x14ac:dyDescent="0.25">
      <c r="B35" s="2">
        <v>27.22</v>
      </c>
      <c r="C35" s="16"/>
      <c r="D35" s="669">
        <f t="shared" si="0"/>
        <v>0</v>
      </c>
      <c r="E35" s="673"/>
      <c r="F35" s="669">
        <f t="shared" si="1"/>
        <v>0</v>
      </c>
      <c r="G35" s="418"/>
      <c r="H35" s="387"/>
      <c r="I35" s="396">
        <f t="shared" si="8"/>
        <v>0</v>
      </c>
      <c r="J35" s="97">
        <f t="shared" si="9"/>
        <v>0</v>
      </c>
      <c r="M35" s="2">
        <v>27.22</v>
      </c>
      <c r="N35" s="16"/>
      <c r="O35" s="404">
        <f t="shared" si="2"/>
        <v>0</v>
      </c>
      <c r="P35" s="409"/>
      <c r="Q35" s="404">
        <f t="shared" si="3"/>
        <v>0</v>
      </c>
      <c r="R35" s="279"/>
      <c r="S35" s="91"/>
      <c r="T35" s="396">
        <f t="shared" si="10"/>
        <v>7.9580786405131221E-13</v>
      </c>
      <c r="U35" s="97">
        <f t="shared" si="11"/>
        <v>0</v>
      </c>
      <c r="X35" s="2">
        <v>27.22</v>
      </c>
      <c r="Y35" s="16"/>
      <c r="Z35" s="89">
        <f t="shared" si="6"/>
        <v>0</v>
      </c>
      <c r="AA35" s="126"/>
      <c r="AB35" s="89">
        <f t="shared" si="7"/>
        <v>0</v>
      </c>
      <c r="AC35" s="90"/>
      <c r="AD35" s="91"/>
      <c r="AE35" s="396">
        <f t="shared" si="12"/>
        <v>7621.6</v>
      </c>
      <c r="AF35" s="97">
        <f t="shared" si="13"/>
        <v>280</v>
      </c>
    </row>
    <row r="36" spans="2:32" x14ac:dyDescent="0.25">
      <c r="B36" s="2">
        <v>27.22</v>
      </c>
      <c r="C36" s="16"/>
      <c r="D36" s="669">
        <f t="shared" si="0"/>
        <v>0</v>
      </c>
      <c r="E36" s="673"/>
      <c r="F36" s="669">
        <f t="shared" si="1"/>
        <v>0</v>
      </c>
      <c r="G36" s="418"/>
      <c r="H36" s="387"/>
      <c r="I36" s="396">
        <f t="shared" si="8"/>
        <v>0</v>
      </c>
      <c r="J36" s="97">
        <f t="shared" si="9"/>
        <v>0</v>
      </c>
      <c r="M36" s="2">
        <v>27.22</v>
      </c>
      <c r="N36" s="16"/>
      <c r="O36" s="404">
        <f t="shared" si="2"/>
        <v>0</v>
      </c>
      <c r="P36" s="409"/>
      <c r="Q36" s="404">
        <f t="shared" si="3"/>
        <v>0</v>
      </c>
      <c r="R36" s="279"/>
      <c r="S36" s="91"/>
      <c r="T36" s="396">
        <f t="shared" si="10"/>
        <v>7.9580786405131221E-13</v>
      </c>
      <c r="U36" s="97">
        <f t="shared" si="11"/>
        <v>0</v>
      </c>
      <c r="X36" s="2">
        <v>27.22</v>
      </c>
      <c r="Y36" s="16"/>
      <c r="Z36" s="89">
        <f t="shared" si="6"/>
        <v>0</v>
      </c>
      <c r="AA36" s="126"/>
      <c r="AB36" s="89">
        <f t="shared" si="7"/>
        <v>0</v>
      </c>
      <c r="AC36" s="90"/>
      <c r="AD36" s="91"/>
      <c r="AE36" s="396">
        <f t="shared" si="12"/>
        <v>7621.6</v>
      </c>
      <c r="AF36" s="97">
        <f t="shared" si="13"/>
        <v>280</v>
      </c>
    </row>
    <row r="37" spans="2:32" x14ac:dyDescent="0.25">
      <c r="B37" s="2">
        <v>27.22</v>
      </c>
      <c r="C37" s="16"/>
      <c r="D37" s="669">
        <f t="shared" si="0"/>
        <v>0</v>
      </c>
      <c r="E37" s="673"/>
      <c r="F37" s="669">
        <f t="shared" si="1"/>
        <v>0</v>
      </c>
      <c r="G37" s="418"/>
      <c r="H37" s="387"/>
      <c r="I37" s="396">
        <f t="shared" si="8"/>
        <v>0</v>
      </c>
      <c r="J37" s="97">
        <f t="shared" si="9"/>
        <v>0</v>
      </c>
      <c r="M37" s="2">
        <v>27.22</v>
      </c>
      <c r="N37" s="16"/>
      <c r="O37" s="404">
        <f t="shared" si="2"/>
        <v>0</v>
      </c>
      <c r="P37" s="409"/>
      <c r="Q37" s="404">
        <f t="shared" si="3"/>
        <v>0</v>
      </c>
      <c r="R37" s="279"/>
      <c r="S37" s="91"/>
      <c r="T37" s="396">
        <f t="shared" si="10"/>
        <v>7.9580786405131221E-13</v>
      </c>
      <c r="U37" s="97">
        <f t="shared" si="11"/>
        <v>0</v>
      </c>
      <c r="X37" s="2">
        <v>27.22</v>
      </c>
      <c r="Y37" s="16"/>
      <c r="Z37" s="89">
        <f t="shared" si="6"/>
        <v>0</v>
      </c>
      <c r="AA37" s="126"/>
      <c r="AB37" s="89">
        <f t="shared" si="7"/>
        <v>0</v>
      </c>
      <c r="AC37" s="90"/>
      <c r="AD37" s="91"/>
      <c r="AE37" s="396">
        <f t="shared" si="12"/>
        <v>7621.6</v>
      </c>
      <c r="AF37" s="97">
        <f t="shared" si="13"/>
        <v>280</v>
      </c>
    </row>
    <row r="38" spans="2:32" x14ac:dyDescent="0.25">
      <c r="B38" s="2">
        <v>27.22</v>
      </c>
      <c r="C38" s="16"/>
      <c r="D38" s="404">
        <f t="shared" si="0"/>
        <v>0</v>
      </c>
      <c r="E38" s="409"/>
      <c r="F38" s="404">
        <f t="shared" si="1"/>
        <v>0</v>
      </c>
      <c r="G38" s="279"/>
      <c r="H38" s="91"/>
      <c r="I38" s="396">
        <f t="shared" si="8"/>
        <v>0</v>
      </c>
      <c r="J38" s="97">
        <f t="shared" si="9"/>
        <v>0</v>
      </c>
      <c r="M38" s="2">
        <v>27.22</v>
      </c>
      <c r="N38" s="16"/>
      <c r="O38" s="404">
        <f t="shared" si="2"/>
        <v>0</v>
      </c>
      <c r="P38" s="409"/>
      <c r="Q38" s="404">
        <f t="shared" si="3"/>
        <v>0</v>
      </c>
      <c r="R38" s="279"/>
      <c r="S38" s="91"/>
      <c r="T38" s="396">
        <f t="shared" si="10"/>
        <v>7.9580786405131221E-13</v>
      </c>
      <c r="U38" s="97">
        <f t="shared" si="11"/>
        <v>0</v>
      </c>
      <c r="X38" s="2">
        <v>27.22</v>
      </c>
      <c r="Y38" s="16"/>
      <c r="Z38" s="89">
        <f t="shared" si="6"/>
        <v>0</v>
      </c>
      <c r="AA38" s="126"/>
      <c r="AB38" s="89">
        <f t="shared" si="7"/>
        <v>0</v>
      </c>
      <c r="AC38" s="90"/>
      <c r="AD38" s="91"/>
      <c r="AE38" s="396">
        <f t="shared" si="12"/>
        <v>7621.6</v>
      </c>
      <c r="AF38" s="97">
        <f t="shared" si="13"/>
        <v>280</v>
      </c>
    </row>
    <row r="39" spans="2:32" x14ac:dyDescent="0.25">
      <c r="B39" s="2">
        <v>27.22</v>
      </c>
      <c r="C39" s="16"/>
      <c r="D39" s="404">
        <f t="shared" si="0"/>
        <v>0</v>
      </c>
      <c r="E39" s="409"/>
      <c r="F39" s="404">
        <f t="shared" si="1"/>
        <v>0</v>
      </c>
      <c r="G39" s="279"/>
      <c r="H39" s="91"/>
      <c r="I39" s="396">
        <f t="shared" si="8"/>
        <v>0</v>
      </c>
      <c r="J39" s="97">
        <f t="shared" si="9"/>
        <v>0</v>
      </c>
      <c r="M39" s="2">
        <v>27.22</v>
      </c>
      <c r="N39" s="16"/>
      <c r="O39" s="404">
        <f t="shared" si="2"/>
        <v>0</v>
      </c>
      <c r="P39" s="409"/>
      <c r="Q39" s="404">
        <f t="shared" si="3"/>
        <v>0</v>
      </c>
      <c r="R39" s="279"/>
      <c r="S39" s="91"/>
      <c r="T39" s="396">
        <f t="shared" si="10"/>
        <v>7.9580786405131221E-13</v>
      </c>
      <c r="U39" s="97">
        <f t="shared" si="11"/>
        <v>0</v>
      </c>
      <c r="X39" s="2">
        <v>27.22</v>
      </c>
      <c r="Y39" s="16"/>
      <c r="Z39" s="404">
        <f t="shared" si="6"/>
        <v>0</v>
      </c>
      <c r="AA39" s="409"/>
      <c r="AB39" s="404">
        <f t="shared" si="7"/>
        <v>0</v>
      </c>
      <c r="AC39" s="279"/>
      <c r="AD39" s="91"/>
      <c r="AE39" s="396">
        <f t="shared" si="12"/>
        <v>7621.6</v>
      </c>
      <c r="AF39" s="97">
        <f t="shared" si="13"/>
        <v>280</v>
      </c>
    </row>
    <row r="40" spans="2:32" x14ac:dyDescent="0.25">
      <c r="B40" s="2">
        <v>27.22</v>
      </c>
      <c r="C40" s="16"/>
      <c r="D40" s="404">
        <f t="shared" si="0"/>
        <v>0</v>
      </c>
      <c r="E40" s="409"/>
      <c r="F40" s="404">
        <f t="shared" si="1"/>
        <v>0</v>
      </c>
      <c r="G40" s="279"/>
      <c r="H40" s="91"/>
      <c r="I40" s="396">
        <f t="shared" si="8"/>
        <v>0</v>
      </c>
      <c r="J40" s="97">
        <f t="shared" si="9"/>
        <v>0</v>
      </c>
      <c r="M40" s="2">
        <v>27.22</v>
      </c>
      <c r="N40" s="16"/>
      <c r="O40" s="404">
        <f t="shared" si="2"/>
        <v>0</v>
      </c>
      <c r="P40" s="409"/>
      <c r="Q40" s="404">
        <f t="shared" si="3"/>
        <v>0</v>
      </c>
      <c r="R40" s="279"/>
      <c r="S40" s="91"/>
      <c r="T40" s="396">
        <f t="shared" si="10"/>
        <v>7.9580786405131221E-13</v>
      </c>
      <c r="U40" s="97">
        <f t="shared" si="11"/>
        <v>0</v>
      </c>
      <c r="X40" s="2">
        <v>27.22</v>
      </c>
      <c r="Y40" s="16"/>
      <c r="Z40" s="404">
        <f t="shared" si="6"/>
        <v>0</v>
      </c>
      <c r="AA40" s="409"/>
      <c r="AB40" s="404">
        <f t="shared" si="7"/>
        <v>0</v>
      </c>
      <c r="AC40" s="279"/>
      <c r="AD40" s="91"/>
      <c r="AE40" s="396">
        <f t="shared" si="12"/>
        <v>7621.6</v>
      </c>
      <c r="AF40" s="97">
        <f t="shared" si="13"/>
        <v>280</v>
      </c>
    </row>
    <row r="41" spans="2:32" x14ac:dyDescent="0.25">
      <c r="B41" s="2">
        <v>27.22</v>
      </c>
      <c r="C41" s="16"/>
      <c r="D41" s="404">
        <f t="shared" si="0"/>
        <v>0</v>
      </c>
      <c r="E41" s="409"/>
      <c r="F41" s="404">
        <f t="shared" si="1"/>
        <v>0</v>
      </c>
      <c r="G41" s="279"/>
      <c r="H41" s="91"/>
      <c r="I41" s="396">
        <f t="shared" si="8"/>
        <v>0</v>
      </c>
      <c r="J41" s="97">
        <f t="shared" si="9"/>
        <v>0</v>
      </c>
      <c r="M41" s="2">
        <v>27.22</v>
      </c>
      <c r="N41" s="16"/>
      <c r="O41" s="404">
        <f t="shared" si="2"/>
        <v>0</v>
      </c>
      <c r="P41" s="409"/>
      <c r="Q41" s="404">
        <f t="shared" si="3"/>
        <v>0</v>
      </c>
      <c r="R41" s="279"/>
      <c r="S41" s="91"/>
      <c r="T41" s="396">
        <f t="shared" si="10"/>
        <v>7.9580786405131221E-13</v>
      </c>
      <c r="U41" s="97">
        <f t="shared" si="11"/>
        <v>0</v>
      </c>
      <c r="X41" s="2">
        <v>27.22</v>
      </c>
      <c r="Y41" s="16"/>
      <c r="Z41" s="404">
        <f t="shared" si="6"/>
        <v>0</v>
      </c>
      <c r="AA41" s="409"/>
      <c r="AB41" s="404">
        <f t="shared" si="7"/>
        <v>0</v>
      </c>
      <c r="AC41" s="279"/>
      <c r="AD41" s="91"/>
      <c r="AE41" s="396">
        <f t="shared" si="12"/>
        <v>7621.6</v>
      </c>
      <c r="AF41" s="97">
        <f t="shared" si="13"/>
        <v>280</v>
      </c>
    </row>
    <row r="42" spans="2:32" x14ac:dyDescent="0.25">
      <c r="B42" s="2">
        <v>27.22</v>
      </c>
      <c r="C42" s="16"/>
      <c r="D42" s="404">
        <f t="shared" si="0"/>
        <v>0</v>
      </c>
      <c r="E42" s="409"/>
      <c r="F42" s="404">
        <f t="shared" si="1"/>
        <v>0</v>
      </c>
      <c r="G42" s="279"/>
      <c r="H42" s="91"/>
      <c r="I42" s="396">
        <f t="shared" si="8"/>
        <v>0</v>
      </c>
      <c r="J42" s="97">
        <f t="shared" si="9"/>
        <v>0</v>
      </c>
      <c r="M42" s="2">
        <v>27.22</v>
      </c>
      <c r="N42" s="16"/>
      <c r="O42" s="404">
        <f t="shared" si="2"/>
        <v>0</v>
      </c>
      <c r="P42" s="409"/>
      <c r="Q42" s="404">
        <f t="shared" si="3"/>
        <v>0</v>
      </c>
      <c r="R42" s="279"/>
      <c r="S42" s="91"/>
      <c r="T42" s="396">
        <f t="shared" si="10"/>
        <v>7.9580786405131221E-13</v>
      </c>
      <c r="U42" s="97">
        <f t="shared" si="11"/>
        <v>0</v>
      </c>
      <c r="X42" s="2">
        <v>27.22</v>
      </c>
      <c r="Y42" s="16"/>
      <c r="Z42" s="404">
        <f t="shared" si="6"/>
        <v>0</v>
      </c>
      <c r="AA42" s="409"/>
      <c r="AB42" s="404">
        <f t="shared" si="7"/>
        <v>0</v>
      </c>
      <c r="AC42" s="279"/>
      <c r="AD42" s="91"/>
      <c r="AE42" s="396">
        <f t="shared" si="12"/>
        <v>7621.6</v>
      </c>
      <c r="AF42" s="97">
        <f t="shared" si="13"/>
        <v>280</v>
      </c>
    </row>
    <row r="43" spans="2:32" x14ac:dyDescent="0.25">
      <c r="B43" s="2">
        <v>27.22</v>
      </c>
      <c r="C43" s="16"/>
      <c r="D43" s="404">
        <f t="shared" si="0"/>
        <v>0</v>
      </c>
      <c r="E43" s="409"/>
      <c r="F43" s="404">
        <f t="shared" si="1"/>
        <v>0</v>
      </c>
      <c r="G43" s="279"/>
      <c r="H43" s="91"/>
      <c r="I43" s="396">
        <f t="shared" si="8"/>
        <v>0</v>
      </c>
      <c r="J43" s="97">
        <f t="shared" si="9"/>
        <v>0</v>
      </c>
      <c r="M43" s="2">
        <v>27.22</v>
      </c>
      <c r="N43" s="16"/>
      <c r="O43" s="404">
        <f t="shared" si="2"/>
        <v>0</v>
      </c>
      <c r="P43" s="409"/>
      <c r="Q43" s="404">
        <f t="shared" si="3"/>
        <v>0</v>
      </c>
      <c r="R43" s="279"/>
      <c r="S43" s="91"/>
      <c r="T43" s="396">
        <f t="shared" si="10"/>
        <v>7.9580786405131221E-13</v>
      </c>
      <c r="U43" s="97">
        <f t="shared" si="11"/>
        <v>0</v>
      </c>
      <c r="X43" s="2">
        <v>27.22</v>
      </c>
      <c r="Y43" s="16"/>
      <c r="Z43" s="404">
        <f t="shared" si="6"/>
        <v>0</v>
      </c>
      <c r="AA43" s="409"/>
      <c r="AB43" s="404">
        <f t="shared" si="7"/>
        <v>0</v>
      </c>
      <c r="AC43" s="279"/>
      <c r="AD43" s="91"/>
      <c r="AE43" s="396">
        <f t="shared" si="12"/>
        <v>7621.6</v>
      </c>
      <c r="AF43" s="97">
        <f t="shared" si="13"/>
        <v>280</v>
      </c>
    </row>
    <row r="44" spans="2:32" x14ac:dyDescent="0.25">
      <c r="B44" s="2">
        <v>27.22</v>
      </c>
      <c r="C44" s="16"/>
      <c r="D44" s="404">
        <f t="shared" si="0"/>
        <v>0</v>
      </c>
      <c r="E44" s="409"/>
      <c r="F44" s="404">
        <f t="shared" si="1"/>
        <v>0</v>
      </c>
      <c r="G44" s="279"/>
      <c r="H44" s="91"/>
      <c r="I44" s="396">
        <f t="shared" si="8"/>
        <v>0</v>
      </c>
      <c r="J44" s="97">
        <f t="shared" si="9"/>
        <v>0</v>
      </c>
      <c r="M44" s="2">
        <v>27.22</v>
      </c>
      <c r="N44" s="16"/>
      <c r="O44" s="404">
        <f t="shared" si="2"/>
        <v>0</v>
      </c>
      <c r="P44" s="409"/>
      <c r="Q44" s="404">
        <f t="shared" si="3"/>
        <v>0</v>
      </c>
      <c r="R44" s="279"/>
      <c r="S44" s="91"/>
      <c r="T44" s="396">
        <f t="shared" si="10"/>
        <v>7.9580786405131221E-13</v>
      </c>
      <c r="U44" s="97">
        <f t="shared" si="11"/>
        <v>0</v>
      </c>
      <c r="X44" s="2">
        <v>27.22</v>
      </c>
      <c r="Y44" s="16"/>
      <c r="Z44" s="404">
        <f t="shared" si="6"/>
        <v>0</v>
      </c>
      <c r="AA44" s="409"/>
      <c r="AB44" s="404">
        <f t="shared" si="7"/>
        <v>0</v>
      </c>
      <c r="AC44" s="279"/>
      <c r="AD44" s="91"/>
      <c r="AE44" s="396">
        <f t="shared" si="12"/>
        <v>7621.6</v>
      </c>
      <c r="AF44" s="97">
        <f t="shared" si="13"/>
        <v>280</v>
      </c>
    </row>
    <row r="45" spans="2:32" x14ac:dyDescent="0.25">
      <c r="B45" s="2">
        <v>27.22</v>
      </c>
      <c r="C45" s="16"/>
      <c r="D45" s="404">
        <f t="shared" si="0"/>
        <v>0</v>
      </c>
      <c r="E45" s="409"/>
      <c r="F45" s="404">
        <f t="shared" si="1"/>
        <v>0</v>
      </c>
      <c r="G45" s="279"/>
      <c r="H45" s="91"/>
      <c r="I45" s="396">
        <f t="shared" si="8"/>
        <v>0</v>
      </c>
      <c r="J45" s="97">
        <f t="shared" si="9"/>
        <v>0</v>
      </c>
      <c r="M45" s="2">
        <v>27.22</v>
      </c>
      <c r="N45" s="16"/>
      <c r="O45" s="404">
        <f t="shared" si="2"/>
        <v>0</v>
      </c>
      <c r="P45" s="409"/>
      <c r="Q45" s="404">
        <f t="shared" si="3"/>
        <v>0</v>
      </c>
      <c r="R45" s="279"/>
      <c r="S45" s="91"/>
      <c r="T45" s="396">
        <f t="shared" si="10"/>
        <v>7.9580786405131221E-13</v>
      </c>
      <c r="U45" s="97">
        <f t="shared" si="11"/>
        <v>0</v>
      </c>
      <c r="X45" s="2">
        <v>27.22</v>
      </c>
      <c r="Y45" s="16"/>
      <c r="Z45" s="404">
        <f t="shared" si="6"/>
        <v>0</v>
      </c>
      <c r="AA45" s="409"/>
      <c r="AB45" s="404">
        <f t="shared" si="7"/>
        <v>0</v>
      </c>
      <c r="AC45" s="279"/>
      <c r="AD45" s="91"/>
      <c r="AE45" s="396">
        <f t="shared" si="12"/>
        <v>7621.6</v>
      </c>
      <c r="AF45" s="97">
        <f t="shared" si="13"/>
        <v>280</v>
      </c>
    </row>
    <row r="46" spans="2:32" x14ac:dyDescent="0.25">
      <c r="B46" s="2">
        <v>27.22</v>
      </c>
      <c r="C46" s="16"/>
      <c r="D46" s="404">
        <f t="shared" si="0"/>
        <v>0</v>
      </c>
      <c r="E46" s="409"/>
      <c r="F46" s="404">
        <f t="shared" si="1"/>
        <v>0</v>
      </c>
      <c r="G46" s="279"/>
      <c r="H46" s="91"/>
      <c r="I46" s="396">
        <f t="shared" si="8"/>
        <v>0</v>
      </c>
      <c r="J46" s="97">
        <f t="shared" si="9"/>
        <v>0</v>
      </c>
      <c r="M46" s="2">
        <v>27.22</v>
      </c>
      <c r="N46" s="16"/>
      <c r="O46" s="404">
        <f t="shared" si="2"/>
        <v>0</v>
      </c>
      <c r="P46" s="409"/>
      <c r="Q46" s="404">
        <f t="shared" si="3"/>
        <v>0</v>
      </c>
      <c r="R46" s="279"/>
      <c r="S46" s="91"/>
      <c r="T46" s="396">
        <f t="shared" si="10"/>
        <v>7.9580786405131221E-13</v>
      </c>
      <c r="U46" s="97">
        <f t="shared" si="11"/>
        <v>0</v>
      </c>
      <c r="X46" s="2">
        <v>27.22</v>
      </c>
      <c r="Y46" s="16"/>
      <c r="Z46" s="404">
        <f t="shared" si="6"/>
        <v>0</v>
      </c>
      <c r="AA46" s="409"/>
      <c r="AB46" s="404">
        <f t="shared" si="7"/>
        <v>0</v>
      </c>
      <c r="AC46" s="279"/>
      <c r="AD46" s="91"/>
      <c r="AE46" s="396">
        <f t="shared" si="12"/>
        <v>7621.6</v>
      </c>
      <c r="AF46" s="97">
        <f t="shared" si="13"/>
        <v>280</v>
      </c>
    </row>
    <row r="47" spans="2:32" x14ac:dyDescent="0.25">
      <c r="B47" s="2">
        <v>27.22</v>
      </c>
      <c r="C47" s="16"/>
      <c r="D47" s="404">
        <f t="shared" si="0"/>
        <v>0</v>
      </c>
      <c r="E47" s="409"/>
      <c r="F47" s="404">
        <f t="shared" si="1"/>
        <v>0</v>
      </c>
      <c r="G47" s="279"/>
      <c r="H47" s="91"/>
      <c r="I47" s="396">
        <f t="shared" si="8"/>
        <v>0</v>
      </c>
      <c r="J47" s="97">
        <f t="shared" si="9"/>
        <v>0</v>
      </c>
      <c r="M47" s="2">
        <v>27.22</v>
      </c>
      <c r="N47" s="16"/>
      <c r="O47" s="404">
        <f t="shared" si="2"/>
        <v>0</v>
      </c>
      <c r="P47" s="409"/>
      <c r="Q47" s="404">
        <f t="shared" si="3"/>
        <v>0</v>
      </c>
      <c r="R47" s="279"/>
      <c r="S47" s="91"/>
      <c r="T47" s="396">
        <f t="shared" si="10"/>
        <v>7.9580786405131221E-13</v>
      </c>
      <c r="U47" s="97">
        <f t="shared" si="11"/>
        <v>0</v>
      </c>
      <c r="X47" s="2">
        <v>27.22</v>
      </c>
      <c r="Y47" s="16"/>
      <c r="Z47" s="404">
        <f t="shared" si="6"/>
        <v>0</v>
      </c>
      <c r="AA47" s="409"/>
      <c r="AB47" s="404">
        <f t="shared" si="7"/>
        <v>0</v>
      </c>
      <c r="AC47" s="279"/>
      <c r="AD47" s="91"/>
      <c r="AE47" s="396">
        <f t="shared" si="12"/>
        <v>7621.6</v>
      </c>
      <c r="AF47" s="97">
        <f t="shared" si="13"/>
        <v>280</v>
      </c>
    </row>
    <row r="48" spans="2:32" x14ac:dyDescent="0.25">
      <c r="B48" s="2">
        <v>27.22</v>
      </c>
      <c r="C48" s="16"/>
      <c r="D48" s="404">
        <f t="shared" si="0"/>
        <v>0</v>
      </c>
      <c r="E48" s="409"/>
      <c r="F48" s="404">
        <f t="shared" si="1"/>
        <v>0</v>
      </c>
      <c r="G48" s="279"/>
      <c r="H48" s="91"/>
      <c r="I48" s="396">
        <f t="shared" si="8"/>
        <v>0</v>
      </c>
      <c r="J48" s="97">
        <f t="shared" si="9"/>
        <v>0</v>
      </c>
      <c r="M48" s="2">
        <v>27.22</v>
      </c>
      <c r="N48" s="16"/>
      <c r="O48" s="404">
        <f t="shared" si="2"/>
        <v>0</v>
      </c>
      <c r="P48" s="409"/>
      <c r="Q48" s="404">
        <f t="shared" si="3"/>
        <v>0</v>
      </c>
      <c r="R48" s="279"/>
      <c r="S48" s="91"/>
      <c r="T48" s="396">
        <f t="shared" si="10"/>
        <v>7.9580786405131221E-13</v>
      </c>
      <c r="U48" s="97">
        <f t="shared" si="11"/>
        <v>0</v>
      </c>
      <c r="X48" s="2">
        <v>27.22</v>
      </c>
      <c r="Y48" s="16"/>
      <c r="Z48" s="404">
        <f t="shared" si="6"/>
        <v>0</v>
      </c>
      <c r="AA48" s="409"/>
      <c r="AB48" s="404">
        <f t="shared" si="7"/>
        <v>0</v>
      </c>
      <c r="AC48" s="279"/>
      <c r="AD48" s="91"/>
      <c r="AE48" s="396">
        <f t="shared" si="12"/>
        <v>7621.6</v>
      </c>
      <c r="AF48" s="97">
        <f t="shared" si="13"/>
        <v>280</v>
      </c>
    </row>
    <row r="49" spans="1:32" x14ac:dyDescent="0.25">
      <c r="B49" s="2">
        <v>27.22</v>
      </c>
      <c r="C49" s="16"/>
      <c r="D49" s="404">
        <f t="shared" si="0"/>
        <v>0</v>
      </c>
      <c r="E49" s="409"/>
      <c r="F49" s="404">
        <f t="shared" si="1"/>
        <v>0</v>
      </c>
      <c r="G49" s="279"/>
      <c r="H49" s="91"/>
      <c r="I49" s="396">
        <f t="shared" si="8"/>
        <v>0</v>
      </c>
      <c r="J49" s="97">
        <f t="shared" si="9"/>
        <v>0</v>
      </c>
      <c r="M49" s="2">
        <v>27.22</v>
      </c>
      <c r="N49" s="16"/>
      <c r="O49" s="404">
        <f t="shared" si="2"/>
        <v>0</v>
      </c>
      <c r="P49" s="409"/>
      <c r="Q49" s="404">
        <f t="shared" si="3"/>
        <v>0</v>
      </c>
      <c r="R49" s="279"/>
      <c r="S49" s="91"/>
      <c r="T49" s="396">
        <f t="shared" si="10"/>
        <v>7.9580786405131221E-13</v>
      </c>
      <c r="U49" s="97">
        <f t="shared" si="11"/>
        <v>0</v>
      </c>
      <c r="X49" s="2">
        <v>27.22</v>
      </c>
      <c r="Y49" s="16"/>
      <c r="Z49" s="404">
        <f t="shared" si="6"/>
        <v>0</v>
      </c>
      <c r="AA49" s="409"/>
      <c r="AB49" s="404">
        <f t="shared" si="7"/>
        <v>0</v>
      </c>
      <c r="AC49" s="279"/>
      <c r="AD49" s="91"/>
      <c r="AE49" s="396">
        <f t="shared" si="12"/>
        <v>7621.6</v>
      </c>
      <c r="AF49" s="97">
        <f t="shared" si="13"/>
        <v>280</v>
      </c>
    </row>
    <row r="50" spans="1:32" x14ac:dyDescent="0.25">
      <c r="B50" s="2">
        <v>27.22</v>
      </c>
      <c r="C50" s="16"/>
      <c r="D50" s="89">
        <f t="shared" si="0"/>
        <v>0</v>
      </c>
      <c r="E50" s="126"/>
      <c r="F50" s="89">
        <f t="shared" si="1"/>
        <v>0</v>
      </c>
      <c r="G50" s="90"/>
      <c r="H50" s="91"/>
      <c r="I50" s="396">
        <f t="shared" si="8"/>
        <v>0</v>
      </c>
      <c r="J50" s="97">
        <f t="shared" si="9"/>
        <v>0</v>
      </c>
      <c r="M50" s="2">
        <v>27.22</v>
      </c>
      <c r="N50" s="16"/>
      <c r="O50" s="89">
        <f t="shared" si="2"/>
        <v>0</v>
      </c>
      <c r="P50" s="126"/>
      <c r="Q50" s="89">
        <f t="shared" si="3"/>
        <v>0</v>
      </c>
      <c r="R50" s="90"/>
      <c r="S50" s="91"/>
      <c r="T50" s="396">
        <f t="shared" si="10"/>
        <v>7.9580786405131221E-13</v>
      </c>
      <c r="U50" s="97">
        <f t="shared" si="11"/>
        <v>0</v>
      </c>
      <c r="X50" s="2">
        <v>27.22</v>
      </c>
      <c r="Y50" s="16"/>
      <c r="Z50" s="89">
        <f t="shared" si="6"/>
        <v>0</v>
      </c>
      <c r="AA50" s="126"/>
      <c r="AB50" s="89">
        <f t="shared" si="7"/>
        <v>0</v>
      </c>
      <c r="AC50" s="90"/>
      <c r="AD50" s="91"/>
      <c r="AE50" s="396">
        <f t="shared" si="12"/>
        <v>7621.6</v>
      </c>
      <c r="AF50" s="97">
        <f t="shared" si="13"/>
        <v>280</v>
      </c>
    </row>
    <row r="51" spans="1:32" x14ac:dyDescent="0.25">
      <c r="B51" s="2">
        <v>27.22</v>
      </c>
      <c r="C51" s="16"/>
      <c r="D51" s="89">
        <f t="shared" si="0"/>
        <v>0</v>
      </c>
      <c r="E51" s="126"/>
      <c r="F51" s="89">
        <f t="shared" si="1"/>
        <v>0</v>
      </c>
      <c r="G51" s="90"/>
      <c r="H51" s="91"/>
      <c r="I51" s="396">
        <f t="shared" si="8"/>
        <v>0</v>
      </c>
      <c r="J51" s="97">
        <f t="shared" si="9"/>
        <v>0</v>
      </c>
      <c r="M51" s="2">
        <v>27.22</v>
      </c>
      <c r="N51" s="16"/>
      <c r="O51" s="89">
        <f t="shared" si="2"/>
        <v>0</v>
      </c>
      <c r="P51" s="126"/>
      <c r="Q51" s="89">
        <f t="shared" si="3"/>
        <v>0</v>
      </c>
      <c r="R51" s="90"/>
      <c r="S51" s="91"/>
      <c r="T51" s="396">
        <f t="shared" si="10"/>
        <v>7.9580786405131221E-13</v>
      </c>
      <c r="U51" s="97">
        <f t="shared" si="11"/>
        <v>0</v>
      </c>
      <c r="X51" s="2">
        <v>27.22</v>
      </c>
      <c r="Y51" s="16"/>
      <c r="Z51" s="89">
        <f t="shared" si="6"/>
        <v>0</v>
      </c>
      <c r="AA51" s="126"/>
      <c r="AB51" s="89">
        <f t="shared" si="7"/>
        <v>0</v>
      </c>
      <c r="AC51" s="90"/>
      <c r="AD51" s="91"/>
      <c r="AE51" s="396">
        <f t="shared" si="12"/>
        <v>7621.6</v>
      </c>
      <c r="AF51" s="97">
        <f t="shared" si="13"/>
        <v>280</v>
      </c>
    </row>
    <row r="52" spans="1:32" x14ac:dyDescent="0.25">
      <c r="B52" s="2">
        <v>27.22</v>
      </c>
      <c r="C52" s="16"/>
      <c r="D52" s="89">
        <f t="shared" si="0"/>
        <v>0</v>
      </c>
      <c r="E52" s="126"/>
      <c r="F52" s="89">
        <f t="shared" si="1"/>
        <v>0</v>
      </c>
      <c r="G52" s="90"/>
      <c r="H52" s="91"/>
      <c r="I52" s="396">
        <f t="shared" si="8"/>
        <v>0</v>
      </c>
      <c r="J52" s="97">
        <f t="shared" si="9"/>
        <v>0</v>
      </c>
      <c r="M52" s="2">
        <v>27.22</v>
      </c>
      <c r="N52" s="16"/>
      <c r="O52" s="89">
        <f t="shared" si="2"/>
        <v>0</v>
      </c>
      <c r="P52" s="126"/>
      <c r="Q52" s="89">
        <f t="shared" si="3"/>
        <v>0</v>
      </c>
      <c r="R52" s="90"/>
      <c r="S52" s="91"/>
      <c r="T52" s="396">
        <f t="shared" si="10"/>
        <v>7.9580786405131221E-13</v>
      </c>
      <c r="U52" s="97">
        <f t="shared" si="11"/>
        <v>0</v>
      </c>
      <c r="X52" s="2">
        <v>27.22</v>
      </c>
      <c r="Y52" s="16"/>
      <c r="Z52" s="89">
        <f t="shared" si="6"/>
        <v>0</v>
      </c>
      <c r="AA52" s="126"/>
      <c r="AB52" s="89">
        <f t="shared" si="7"/>
        <v>0</v>
      </c>
      <c r="AC52" s="90"/>
      <c r="AD52" s="91"/>
      <c r="AE52" s="396">
        <f t="shared" si="12"/>
        <v>7621.6</v>
      </c>
      <c r="AF52" s="97">
        <f t="shared" si="13"/>
        <v>280</v>
      </c>
    </row>
    <row r="53" spans="1:32" x14ac:dyDescent="0.25">
      <c r="B53" s="2">
        <v>27.22</v>
      </c>
      <c r="C53" s="16"/>
      <c r="D53" s="89">
        <f t="shared" si="0"/>
        <v>0</v>
      </c>
      <c r="E53" s="126"/>
      <c r="F53" s="89">
        <f t="shared" si="1"/>
        <v>0</v>
      </c>
      <c r="G53" s="90"/>
      <c r="H53" s="91"/>
      <c r="I53" s="396">
        <f t="shared" si="8"/>
        <v>0</v>
      </c>
      <c r="J53" s="97">
        <f t="shared" si="9"/>
        <v>0</v>
      </c>
      <c r="M53" s="2">
        <v>27.22</v>
      </c>
      <c r="N53" s="16"/>
      <c r="O53" s="89">
        <f t="shared" si="2"/>
        <v>0</v>
      </c>
      <c r="P53" s="126"/>
      <c r="Q53" s="89">
        <f t="shared" si="3"/>
        <v>0</v>
      </c>
      <c r="R53" s="90"/>
      <c r="S53" s="91"/>
      <c r="T53" s="396">
        <f t="shared" si="10"/>
        <v>7.9580786405131221E-13</v>
      </c>
      <c r="U53" s="97">
        <f t="shared" si="11"/>
        <v>0</v>
      </c>
      <c r="X53" s="2">
        <v>27.22</v>
      </c>
      <c r="Y53" s="16"/>
      <c r="Z53" s="89">
        <f t="shared" si="6"/>
        <v>0</v>
      </c>
      <c r="AA53" s="126"/>
      <c r="AB53" s="89">
        <f t="shared" si="7"/>
        <v>0</v>
      </c>
      <c r="AC53" s="90"/>
      <c r="AD53" s="91"/>
      <c r="AE53" s="396">
        <f t="shared" si="12"/>
        <v>7621.6</v>
      </c>
      <c r="AF53" s="97">
        <f t="shared" si="13"/>
        <v>280</v>
      </c>
    </row>
    <row r="54" spans="1:32" x14ac:dyDescent="0.25">
      <c r="B54" s="2">
        <v>27.22</v>
      </c>
      <c r="C54" s="16"/>
      <c r="D54" s="89">
        <f t="shared" si="0"/>
        <v>0</v>
      </c>
      <c r="E54" s="126"/>
      <c r="F54" s="89">
        <f t="shared" si="1"/>
        <v>0</v>
      </c>
      <c r="G54" s="90"/>
      <c r="H54" s="91"/>
      <c r="I54" s="396">
        <f t="shared" si="8"/>
        <v>0</v>
      </c>
      <c r="J54" s="97">
        <f t="shared" si="9"/>
        <v>0</v>
      </c>
      <c r="M54" s="2">
        <v>27.22</v>
      </c>
      <c r="N54" s="16"/>
      <c r="O54" s="89">
        <f t="shared" si="2"/>
        <v>0</v>
      </c>
      <c r="P54" s="126"/>
      <c r="Q54" s="89">
        <f t="shared" si="3"/>
        <v>0</v>
      </c>
      <c r="R54" s="90"/>
      <c r="S54" s="91"/>
      <c r="T54" s="396">
        <f t="shared" si="10"/>
        <v>7.9580786405131221E-13</v>
      </c>
      <c r="U54" s="97">
        <f t="shared" si="11"/>
        <v>0</v>
      </c>
      <c r="X54" s="2">
        <v>27.22</v>
      </c>
      <c r="Y54" s="16"/>
      <c r="Z54" s="89">
        <f t="shared" si="6"/>
        <v>0</v>
      </c>
      <c r="AA54" s="126"/>
      <c r="AB54" s="89">
        <f t="shared" si="7"/>
        <v>0</v>
      </c>
      <c r="AC54" s="90"/>
      <c r="AD54" s="91"/>
      <c r="AE54" s="396">
        <f t="shared" si="12"/>
        <v>7621.6</v>
      </c>
      <c r="AF54" s="97">
        <f t="shared" si="13"/>
        <v>280</v>
      </c>
    </row>
    <row r="55" spans="1:32" x14ac:dyDescent="0.25">
      <c r="B55" s="2">
        <v>27.22</v>
      </c>
      <c r="C55" s="16"/>
      <c r="D55" s="89">
        <f t="shared" si="0"/>
        <v>0</v>
      </c>
      <c r="E55" s="126"/>
      <c r="F55" s="89">
        <f t="shared" si="1"/>
        <v>0</v>
      </c>
      <c r="G55" s="90"/>
      <c r="H55" s="91"/>
      <c r="I55" s="396">
        <f t="shared" si="8"/>
        <v>0</v>
      </c>
      <c r="J55" s="97">
        <f t="shared" si="9"/>
        <v>0</v>
      </c>
      <c r="M55" s="2">
        <v>27.22</v>
      </c>
      <c r="N55" s="16"/>
      <c r="O55" s="89">
        <f t="shared" si="2"/>
        <v>0</v>
      </c>
      <c r="P55" s="126"/>
      <c r="Q55" s="89">
        <f t="shared" si="3"/>
        <v>0</v>
      </c>
      <c r="R55" s="90"/>
      <c r="S55" s="91"/>
      <c r="T55" s="396">
        <f t="shared" si="10"/>
        <v>7.9580786405131221E-13</v>
      </c>
      <c r="U55" s="97">
        <f t="shared" si="11"/>
        <v>0</v>
      </c>
      <c r="X55" s="2">
        <v>27.22</v>
      </c>
      <c r="Y55" s="16"/>
      <c r="Z55" s="89">
        <f t="shared" si="6"/>
        <v>0</v>
      </c>
      <c r="AA55" s="126"/>
      <c r="AB55" s="89">
        <f t="shared" si="7"/>
        <v>0</v>
      </c>
      <c r="AC55" s="90"/>
      <c r="AD55" s="91"/>
      <c r="AE55" s="396">
        <f t="shared" si="12"/>
        <v>7621.6</v>
      </c>
      <c r="AF55" s="97">
        <f t="shared" si="13"/>
        <v>280</v>
      </c>
    </row>
    <row r="56" spans="1:32" x14ac:dyDescent="0.25">
      <c r="B56" s="2">
        <v>27.22</v>
      </c>
      <c r="C56" s="16"/>
      <c r="D56" s="89">
        <f t="shared" si="0"/>
        <v>0</v>
      </c>
      <c r="E56" s="126"/>
      <c r="F56" s="89">
        <f t="shared" si="1"/>
        <v>0</v>
      </c>
      <c r="G56" s="90"/>
      <c r="H56" s="91"/>
      <c r="I56" s="396">
        <f t="shared" si="8"/>
        <v>0</v>
      </c>
      <c r="J56" s="97">
        <f t="shared" si="9"/>
        <v>0</v>
      </c>
      <c r="M56" s="2">
        <v>27.22</v>
      </c>
      <c r="N56" s="16"/>
      <c r="O56" s="89">
        <f t="shared" si="2"/>
        <v>0</v>
      </c>
      <c r="P56" s="126"/>
      <c r="Q56" s="89">
        <f t="shared" si="3"/>
        <v>0</v>
      </c>
      <c r="R56" s="90"/>
      <c r="S56" s="91"/>
      <c r="T56" s="396">
        <f t="shared" si="10"/>
        <v>7.9580786405131221E-13</v>
      </c>
      <c r="U56" s="97">
        <f t="shared" si="11"/>
        <v>0</v>
      </c>
      <c r="X56" s="2">
        <v>27.22</v>
      </c>
      <c r="Y56" s="16"/>
      <c r="Z56" s="89">
        <f t="shared" si="6"/>
        <v>0</v>
      </c>
      <c r="AA56" s="126"/>
      <c r="AB56" s="89">
        <f t="shared" si="7"/>
        <v>0</v>
      </c>
      <c r="AC56" s="90"/>
      <c r="AD56" s="91"/>
      <c r="AE56" s="396">
        <f t="shared" si="12"/>
        <v>7621.6</v>
      </c>
      <c r="AF56" s="97">
        <f t="shared" si="13"/>
        <v>280</v>
      </c>
    </row>
    <row r="57" spans="1:32" x14ac:dyDescent="0.25">
      <c r="B57" s="2">
        <v>27.22</v>
      </c>
      <c r="C57" s="16"/>
      <c r="D57" s="89">
        <f t="shared" si="0"/>
        <v>0</v>
      </c>
      <c r="E57" s="126"/>
      <c r="F57" s="89">
        <f t="shared" si="1"/>
        <v>0</v>
      </c>
      <c r="G57" s="90"/>
      <c r="H57" s="91"/>
      <c r="I57" s="396">
        <f t="shared" si="8"/>
        <v>0</v>
      </c>
      <c r="J57" s="97">
        <f t="shared" si="9"/>
        <v>0</v>
      </c>
      <c r="M57" s="2">
        <v>27.22</v>
      </c>
      <c r="N57" s="16"/>
      <c r="O57" s="89">
        <f t="shared" si="2"/>
        <v>0</v>
      </c>
      <c r="P57" s="126"/>
      <c r="Q57" s="89">
        <f t="shared" si="3"/>
        <v>0</v>
      </c>
      <c r="R57" s="90"/>
      <c r="S57" s="91"/>
      <c r="T57" s="396">
        <f t="shared" si="10"/>
        <v>7.9580786405131221E-13</v>
      </c>
      <c r="U57" s="97">
        <f t="shared" si="11"/>
        <v>0</v>
      </c>
      <c r="X57" s="2">
        <v>27.22</v>
      </c>
      <c r="Y57" s="16"/>
      <c r="Z57" s="89">
        <f t="shared" si="6"/>
        <v>0</v>
      </c>
      <c r="AA57" s="126"/>
      <c r="AB57" s="89">
        <f t="shared" si="7"/>
        <v>0</v>
      </c>
      <c r="AC57" s="90"/>
      <c r="AD57" s="91"/>
      <c r="AE57" s="396">
        <f t="shared" si="12"/>
        <v>7621.6</v>
      </c>
      <c r="AF57" s="97">
        <f t="shared" si="13"/>
        <v>280</v>
      </c>
    </row>
    <row r="58" spans="1:32" x14ac:dyDescent="0.25">
      <c r="B58" s="2">
        <v>27.22</v>
      </c>
      <c r="C58" s="16"/>
      <c r="D58" s="89">
        <f t="shared" si="0"/>
        <v>0</v>
      </c>
      <c r="E58" s="126"/>
      <c r="F58" s="89">
        <f t="shared" si="1"/>
        <v>0</v>
      </c>
      <c r="G58" s="90"/>
      <c r="H58" s="91"/>
      <c r="I58" s="396">
        <f t="shared" si="8"/>
        <v>0</v>
      </c>
      <c r="J58" s="97">
        <f t="shared" si="9"/>
        <v>0</v>
      </c>
      <c r="M58" s="2">
        <v>27.22</v>
      </c>
      <c r="N58" s="16"/>
      <c r="O58" s="89">
        <f t="shared" si="2"/>
        <v>0</v>
      </c>
      <c r="P58" s="126"/>
      <c r="Q58" s="89">
        <f t="shared" si="3"/>
        <v>0</v>
      </c>
      <c r="R58" s="90"/>
      <c r="S58" s="91"/>
      <c r="T58" s="396">
        <f t="shared" si="10"/>
        <v>7.9580786405131221E-13</v>
      </c>
      <c r="U58" s="97">
        <f t="shared" si="11"/>
        <v>0</v>
      </c>
      <c r="X58" s="2">
        <v>27.22</v>
      </c>
      <c r="Y58" s="16"/>
      <c r="Z58" s="89">
        <f t="shared" si="6"/>
        <v>0</v>
      </c>
      <c r="AA58" s="126"/>
      <c r="AB58" s="89">
        <f t="shared" si="7"/>
        <v>0</v>
      </c>
      <c r="AC58" s="90"/>
      <c r="AD58" s="91"/>
      <c r="AE58" s="396">
        <f t="shared" si="12"/>
        <v>7621.6</v>
      </c>
      <c r="AF58" s="97">
        <f t="shared" si="13"/>
        <v>280</v>
      </c>
    </row>
    <row r="59" spans="1:32" ht="15.75" thickBot="1" x14ac:dyDescent="0.3">
      <c r="A59" s="177"/>
      <c r="B59" s="2">
        <v>27.22</v>
      </c>
      <c r="C59" s="16"/>
      <c r="D59" s="89">
        <f t="shared" si="0"/>
        <v>0</v>
      </c>
      <c r="E59" s="126"/>
      <c r="F59" s="89">
        <f t="shared" si="1"/>
        <v>0</v>
      </c>
      <c r="G59" s="90"/>
      <c r="H59" s="91"/>
      <c r="I59" s="396">
        <f t="shared" si="8"/>
        <v>0</v>
      </c>
      <c r="J59" s="97">
        <f t="shared" si="9"/>
        <v>0</v>
      </c>
      <c r="L59" s="177"/>
      <c r="M59" s="2">
        <v>27.22</v>
      </c>
      <c r="N59" s="16"/>
      <c r="O59" s="89">
        <f t="shared" si="2"/>
        <v>0</v>
      </c>
      <c r="P59" s="126"/>
      <c r="Q59" s="89">
        <f t="shared" si="3"/>
        <v>0</v>
      </c>
      <c r="R59" s="90"/>
      <c r="S59" s="91"/>
      <c r="T59" s="396">
        <f t="shared" si="10"/>
        <v>7.9580786405131221E-13</v>
      </c>
      <c r="U59" s="97">
        <f t="shared" si="11"/>
        <v>0</v>
      </c>
      <c r="W59" s="177"/>
      <c r="X59" s="2">
        <v>27.22</v>
      </c>
      <c r="Y59" s="16"/>
      <c r="Z59" s="89">
        <f t="shared" si="6"/>
        <v>0</v>
      </c>
      <c r="AA59" s="126"/>
      <c r="AB59" s="89">
        <f t="shared" si="7"/>
        <v>0</v>
      </c>
      <c r="AC59" s="90"/>
      <c r="AD59" s="91"/>
      <c r="AE59" s="396">
        <f t="shared" si="12"/>
        <v>7621.6</v>
      </c>
      <c r="AF59" s="97">
        <f t="shared" si="13"/>
        <v>280</v>
      </c>
    </row>
    <row r="60" spans="1:32" ht="15.75" thickTop="1" x14ac:dyDescent="0.25">
      <c r="A60">
        <f>SUM(A58:A59)</f>
        <v>0</v>
      </c>
      <c r="B60" s="2">
        <v>27.22</v>
      </c>
      <c r="C60" s="16"/>
      <c r="D60" s="89">
        <f t="shared" si="0"/>
        <v>0</v>
      </c>
      <c r="E60" s="126"/>
      <c r="F60" s="89">
        <f t="shared" si="1"/>
        <v>0</v>
      </c>
      <c r="G60" s="90"/>
      <c r="H60" s="91"/>
      <c r="I60" s="396">
        <f t="shared" si="8"/>
        <v>0</v>
      </c>
      <c r="J60" s="97">
        <f t="shared" si="9"/>
        <v>0</v>
      </c>
      <c r="L60">
        <f>SUM(L58:L59)</f>
        <v>0</v>
      </c>
      <c r="M60" s="2">
        <v>27.22</v>
      </c>
      <c r="N60" s="16"/>
      <c r="O60" s="89">
        <f t="shared" si="2"/>
        <v>0</v>
      </c>
      <c r="P60" s="126"/>
      <c r="Q60" s="89">
        <f t="shared" si="3"/>
        <v>0</v>
      </c>
      <c r="R60" s="90"/>
      <c r="S60" s="91"/>
      <c r="T60" s="396">
        <f t="shared" si="10"/>
        <v>7.9580786405131221E-13</v>
      </c>
      <c r="U60" s="97">
        <f t="shared" si="11"/>
        <v>0</v>
      </c>
      <c r="W60">
        <f>SUM(W58:W59)</f>
        <v>0</v>
      </c>
      <c r="X60" s="2">
        <v>27.22</v>
      </c>
      <c r="Y60" s="16"/>
      <c r="Z60" s="89">
        <f t="shared" si="6"/>
        <v>0</v>
      </c>
      <c r="AA60" s="126"/>
      <c r="AB60" s="89">
        <f t="shared" si="7"/>
        <v>0</v>
      </c>
      <c r="AC60" s="90"/>
      <c r="AD60" s="91"/>
      <c r="AE60" s="396">
        <f t="shared" si="12"/>
        <v>7621.6</v>
      </c>
      <c r="AF60" s="97">
        <f t="shared" si="13"/>
        <v>280</v>
      </c>
    </row>
    <row r="61" spans="1:32" ht="15.75" thickBot="1" x14ac:dyDescent="0.3">
      <c r="B61" s="2">
        <v>27.22</v>
      </c>
      <c r="C61" s="39"/>
      <c r="D61" s="235">
        <f t="shared" si="0"/>
        <v>0</v>
      </c>
      <c r="E61" s="248"/>
      <c r="F61" s="235">
        <f t="shared" si="1"/>
        <v>0</v>
      </c>
      <c r="G61" s="209"/>
      <c r="H61" s="91"/>
      <c r="M61" s="2">
        <v>27.22</v>
      </c>
      <c r="N61" s="39"/>
      <c r="O61" s="235">
        <f t="shared" si="2"/>
        <v>0</v>
      </c>
      <c r="P61" s="248"/>
      <c r="Q61" s="235">
        <f t="shared" si="3"/>
        <v>0</v>
      </c>
      <c r="R61" s="209"/>
      <c r="S61" s="91"/>
      <c r="X61" s="2">
        <v>27.22</v>
      </c>
      <c r="Y61" s="39"/>
      <c r="Z61" s="235">
        <f t="shared" si="6"/>
        <v>0</v>
      </c>
      <c r="AA61" s="248"/>
      <c r="AB61" s="235">
        <f t="shared" si="7"/>
        <v>0</v>
      </c>
      <c r="AC61" s="209"/>
      <c r="AD61" s="91"/>
    </row>
    <row r="62" spans="1:32" x14ac:dyDescent="0.25">
      <c r="C62" s="62">
        <f>SUM(C8:C61)</f>
        <v>193</v>
      </c>
      <c r="D62" s="7">
        <f>SUM(D8:D61)</f>
        <v>5254.579999999999</v>
      </c>
      <c r="F62" s="7">
        <f>SUM(F8:F61)</f>
        <v>5254.579999999999</v>
      </c>
      <c r="N62" s="62">
        <f>SUM(N8:N61)</f>
        <v>345</v>
      </c>
      <c r="O62" s="7">
        <f>SUM(O8:O61)</f>
        <v>9390.8999999999978</v>
      </c>
      <c r="Q62" s="7">
        <f>SUM(Q8:Q61)</f>
        <v>9390.8999999999978</v>
      </c>
      <c r="Y62" s="62">
        <f>SUM(Y8:Y61)</f>
        <v>92</v>
      </c>
      <c r="Z62" s="7">
        <f>SUM(Z8:Z61)</f>
        <v>2504.2399999999998</v>
      </c>
      <c r="AB62" s="7">
        <f>SUM(AB8:AB61)</f>
        <v>2504.2399999999998</v>
      </c>
    </row>
    <row r="64" spans="1:32" ht="15.75" thickBot="1" x14ac:dyDescent="0.3"/>
    <row r="65" spans="3:30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0</v>
      </c>
      <c r="Z65" s="49" t="s">
        <v>4</v>
      </c>
      <c r="AA65" s="72">
        <f>AB5-Y62+AB4+AB6</f>
        <v>280</v>
      </c>
    </row>
    <row r="66" spans="3:30" ht="15.75" thickBot="1" x14ac:dyDescent="0.3"/>
    <row r="67" spans="3:30" ht="15.75" thickBot="1" x14ac:dyDescent="0.3">
      <c r="C67" s="766" t="s">
        <v>11</v>
      </c>
      <c r="D67" s="767"/>
      <c r="E67" s="74">
        <f>E4+E5+E6-F62</f>
        <v>0</v>
      </c>
      <c r="G67" s="51"/>
      <c r="H67" s="133"/>
      <c r="N67" s="766" t="s">
        <v>11</v>
      </c>
      <c r="O67" s="767"/>
      <c r="P67" s="74">
        <f>P4+P5+P6-Q62</f>
        <v>0</v>
      </c>
      <c r="R67" s="51"/>
      <c r="S67" s="133"/>
      <c r="Y67" s="766" t="s">
        <v>11</v>
      </c>
      <c r="Z67" s="767"/>
      <c r="AA67" s="74">
        <f>AA4+AA5+AA6-AB62</f>
        <v>7621.6</v>
      </c>
      <c r="AC67" s="51"/>
      <c r="AD67" s="133"/>
    </row>
  </sheetData>
  <mergeCells count="9">
    <mergeCell ref="A1:G1"/>
    <mergeCell ref="A5:A6"/>
    <mergeCell ref="C67:D67"/>
    <mergeCell ref="W1:AC1"/>
    <mergeCell ref="W5:W6"/>
    <mergeCell ref="Y67:Z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topLeftCell="C1" workbookViewId="0">
      <pane ySplit="8" topLeftCell="A9" activePane="bottomLeft" state="frozen"/>
      <selection pane="bottomLeft" activeCell="C19" sqref="C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60" t="s">
        <v>144</v>
      </c>
      <c r="B1" s="760"/>
      <c r="C1" s="760"/>
      <c r="D1" s="760"/>
      <c r="E1" s="760"/>
      <c r="F1" s="760"/>
      <c r="G1" s="760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9" ht="15.75" thickTop="1" x14ac:dyDescent="0.25">
      <c r="B4" s="125" t="s">
        <v>42</v>
      </c>
      <c r="C4" s="245"/>
      <c r="D4" s="203"/>
      <c r="E4" s="182"/>
      <c r="F4" s="97"/>
      <c r="G4" s="97"/>
    </row>
    <row r="5" spans="1:9" ht="15.75" customHeight="1" x14ac:dyDescent="0.25">
      <c r="A5" s="765" t="s">
        <v>126</v>
      </c>
      <c r="B5" s="577" t="s">
        <v>189</v>
      </c>
      <c r="C5" s="442">
        <v>100</v>
      </c>
      <c r="D5" s="446">
        <v>43748</v>
      </c>
      <c r="E5" s="675">
        <v>3062.56</v>
      </c>
      <c r="F5" s="441">
        <v>161</v>
      </c>
      <c r="G5" s="690">
        <f>F55</f>
        <v>3062.5600000000004</v>
      </c>
      <c r="H5" s="8">
        <f>E5-G5+E4+E6+E7</f>
        <v>-4.5474735088646412E-13</v>
      </c>
    </row>
    <row r="6" spans="1:9" x14ac:dyDescent="0.25">
      <c r="A6" s="765"/>
      <c r="B6" s="441"/>
      <c r="C6" s="442"/>
      <c r="D6" s="506"/>
      <c r="E6" s="507"/>
      <c r="F6" s="441"/>
    </row>
    <row r="7" spans="1:9" ht="15.75" thickBot="1" x14ac:dyDescent="0.3">
      <c r="B7" s="97"/>
      <c r="C7" s="148"/>
      <c r="D7" s="241"/>
      <c r="E7" s="154"/>
      <c r="F7" s="97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71" t="s">
        <v>32</v>
      </c>
      <c r="B9" s="342">
        <f>F4+F5+F6+F7-C9</f>
        <v>131</v>
      </c>
      <c r="C9" s="16">
        <v>30</v>
      </c>
      <c r="D9" s="89">
        <v>562.88</v>
      </c>
      <c r="E9" s="126">
        <v>43749</v>
      </c>
      <c r="F9" s="89">
        <f t="shared" ref="F9:F54" si="0">D9</f>
        <v>562.88</v>
      </c>
      <c r="G9" s="90" t="s">
        <v>209</v>
      </c>
      <c r="H9" s="91">
        <v>105</v>
      </c>
      <c r="I9" s="116">
        <f>E6+E5+E4-F9+E7</f>
        <v>2499.6799999999998</v>
      </c>
    </row>
    <row r="10" spans="1:9" x14ac:dyDescent="0.25">
      <c r="A10" s="115"/>
      <c r="B10" s="342">
        <f>B9-C10</f>
        <v>126</v>
      </c>
      <c r="C10" s="16">
        <v>5</v>
      </c>
      <c r="D10" s="89">
        <v>89.46</v>
      </c>
      <c r="E10" s="126">
        <v>43749</v>
      </c>
      <c r="F10" s="89">
        <f t="shared" si="0"/>
        <v>89.46</v>
      </c>
      <c r="G10" s="90" t="s">
        <v>225</v>
      </c>
      <c r="H10" s="91">
        <v>105</v>
      </c>
      <c r="I10" s="116">
        <f>I9-F10</f>
        <v>2410.2199999999998</v>
      </c>
    </row>
    <row r="11" spans="1:9" x14ac:dyDescent="0.25">
      <c r="A11" s="13"/>
      <c r="B11" s="342">
        <f t="shared" ref="B11:B53" si="1">B10-C11</f>
        <v>96</v>
      </c>
      <c r="C11" s="16">
        <v>30</v>
      </c>
      <c r="D11" s="89">
        <v>541.88</v>
      </c>
      <c r="E11" s="126">
        <v>43752</v>
      </c>
      <c r="F11" s="89">
        <f t="shared" si="0"/>
        <v>541.88</v>
      </c>
      <c r="G11" s="90" t="s">
        <v>210</v>
      </c>
      <c r="H11" s="91">
        <v>105</v>
      </c>
      <c r="I11" s="116">
        <f t="shared" ref="I11:I54" si="2">I10-F11</f>
        <v>1868.3399999999997</v>
      </c>
    </row>
    <row r="12" spans="1:9" x14ac:dyDescent="0.25">
      <c r="A12" s="71" t="s">
        <v>33</v>
      </c>
      <c r="B12" s="342">
        <f t="shared" si="1"/>
        <v>66</v>
      </c>
      <c r="C12" s="16">
        <v>30</v>
      </c>
      <c r="D12" s="89">
        <v>581.20000000000005</v>
      </c>
      <c r="E12" s="126">
        <v>43756</v>
      </c>
      <c r="F12" s="89">
        <f t="shared" si="0"/>
        <v>581.20000000000005</v>
      </c>
      <c r="G12" s="90" t="s">
        <v>297</v>
      </c>
      <c r="H12" s="91">
        <v>105</v>
      </c>
      <c r="I12" s="116">
        <f t="shared" si="2"/>
        <v>1287.1399999999996</v>
      </c>
    </row>
    <row r="13" spans="1:9" x14ac:dyDescent="0.25">
      <c r="A13" s="115"/>
      <c r="B13" s="342">
        <f t="shared" si="1"/>
        <v>36</v>
      </c>
      <c r="C13" s="16">
        <v>30</v>
      </c>
      <c r="D13" s="89">
        <v>575.46</v>
      </c>
      <c r="E13" s="126">
        <v>43756</v>
      </c>
      <c r="F13" s="89">
        <f t="shared" si="0"/>
        <v>575.46</v>
      </c>
      <c r="G13" s="90" t="s">
        <v>297</v>
      </c>
      <c r="H13" s="91">
        <v>105</v>
      </c>
      <c r="I13" s="116">
        <f t="shared" si="2"/>
        <v>711.67999999999961</v>
      </c>
    </row>
    <row r="14" spans="1:9" x14ac:dyDescent="0.25">
      <c r="A14" s="13"/>
      <c r="B14" s="342">
        <f t="shared" si="1"/>
        <v>6</v>
      </c>
      <c r="C14" s="16">
        <v>30</v>
      </c>
      <c r="D14" s="89">
        <v>588.29999999999995</v>
      </c>
      <c r="E14" s="126">
        <v>43756</v>
      </c>
      <c r="F14" s="89">
        <f t="shared" si="0"/>
        <v>588.29999999999995</v>
      </c>
      <c r="G14" s="90" t="s">
        <v>297</v>
      </c>
      <c r="H14" s="91">
        <v>105</v>
      </c>
      <c r="I14" s="116">
        <f t="shared" si="2"/>
        <v>123.37999999999965</v>
      </c>
    </row>
    <row r="15" spans="1:9" x14ac:dyDescent="0.25">
      <c r="B15" s="342">
        <f t="shared" si="1"/>
        <v>0</v>
      </c>
      <c r="C15" s="62">
        <v>6</v>
      </c>
      <c r="D15" s="89">
        <v>123.38</v>
      </c>
      <c r="E15" s="126">
        <v>43756</v>
      </c>
      <c r="F15" s="89">
        <f t="shared" si="0"/>
        <v>123.38</v>
      </c>
      <c r="G15" s="90" t="s">
        <v>297</v>
      </c>
      <c r="H15" s="91">
        <v>105</v>
      </c>
      <c r="I15" s="116">
        <f t="shared" si="2"/>
        <v>-3.4106051316484809E-13</v>
      </c>
    </row>
    <row r="16" spans="1:9" x14ac:dyDescent="0.25">
      <c r="B16" s="342">
        <f t="shared" si="1"/>
        <v>0</v>
      </c>
      <c r="C16" s="16"/>
      <c r="D16" s="89"/>
      <c r="E16" s="126"/>
      <c r="F16" s="89">
        <f t="shared" si="0"/>
        <v>0</v>
      </c>
      <c r="G16" s="707"/>
      <c r="H16" s="708"/>
      <c r="I16" s="116">
        <f t="shared" si="2"/>
        <v>-3.4106051316484809E-13</v>
      </c>
    </row>
    <row r="17" spans="2:9" x14ac:dyDescent="0.25">
      <c r="B17" s="342">
        <f t="shared" si="1"/>
        <v>0</v>
      </c>
      <c r="C17" s="16"/>
      <c r="D17" s="388"/>
      <c r="E17" s="625"/>
      <c r="F17" s="388">
        <f t="shared" si="0"/>
        <v>0</v>
      </c>
      <c r="G17" s="709"/>
      <c r="H17" s="710"/>
      <c r="I17" s="116">
        <f t="shared" si="2"/>
        <v>-3.4106051316484809E-13</v>
      </c>
    </row>
    <row r="18" spans="2:9" x14ac:dyDescent="0.25">
      <c r="B18" s="342">
        <f t="shared" si="1"/>
        <v>0</v>
      </c>
      <c r="C18" s="62"/>
      <c r="D18" s="388"/>
      <c r="E18" s="625"/>
      <c r="F18" s="388">
        <f t="shared" si="0"/>
        <v>0</v>
      </c>
      <c r="G18" s="709"/>
      <c r="H18" s="710"/>
      <c r="I18" s="116">
        <f t="shared" si="2"/>
        <v>-3.4106051316484809E-13</v>
      </c>
    </row>
    <row r="19" spans="2:9" x14ac:dyDescent="0.25">
      <c r="B19" s="342">
        <f t="shared" si="1"/>
        <v>0</v>
      </c>
      <c r="C19" s="16"/>
      <c r="D19" s="388"/>
      <c r="E19" s="625"/>
      <c r="F19" s="388">
        <f t="shared" si="0"/>
        <v>0</v>
      </c>
      <c r="G19" s="709"/>
      <c r="H19" s="710"/>
      <c r="I19" s="116">
        <f t="shared" si="2"/>
        <v>-3.4106051316484809E-13</v>
      </c>
    </row>
    <row r="20" spans="2:9" x14ac:dyDescent="0.25">
      <c r="B20" s="342">
        <f t="shared" si="1"/>
        <v>0</v>
      </c>
      <c r="C20" s="16"/>
      <c r="D20" s="388"/>
      <c r="E20" s="625"/>
      <c r="F20" s="388">
        <f t="shared" si="0"/>
        <v>0</v>
      </c>
      <c r="G20" s="709"/>
      <c r="H20" s="710"/>
      <c r="I20" s="116">
        <f t="shared" si="2"/>
        <v>-3.4106051316484809E-13</v>
      </c>
    </row>
    <row r="21" spans="2:9" x14ac:dyDescent="0.25">
      <c r="B21" s="342">
        <f t="shared" si="1"/>
        <v>0</v>
      </c>
      <c r="C21" s="16"/>
      <c r="D21" s="388"/>
      <c r="E21" s="625"/>
      <c r="F21" s="388">
        <f t="shared" si="0"/>
        <v>0</v>
      </c>
      <c r="G21" s="709"/>
      <c r="H21" s="710"/>
      <c r="I21" s="116">
        <f t="shared" si="2"/>
        <v>-3.4106051316484809E-13</v>
      </c>
    </row>
    <row r="22" spans="2:9" x14ac:dyDescent="0.25">
      <c r="B22" s="342">
        <f t="shared" si="1"/>
        <v>0</v>
      </c>
      <c r="C22" s="16"/>
      <c r="D22" s="388"/>
      <c r="E22" s="625"/>
      <c r="F22" s="388">
        <f t="shared" si="0"/>
        <v>0</v>
      </c>
      <c r="G22" s="389"/>
      <c r="H22" s="284"/>
      <c r="I22" s="116">
        <f t="shared" si="2"/>
        <v>-3.4106051316484809E-13</v>
      </c>
    </row>
    <row r="23" spans="2:9" x14ac:dyDescent="0.25">
      <c r="B23" s="342">
        <f t="shared" si="1"/>
        <v>0</v>
      </c>
      <c r="C23" s="16"/>
      <c r="D23" s="388"/>
      <c r="E23" s="625"/>
      <c r="F23" s="388">
        <f t="shared" si="0"/>
        <v>0</v>
      </c>
      <c r="G23" s="389"/>
      <c r="H23" s="284"/>
      <c r="I23" s="116">
        <f t="shared" si="2"/>
        <v>-3.4106051316484809E-13</v>
      </c>
    </row>
    <row r="24" spans="2:9" x14ac:dyDescent="0.25">
      <c r="B24" s="342">
        <f t="shared" si="1"/>
        <v>0</v>
      </c>
      <c r="C24" s="16"/>
      <c r="D24" s="388"/>
      <c r="E24" s="625"/>
      <c r="F24" s="388">
        <f t="shared" si="0"/>
        <v>0</v>
      </c>
      <c r="G24" s="389"/>
      <c r="H24" s="284"/>
      <c r="I24" s="116">
        <f t="shared" si="2"/>
        <v>-3.4106051316484809E-13</v>
      </c>
    </row>
    <row r="25" spans="2:9" x14ac:dyDescent="0.25">
      <c r="B25" s="342">
        <f t="shared" si="1"/>
        <v>0</v>
      </c>
      <c r="C25" s="16"/>
      <c r="D25" s="388"/>
      <c r="E25" s="625"/>
      <c r="F25" s="388">
        <f t="shared" si="0"/>
        <v>0</v>
      </c>
      <c r="G25" s="389"/>
      <c r="H25" s="284"/>
      <c r="I25" s="116">
        <f t="shared" si="2"/>
        <v>-3.4106051316484809E-13</v>
      </c>
    </row>
    <row r="26" spans="2:9" x14ac:dyDescent="0.25">
      <c r="B26" s="342">
        <f t="shared" si="1"/>
        <v>0</v>
      </c>
      <c r="C26" s="16"/>
      <c r="D26" s="388"/>
      <c r="E26" s="625"/>
      <c r="F26" s="388">
        <f t="shared" si="0"/>
        <v>0</v>
      </c>
      <c r="G26" s="389"/>
      <c r="H26" s="284"/>
      <c r="I26" s="116">
        <f t="shared" si="2"/>
        <v>-3.4106051316484809E-13</v>
      </c>
    </row>
    <row r="27" spans="2:9" x14ac:dyDescent="0.25">
      <c r="B27" s="342">
        <f t="shared" si="1"/>
        <v>0</v>
      </c>
      <c r="C27" s="16"/>
      <c r="D27" s="388"/>
      <c r="E27" s="625"/>
      <c r="F27" s="388">
        <f t="shared" si="0"/>
        <v>0</v>
      </c>
      <c r="G27" s="389"/>
      <c r="H27" s="284"/>
      <c r="I27" s="116">
        <f t="shared" si="2"/>
        <v>-3.4106051316484809E-13</v>
      </c>
    </row>
    <row r="28" spans="2:9" x14ac:dyDescent="0.25">
      <c r="B28" s="342">
        <f t="shared" si="1"/>
        <v>0</v>
      </c>
      <c r="C28" s="16"/>
      <c r="D28" s="388"/>
      <c r="E28" s="625"/>
      <c r="F28" s="388">
        <f t="shared" si="0"/>
        <v>0</v>
      </c>
      <c r="G28" s="389"/>
      <c r="H28" s="284"/>
      <c r="I28" s="116">
        <f t="shared" si="2"/>
        <v>-3.4106051316484809E-13</v>
      </c>
    </row>
    <row r="29" spans="2:9" x14ac:dyDescent="0.25">
      <c r="B29" s="342">
        <f t="shared" si="1"/>
        <v>0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2"/>
        <v>-3.4106051316484809E-13</v>
      </c>
    </row>
    <row r="30" spans="2:9" x14ac:dyDescent="0.25">
      <c r="B30" s="342">
        <f t="shared" si="1"/>
        <v>0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2"/>
        <v>-3.4106051316484809E-13</v>
      </c>
    </row>
    <row r="31" spans="2:9" x14ac:dyDescent="0.25">
      <c r="B31" s="342">
        <f t="shared" si="1"/>
        <v>0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2"/>
        <v>-3.4106051316484809E-13</v>
      </c>
    </row>
    <row r="32" spans="2:9" x14ac:dyDescent="0.25">
      <c r="B32" s="342">
        <f t="shared" si="1"/>
        <v>0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2"/>
        <v>-3.4106051316484809E-13</v>
      </c>
    </row>
    <row r="33" spans="2:9" x14ac:dyDescent="0.25">
      <c r="B33" s="342">
        <f t="shared" si="1"/>
        <v>0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2"/>
        <v>-3.4106051316484809E-13</v>
      </c>
    </row>
    <row r="34" spans="2:9" x14ac:dyDescent="0.25">
      <c r="B34" s="342">
        <f t="shared" si="1"/>
        <v>0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2"/>
        <v>-3.4106051316484809E-13</v>
      </c>
    </row>
    <row r="35" spans="2:9" x14ac:dyDescent="0.25">
      <c r="B35" s="342">
        <f t="shared" si="1"/>
        <v>0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2"/>
        <v>-3.4106051316484809E-13</v>
      </c>
    </row>
    <row r="36" spans="2:9" x14ac:dyDescent="0.25">
      <c r="B36" s="342">
        <f t="shared" si="1"/>
        <v>0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2"/>
        <v>-3.4106051316484809E-13</v>
      </c>
    </row>
    <row r="37" spans="2:9" x14ac:dyDescent="0.25">
      <c r="B37" s="342">
        <f t="shared" si="1"/>
        <v>0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2"/>
        <v>-3.4106051316484809E-13</v>
      </c>
    </row>
    <row r="38" spans="2:9" x14ac:dyDescent="0.25">
      <c r="B38" s="342">
        <f t="shared" si="1"/>
        <v>0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2"/>
        <v>-3.4106051316484809E-13</v>
      </c>
    </row>
    <row r="39" spans="2:9" x14ac:dyDescent="0.25">
      <c r="B39" s="342">
        <f t="shared" si="1"/>
        <v>0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2"/>
        <v>-3.4106051316484809E-13</v>
      </c>
    </row>
    <row r="40" spans="2:9" x14ac:dyDescent="0.25">
      <c r="B40" s="342">
        <f t="shared" si="1"/>
        <v>0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2"/>
        <v>-3.4106051316484809E-13</v>
      </c>
    </row>
    <row r="41" spans="2:9" x14ac:dyDescent="0.25">
      <c r="B41" s="342">
        <f t="shared" si="1"/>
        <v>0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2"/>
        <v>-3.4106051316484809E-13</v>
      </c>
    </row>
    <row r="42" spans="2:9" x14ac:dyDescent="0.25">
      <c r="B42" s="342">
        <f t="shared" si="1"/>
        <v>0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2"/>
        <v>-3.4106051316484809E-13</v>
      </c>
    </row>
    <row r="43" spans="2:9" x14ac:dyDescent="0.25">
      <c r="B43" s="342">
        <f t="shared" si="1"/>
        <v>0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2"/>
        <v>-3.4106051316484809E-13</v>
      </c>
    </row>
    <row r="44" spans="2:9" x14ac:dyDescent="0.25">
      <c r="B44" s="342">
        <f t="shared" si="1"/>
        <v>0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2"/>
        <v>-3.4106051316484809E-13</v>
      </c>
    </row>
    <row r="45" spans="2:9" x14ac:dyDescent="0.25">
      <c r="B45" s="342">
        <f t="shared" si="1"/>
        <v>0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2"/>
        <v>-3.4106051316484809E-13</v>
      </c>
    </row>
    <row r="46" spans="2:9" x14ac:dyDescent="0.25">
      <c r="B46" s="342">
        <f t="shared" si="1"/>
        <v>0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2"/>
        <v>-3.4106051316484809E-13</v>
      </c>
    </row>
    <row r="47" spans="2:9" x14ac:dyDescent="0.25">
      <c r="B47" s="342">
        <f t="shared" si="1"/>
        <v>0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2"/>
        <v>-3.4106051316484809E-13</v>
      </c>
    </row>
    <row r="48" spans="2:9" x14ac:dyDescent="0.25">
      <c r="B48" s="342">
        <f t="shared" si="1"/>
        <v>0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2"/>
        <v>-3.4106051316484809E-13</v>
      </c>
    </row>
    <row r="49" spans="2:9" x14ac:dyDescent="0.25">
      <c r="B49" s="342">
        <f t="shared" si="1"/>
        <v>0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2"/>
        <v>-3.4106051316484809E-13</v>
      </c>
    </row>
    <row r="50" spans="2:9" x14ac:dyDescent="0.25">
      <c r="B50" s="342">
        <f t="shared" si="1"/>
        <v>0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2"/>
        <v>-3.4106051316484809E-13</v>
      </c>
    </row>
    <row r="51" spans="2:9" x14ac:dyDescent="0.25">
      <c r="B51" s="342">
        <f t="shared" si="1"/>
        <v>0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2"/>
        <v>-3.4106051316484809E-13</v>
      </c>
    </row>
    <row r="52" spans="2:9" x14ac:dyDescent="0.25">
      <c r="B52" s="342">
        <f t="shared" si="1"/>
        <v>0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2"/>
        <v>-3.4106051316484809E-13</v>
      </c>
    </row>
    <row r="53" spans="2:9" x14ac:dyDescent="0.25">
      <c r="B53" s="342">
        <f t="shared" si="1"/>
        <v>0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2"/>
        <v>-3.4106051316484809E-13</v>
      </c>
    </row>
    <row r="54" spans="2:9" ht="15.75" thickBot="1" x14ac:dyDescent="0.3">
      <c r="B54" s="3"/>
      <c r="C54" s="39"/>
      <c r="D54" s="235"/>
      <c r="E54" s="248"/>
      <c r="F54" s="235">
        <f t="shared" si="0"/>
        <v>0</v>
      </c>
      <c r="G54" s="392"/>
      <c r="H54" s="102"/>
      <c r="I54" s="116">
        <f t="shared" si="2"/>
        <v>-3.4106051316484809E-13</v>
      </c>
    </row>
    <row r="55" spans="2:9" x14ac:dyDescent="0.25">
      <c r="C55" s="62">
        <f>SUM(C9:C54)</f>
        <v>161</v>
      </c>
      <c r="D55" s="182">
        <f>SUM(D9:D54)</f>
        <v>3062.5600000000004</v>
      </c>
      <c r="E55" s="273"/>
      <c r="F55" s="182">
        <f>SUM(F9:F54)</f>
        <v>3062.5600000000004</v>
      </c>
      <c r="G55" s="254"/>
      <c r="H55" s="254"/>
    </row>
    <row r="56" spans="2:9" x14ac:dyDescent="0.25">
      <c r="C56" s="159"/>
    </row>
    <row r="57" spans="2:9" ht="15.75" thickBot="1" x14ac:dyDescent="0.3">
      <c r="B57" s="51"/>
    </row>
    <row r="58" spans="2:9" ht="15.75" thickBot="1" x14ac:dyDescent="0.3">
      <c r="B58" s="133"/>
      <c r="D58" s="49" t="s">
        <v>4</v>
      </c>
      <c r="E58" s="72">
        <f>F5-C55+F4+F6+F7</f>
        <v>0</v>
      </c>
    </row>
    <row r="59" spans="2:9" ht="15.75" thickBot="1" x14ac:dyDescent="0.3">
      <c r="B59" s="185"/>
    </row>
    <row r="60" spans="2:9" ht="15.75" thickBot="1" x14ac:dyDescent="0.3">
      <c r="B60" s="133"/>
      <c r="C60" s="766" t="s">
        <v>11</v>
      </c>
      <c r="D60" s="767"/>
      <c r="E60" s="74">
        <f>E5-F55+E4+E6+E7</f>
        <v>-4.5474735088646412E-13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K96"/>
  <sheetViews>
    <sheetView topLeftCell="B1" workbookViewId="0">
      <pane ySplit="7" topLeftCell="A11" activePane="bottomLeft" state="frozen"/>
      <selection activeCell="J1" sqref="J1"/>
      <selection pane="bottomLeft" activeCell="K15" sqref="K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1" ht="45.75" customHeight="1" x14ac:dyDescent="0.65">
      <c r="A1" s="768" t="s">
        <v>164</v>
      </c>
      <c r="B1" s="768"/>
      <c r="C1" s="768"/>
      <c r="D1" s="768"/>
      <c r="E1" s="768"/>
      <c r="F1" s="768"/>
      <c r="G1" s="768"/>
      <c r="H1" s="141">
        <v>1</v>
      </c>
    </row>
    <row r="2" spans="1:11" ht="15.75" thickBot="1" x14ac:dyDescent="0.3">
      <c r="K2" t="s">
        <v>426</v>
      </c>
    </row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1" ht="17.25" thickTop="1" thickBot="1" x14ac:dyDescent="0.3">
      <c r="A4" s="102"/>
      <c r="B4" s="216"/>
      <c r="C4" s="18"/>
      <c r="E4" s="333">
        <v>109</v>
      </c>
      <c r="F4" s="215">
        <v>10</v>
      </c>
    </row>
    <row r="5" spans="1:11" ht="15" customHeight="1" x14ac:dyDescent="0.25">
      <c r="A5" s="774" t="s">
        <v>109</v>
      </c>
      <c r="B5" s="776" t="s">
        <v>110</v>
      </c>
      <c r="C5" s="167">
        <v>37.5</v>
      </c>
      <c r="D5" s="171">
        <v>43678</v>
      </c>
      <c r="E5" s="285">
        <v>8612.9</v>
      </c>
      <c r="F5" s="215">
        <v>791</v>
      </c>
      <c r="G5" s="219">
        <f>F93</f>
        <v>4436.3</v>
      </c>
      <c r="H5" s="76">
        <f>E4+E5+E6-G5</f>
        <v>4307.3999999999987</v>
      </c>
    </row>
    <row r="6" spans="1:11" ht="16.5" thickBot="1" x14ac:dyDescent="0.3">
      <c r="A6" s="775"/>
      <c r="B6" s="777"/>
      <c r="C6" s="300"/>
      <c r="E6" s="412">
        <v>21.8</v>
      </c>
      <c r="F6" s="286">
        <v>2</v>
      </c>
    </row>
    <row r="7" spans="1:1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21" t="s">
        <v>3</v>
      </c>
      <c r="J7" s="422" t="s">
        <v>4</v>
      </c>
    </row>
    <row r="8" spans="1:11" ht="15.75" thickTop="1" x14ac:dyDescent="0.25">
      <c r="A8" s="120" t="s">
        <v>32</v>
      </c>
      <c r="B8" s="125">
        <v>10.9</v>
      </c>
      <c r="C8" s="16">
        <v>72</v>
      </c>
      <c r="D8" s="318">
        <f t="shared" ref="D8:D20" si="0">C8*B8</f>
        <v>784.80000000000007</v>
      </c>
      <c r="E8" s="135">
        <v>43728</v>
      </c>
      <c r="F8" s="89">
        <f t="shared" ref="F8:F20" si="1">D8</f>
        <v>784.80000000000007</v>
      </c>
      <c r="G8" s="90" t="s">
        <v>130</v>
      </c>
      <c r="H8" s="91">
        <v>500</v>
      </c>
      <c r="I8" s="423">
        <f>E5+E4-F8+E6</f>
        <v>7958.9</v>
      </c>
      <c r="J8" s="424">
        <f>F4+F5+F6-C8</f>
        <v>731</v>
      </c>
    </row>
    <row r="9" spans="1:11" x14ac:dyDescent="0.25">
      <c r="A9" s="364"/>
      <c r="B9" s="125">
        <v>10.9</v>
      </c>
      <c r="C9" s="16">
        <v>10</v>
      </c>
      <c r="D9" s="318">
        <f t="shared" si="0"/>
        <v>109</v>
      </c>
      <c r="E9" s="135">
        <v>43729</v>
      </c>
      <c r="F9" s="89">
        <f t="shared" si="1"/>
        <v>109</v>
      </c>
      <c r="G9" s="90" t="s">
        <v>131</v>
      </c>
      <c r="H9" s="91">
        <v>500</v>
      </c>
      <c r="I9" s="423">
        <f>I8-F9</f>
        <v>7849.9</v>
      </c>
      <c r="J9" s="424">
        <f>J8-C9</f>
        <v>721</v>
      </c>
    </row>
    <row r="10" spans="1:11" x14ac:dyDescent="0.25">
      <c r="A10" s="342"/>
      <c r="B10" s="125">
        <v>10.9</v>
      </c>
      <c r="C10" s="16">
        <v>10</v>
      </c>
      <c r="D10" s="318">
        <f t="shared" si="0"/>
        <v>109</v>
      </c>
      <c r="E10" s="119">
        <v>43735</v>
      </c>
      <c r="F10" s="89">
        <f t="shared" si="1"/>
        <v>109</v>
      </c>
      <c r="G10" s="90" t="s">
        <v>136</v>
      </c>
      <c r="H10" s="91">
        <v>500</v>
      </c>
      <c r="I10" s="423">
        <f t="shared" ref="I10:I73" si="2">I9-F10</f>
        <v>7740.9</v>
      </c>
      <c r="J10" s="424">
        <f t="shared" ref="J10:J73" si="3">J9-C10</f>
        <v>711</v>
      </c>
    </row>
    <row r="11" spans="1:11" x14ac:dyDescent="0.25">
      <c r="A11" s="122" t="s">
        <v>33</v>
      </c>
      <c r="B11" s="125">
        <v>10.9</v>
      </c>
      <c r="C11" s="16">
        <v>2</v>
      </c>
      <c r="D11" s="318">
        <f t="shared" si="0"/>
        <v>21.8</v>
      </c>
      <c r="E11" s="119">
        <v>43738</v>
      </c>
      <c r="F11" s="89">
        <f t="shared" si="1"/>
        <v>21.8</v>
      </c>
      <c r="G11" s="90" t="s">
        <v>142</v>
      </c>
      <c r="H11" s="91">
        <v>500</v>
      </c>
      <c r="I11" s="423">
        <f t="shared" si="2"/>
        <v>7719.0999999999995</v>
      </c>
      <c r="J11" s="424">
        <f t="shared" si="3"/>
        <v>709</v>
      </c>
    </row>
    <row r="12" spans="1:11" x14ac:dyDescent="0.25">
      <c r="A12" s="97"/>
      <c r="B12" s="125">
        <v>10.9</v>
      </c>
      <c r="C12" s="16">
        <v>2</v>
      </c>
      <c r="D12" s="318">
        <f t="shared" si="0"/>
        <v>21.8</v>
      </c>
      <c r="E12" s="119">
        <v>43738</v>
      </c>
      <c r="F12" s="89">
        <f t="shared" si="1"/>
        <v>21.8</v>
      </c>
      <c r="G12" s="90" t="s">
        <v>143</v>
      </c>
      <c r="H12" s="91">
        <v>500</v>
      </c>
      <c r="I12" s="423">
        <f t="shared" si="2"/>
        <v>7697.2999999999993</v>
      </c>
      <c r="J12" s="424">
        <f t="shared" si="3"/>
        <v>707</v>
      </c>
    </row>
    <row r="13" spans="1:11" x14ac:dyDescent="0.25">
      <c r="A13" s="97"/>
      <c r="B13" s="125">
        <v>10.9</v>
      </c>
      <c r="C13" s="16">
        <v>5</v>
      </c>
      <c r="D13" s="318">
        <f t="shared" si="0"/>
        <v>54.5</v>
      </c>
      <c r="E13" s="119">
        <v>43740</v>
      </c>
      <c r="F13" s="89">
        <f t="shared" si="1"/>
        <v>54.5</v>
      </c>
      <c r="G13" s="90" t="s">
        <v>147</v>
      </c>
      <c r="H13" s="91">
        <v>500</v>
      </c>
      <c r="I13" s="423">
        <f t="shared" si="2"/>
        <v>7642.7999999999993</v>
      </c>
      <c r="J13" s="424">
        <f t="shared" si="3"/>
        <v>702</v>
      </c>
    </row>
    <row r="14" spans="1:11" x14ac:dyDescent="0.25">
      <c r="B14" s="125">
        <v>10.9</v>
      </c>
      <c r="C14" s="483">
        <v>66</v>
      </c>
      <c r="D14" s="593">
        <f t="shared" si="0"/>
        <v>719.4</v>
      </c>
      <c r="E14" s="594">
        <v>43742</v>
      </c>
      <c r="F14" s="484">
        <f t="shared" si="1"/>
        <v>719.4</v>
      </c>
      <c r="G14" s="485" t="s">
        <v>154</v>
      </c>
      <c r="H14" s="486">
        <v>500</v>
      </c>
      <c r="I14" s="423">
        <f t="shared" si="2"/>
        <v>6923.4</v>
      </c>
      <c r="J14" s="424">
        <f t="shared" si="3"/>
        <v>636</v>
      </c>
    </row>
    <row r="15" spans="1:11" x14ac:dyDescent="0.25">
      <c r="B15" s="125">
        <v>10.9</v>
      </c>
      <c r="C15" s="16">
        <v>66</v>
      </c>
      <c r="D15" s="730">
        <f t="shared" si="0"/>
        <v>719.4</v>
      </c>
      <c r="E15" s="409">
        <v>43749</v>
      </c>
      <c r="F15" s="404">
        <f t="shared" si="1"/>
        <v>719.4</v>
      </c>
      <c r="G15" s="279" t="s">
        <v>209</v>
      </c>
      <c r="H15" s="170">
        <v>500</v>
      </c>
      <c r="I15" s="423">
        <f t="shared" si="2"/>
        <v>6204</v>
      </c>
      <c r="J15" s="424">
        <f t="shared" si="3"/>
        <v>570</v>
      </c>
    </row>
    <row r="16" spans="1:11" x14ac:dyDescent="0.25">
      <c r="A16" s="121"/>
      <c r="B16" s="125">
        <v>10.9</v>
      </c>
      <c r="C16" s="16">
        <v>66</v>
      </c>
      <c r="D16" s="730">
        <f t="shared" si="0"/>
        <v>719.4</v>
      </c>
      <c r="E16" s="409">
        <v>43759</v>
      </c>
      <c r="F16" s="404">
        <f t="shared" si="1"/>
        <v>719.4</v>
      </c>
      <c r="G16" s="279" t="s">
        <v>321</v>
      </c>
      <c r="H16" s="170">
        <v>500</v>
      </c>
      <c r="I16" s="423">
        <f t="shared" si="2"/>
        <v>5484.6</v>
      </c>
      <c r="J16" s="424">
        <f t="shared" si="3"/>
        <v>504</v>
      </c>
    </row>
    <row r="17" spans="1:10" x14ac:dyDescent="0.25">
      <c r="A17" s="125"/>
      <c r="B17" s="125">
        <v>10.9</v>
      </c>
      <c r="C17" s="16">
        <v>66</v>
      </c>
      <c r="D17" s="730">
        <f t="shared" si="0"/>
        <v>719.4</v>
      </c>
      <c r="E17" s="409">
        <v>43762</v>
      </c>
      <c r="F17" s="404">
        <f t="shared" si="1"/>
        <v>719.4</v>
      </c>
      <c r="G17" s="279" t="s">
        <v>372</v>
      </c>
      <c r="H17" s="170">
        <v>500</v>
      </c>
      <c r="I17" s="423">
        <f t="shared" si="2"/>
        <v>4765.2000000000007</v>
      </c>
      <c r="J17" s="424">
        <f t="shared" si="3"/>
        <v>438</v>
      </c>
    </row>
    <row r="18" spans="1:10" x14ac:dyDescent="0.25">
      <c r="A18" s="2"/>
      <c r="B18" s="125">
        <v>10.9</v>
      </c>
      <c r="C18" s="16">
        <v>30</v>
      </c>
      <c r="D18" s="730">
        <f t="shared" si="0"/>
        <v>327</v>
      </c>
      <c r="E18" s="409">
        <v>43767</v>
      </c>
      <c r="F18" s="404">
        <f t="shared" si="1"/>
        <v>327</v>
      </c>
      <c r="G18" s="279" t="s">
        <v>381</v>
      </c>
      <c r="H18" s="170">
        <v>500</v>
      </c>
      <c r="I18" s="423">
        <f t="shared" si="2"/>
        <v>4438.2000000000007</v>
      </c>
      <c r="J18" s="424">
        <f t="shared" si="3"/>
        <v>408</v>
      </c>
    </row>
    <row r="19" spans="1:10" x14ac:dyDescent="0.25">
      <c r="A19" s="2"/>
      <c r="B19" s="125">
        <v>10.9</v>
      </c>
      <c r="C19" s="16">
        <v>10</v>
      </c>
      <c r="D19" s="730">
        <f t="shared" si="0"/>
        <v>109</v>
      </c>
      <c r="E19" s="409">
        <v>43769</v>
      </c>
      <c r="F19" s="404">
        <f t="shared" si="1"/>
        <v>109</v>
      </c>
      <c r="G19" s="279" t="s">
        <v>400</v>
      </c>
      <c r="H19" s="170">
        <v>500</v>
      </c>
      <c r="I19" s="423">
        <f t="shared" si="2"/>
        <v>4329.2000000000007</v>
      </c>
      <c r="J19" s="424">
        <f t="shared" si="3"/>
        <v>398</v>
      </c>
    </row>
    <row r="20" spans="1:10" x14ac:dyDescent="0.25">
      <c r="A20" s="2"/>
      <c r="B20" s="125">
        <v>10.9</v>
      </c>
      <c r="C20" s="16">
        <v>2</v>
      </c>
      <c r="D20" s="730">
        <f t="shared" si="0"/>
        <v>21.8</v>
      </c>
      <c r="E20" s="407">
        <v>43770</v>
      </c>
      <c r="F20" s="404">
        <f t="shared" si="1"/>
        <v>21.8</v>
      </c>
      <c r="G20" s="279" t="s">
        <v>404</v>
      </c>
      <c r="H20" s="170">
        <v>500</v>
      </c>
      <c r="I20" s="423">
        <f t="shared" si="2"/>
        <v>4307.4000000000005</v>
      </c>
      <c r="J20" s="424">
        <f t="shared" si="3"/>
        <v>396</v>
      </c>
    </row>
    <row r="21" spans="1:10" x14ac:dyDescent="0.25">
      <c r="A21" s="2"/>
      <c r="B21" s="125">
        <v>10.9</v>
      </c>
      <c r="C21" s="16"/>
      <c r="D21" s="730">
        <f t="shared" ref="D21:D71" si="4">C21*B21</f>
        <v>0</v>
      </c>
      <c r="E21" s="407"/>
      <c r="F21" s="404">
        <f t="shared" ref="F21:F71" si="5">D21</f>
        <v>0</v>
      </c>
      <c r="G21" s="279"/>
      <c r="H21" s="170"/>
      <c r="I21" s="423">
        <f t="shared" si="2"/>
        <v>4307.4000000000005</v>
      </c>
      <c r="J21" s="424">
        <f t="shared" si="3"/>
        <v>396</v>
      </c>
    </row>
    <row r="22" spans="1:10" x14ac:dyDescent="0.25">
      <c r="A22" s="2"/>
      <c r="B22" s="125">
        <v>10.9</v>
      </c>
      <c r="C22" s="16"/>
      <c r="D22" s="730">
        <f t="shared" si="4"/>
        <v>0</v>
      </c>
      <c r="E22" s="407"/>
      <c r="F22" s="404">
        <f t="shared" si="5"/>
        <v>0</v>
      </c>
      <c r="G22" s="279"/>
      <c r="H22" s="170"/>
      <c r="I22" s="423">
        <f t="shared" si="2"/>
        <v>4307.4000000000005</v>
      </c>
      <c r="J22" s="424">
        <f t="shared" si="3"/>
        <v>396</v>
      </c>
    </row>
    <row r="23" spans="1:10" x14ac:dyDescent="0.25">
      <c r="A23" s="2"/>
      <c r="B23" s="125">
        <v>10.9</v>
      </c>
      <c r="C23" s="16"/>
      <c r="D23" s="730">
        <f t="shared" si="4"/>
        <v>0</v>
      </c>
      <c r="E23" s="407"/>
      <c r="F23" s="404">
        <f t="shared" si="5"/>
        <v>0</v>
      </c>
      <c r="G23" s="279"/>
      <c r="H23" s="170"/>
      <c r="I23" s="423">
        <f t="shared" si="2"/>
        <v>4307.4000000000005</v>
      </c>
      <c r="J23" s="424">
        <f t="shared" si="3"/>
        <v>396</v>
      </c>
    </row>
    <row r="24" spans="1:10" x14ac:dyDescent="0.25">
      <c r="A24" s="2"/>
      <c r="B24" s="125">
        <v>10.9</v>
      </c>
      <c r="C24" s="16"/>
      <c r="D24" s="730">
        <f t="shared" si="4"/>
        <v>0</v>
      </c>
      <c r="E24" s="731"/>
      <c r="F24" s="404">
        <f t="shared" si="5"/>
        <v>0</v>
      </c>
      <c r="G24" s="279"/>
      <c r="H24" s="170"/>
      <c r="I24" s="423">
        <f t="shared" si="2"/>
        <v>4307.4000000000005</v>
      </c>
      <c r="J24" s="424">
        <f t="shared" si="3"/>
        <v>396</v>
      </c>
    </row>
    <row r="25" spans="1:10" x14ac:dyDescent="0.25">
      <c r="A25" s="2"/>
      <c r="B25" s="125">
        <v>10.9</v>
      </c>
      <c r="C25" s="16"/>
      <c r="D25" s="730">
        <f t="shared" si="4"/>
        <v>0</v>
      </c>
      <c r="E25" s="731"/>
      <c r="F25" s="404">
        <f t="shared" si="5"/>
        <v>0</v>
      </c>
      <c r="G25" s="279"/>
      <c r="H25" s="170"/>
      <c r="I25" s="423">
        <f t="shared" si="2"/>
        <v>4307.4000000000005</v>
      </c>
      <c r="J25" s="424">
        <f t="shared" si="3"/>
        <v>396</v>
      </c>
    </row>
    <row r="26" spans="1:10" x14ac:dyDescent="0.25">
      <c r="A26" s="2"/>
      <c r="B26" s="125">
        <v>10.9</v>
      </c>
      <c r="C26" s="16"/>
      <c r="D26" s="730">
        <f t="shared" si="4"/>
        <v>0</v>
      </c>
      <c r="E26" s="731"/>
      <c r="F26" s="404">
        <f t="shared" si="5"/>
        <v>0</v>
      </c>
      <c r="G26" s="279"/>
      <c r="H26" s="170"/>
      <c r="I26" s="423">
        <f t="shared" si="2"/>
        <v>4307.4000000000005</v>
      </c>
      <c r="J26" s="424">
        <f t="shared" si="3"/>
        <v>396</v>
      </c>
    </row>
    <row r="27" spans="1:10" x14ac:dyDescent="0.25">
      <c r="A27" s="319"/>
      <c r="B27" s="125">
        <v>10.9</v>
      </c>
      <c r="C27" s="16"/>
      <c r="D27" s="730">
        <f t="shared" si="4"/>
        <v>0</v>
      </c>
      <c r="E27" s="731"/>
      <c r="F27" s="404">
        <f t="shared" si="5"/>
        <v>0</v>
      </c>
      <c r="G27" s="279"/>
      <c r="H27" s="170"/>
      <c r="I27" s="423">
        <f t="shared" si="2"/>
        <v>4307.4000000000005</v>
      </c>
      <c r="J27" s="424">
        <f t="shared" si="3"/>
        <v>396</v>
      </c>
    </row>
    <row r="28" spans="1:10" x14ac:dyDescent="0.25">
      <c r="A28" s="319"/>
      <c r="B28" s="125">
        <v>10.9</v>
      </c>
      <c r="C28" s="16"/>
      <c r="D28" s="730">
        <f t="shared" si="4"/>
        <v>0</v>
      </c>
      <c r="E28" s="407"/>
      <c r="F28" s="404">
        <f t="shared" si="5"/>
        <v>0</v>
      </c>
      <c r="G28" s="279"/>
      <c r="H28" s="170"/>
      <c r="I28" s="423">
        <f t="shared" si="2"/>
        <v>4307.4000000000005</v>
      </c>
      <c r="J28" s="424">
        <f t="shared" si="3"/>
        <v>396</v>
      </c>
    </row>
    <row r="29" spans="1:10" x14ac:dyDescent="0.25">
      <c r="A29" s="319"/>
      <c r="B29" s="125">
        <v>10.9</v>
      </c>
      <c r="C29" s="16"/>
      <c r="D29" s="730">
        <f t="shared" si="4"/>
        <v>0</v>
      </c>
      <c r="E29" s="407"/>
      <c r="F29" s="404">
        <f t="shared" si="5"/>
        <v>0</v>
      </c>
      <c r="G29" s="279"/>
      <c r="H29" s="170"/>
      <c r="I29" s="423">
        <f t="shared" si="2"/>
        <v>4307.4000000000005</v>
      </c>
      <c r="J29" s="424">
        <f t="shared" si="3"/>
        <v>396</v>
      </c>
    </row>
    <row r="30" spans="1:10" x14ac:dyDescent="0.25">
      <c r="A30" s="319"/>
      <c r="B30" s="125">
        <v>10.9</v>
      </c>
      <c r="C30" s="16"/>
      <c r="D30" s="730">
        <f t="shared" si="4"/>
        <v>0</v>
      </c>
      <c r="E30" s="407"/>
      <c r="F30" s="404">
        <f t="shared" si="5"/>
        <v>0</v>
      </c>
      <c r="G30" s="279"/>
      <c r="H30" s="170"/>
      <c r="I30" s="423">
        <f t="shared" si="2"/>
        <v>4307.4000000000005</v>
      </c>
      <c r="J30" s="424">
        <f t="shared" si="3"/>
        <v>396</v>
      </c>
    </row>
    <row r="31" spans="1:10" x14ac:dyDescent="0.25">
      <c r="A31" s="319"/>
      <c r="B31" s="125">
        <v>10.9</v>
      </c>
      <c r="C31" s="16"/>
      <c r="D31" s="730">
        <f t="shared" si="4"/>
        <v>0</v>
      </c>
      <c r="E31" s="407"/>
      <c r="F31" s="404">
        <f t="shared" si="5"/>
        <v>0</v>
      </c>
      <c r="G31" s="279"/>
      <c r="H31" s="170"/>
      <c r="I31" s="423">
        <f t="shared" si="2"/>
        <v>4307.4000000000005</v>
      </c>
      <c r="J31" s="424">
        <f t="shared" si="3"/>
        <v>396</v>
      </c>
    </row>
    <row r="32" spans="1:10" x14ac:dyDescent="0.25">
      <c r="A32" s="2"/>
      <c r="B32" s="587">
        <v>10.9</v>
      </c>
      <c r="C32" s="483"/>
      <c r="D32" s="732">
        <f t="shared" si="4"/>
        <v>0</v>
      </c>
      <c r="E32" s="733"/>
      <c r="F32" s="618">
        <f t="shared" si="5"/>
        <v>0</v>
      </c>
      <c r="G32" s="533"/>
      <c r="H32" s="534"/>
      <c r="I32" s="588">
        <f t="shared" si="2"/>
        <v>4307.4000000000005</v>
      </c>
      <c r="J32" s="589">
        <f t="shared" si="3"/>
        <v>396</v>
      </c>
    </row>
    <row r="33" spans="1:10" x14ac:dyDescent="0.25">
      <c r="A33" s="2"/>
      <c r="B33" s="125">
        <v>10.9</v>
      </c>
      <c r="C33" s="16"/>
      <c r="D33" s="730">
        <f t="shared" ref="D33:D38" si="6">C33*B33</f>
        <v>0</v>
      </c>
      <c r="E33" s="409"/>
      <c r="F33" s="404">
        <f t="shared" ref="F33:F38" si="7">D33</f>
        <v>0</v>
      </c>
      <c r="G33" s="279"/>
      <c r="H33" s="170"/>
      <c r="I33" s="423">
        <f t="shared" si="2"/>
        <v>4307.4000000000005</v>
      </c>
      <c r="J33" s="424">
        <f t="shared" si="3"/>
        <v>396</v>
      </c>
    </row>
    <row r="34" spans="1:10" x14ac:dyDescent="0.25">
      <c r="A34" s="2"/>
      <c r="B34" s="125">
        <v>10.9</v>
      </c>
      <c r="C34" s="16"/>
      <c r="D34" s="730">
        <f t="shared" si="6"/>
        <v>0</v>
      </c>
      <c r="E34" s="409"/>
      <c r="F34" s="404">
        <f t="shared" si="7"/>
        <v>0</v>
      </c>
      <c r="G34" s="279"/>
      <c r="H34" s="170"/>
      <c r="I34" s="423">
        <f t="shared" si="2"/>
        <v>4307.4000000000005</v>
      </c>
      <c r="J34" s="424">
        <f t="shared" si="3"/>
        <v>396</v>
      </c>
    </row>
    <row r="35" spans="1:10" x14ac:dyDescent="0.25">
      <c r="A35" s="2"/>
      <c r="B35" s="125">
        <v>10.9</v>
      </c>
      <c r="C35" s="16"/>
      <c r="D35" s="730">
        <f t="shared" si="6"/>
        <v>0</v>
      </c>
      <c r="E35" s="409"/>
      <c r="F35" s="404">
        <f t="shared" si="7"/>
        <v>0</v>
      </c>
      <c r="G35" s="279"/>
      <c r="H35" s="170"/>
      <c r="I35" s="423">
        <f t="shared" si="2"/>
        <v>4307.4000000000005</v>
      </c>
      <c r="J35" s="424">
        <f t="shared" si="3"/>
        <v>396</v>
      </c>
    </row>
    <row r="36" spans="1:10" x14ac:dyDescent="0.25">
      <c r="A36" s="2"/>
      <c r="B36" s="125">
        <v>10.9</v>
      </c>
      <c r="C36" s="16"/>
      <c r="D36" s="730">
        <f t="shared" si="6"/>
        <v>0</v>
      </c>
      <c r="E36" s="409"/>
      <c r="F36" s="404">
        <f t="shared" si="7"/>
        <v>0</v>
      </c>
      <c r="G36" s="279"/>
      <c r="H36" s="170"/>
      <c r="I36" s="423">
        <f t="shared" si="2"/>
        <v>4307.4000000000005</v>
      </c>
      <c r="J36" s="424">
        <f t="shared" si="3"/>
        <v>396</v>
      </c>
    </row>
    <row r="37" spans="1:10" x14ac:dyDescent="0.25">
      <c r="A37" s="2"/>
      <c r="B37" s="125">
        <v>10.9</v>
      </c>
      <c r="C37" s="16"/>
      <c r="D37" s="730">
        <f t="shared" si="6"/>
        <v>0</v>
      </c>
      <c r="E37" s="409"/>
      <c r="F37" s="404">
        <f t="shared" si="7"/>
        <v>0</v>
      </c>
      <c r="G37" s="279"/>
      <c r="H37" s="170"/>
      <c r="I37" s="423">
        <f t="shared" si="2"/>
        <v>4307.4000000000005</v>
      </c>
      <c r="J37" s="424">
        <f t="shared" si="3"/>
        <v>396</v>
      </c>
    </row>
    <row r="38" spans="1:10" x14ac:dyDescent="0.25">
      <c r="A38" s="2"/>
      <c r="B38" s="125">
        <v>10.9</v>
      </c>
      <c r="C38" s="16"/>
      <c r="D38" s="730">
        <f t="shared" si="6"/>
        <v>0</v>
      </c>
      <c r="E38" s="407"/>
      <c r="F38" s="404">
        <f t="shared" si="7"/>
        <v>0</v>
      </c>
      <c r="G38" s="279"/>
      <c r="H38" s="170"/>
      <c r="I38" s="423">
        <f t="shared" si="2"/>
        <v>4307.4000000000005</v>
      </c>
      <c r="J38" s="424">
        <f t="shared" si="3"/>
        <v>396</v>
      </c>
    </row>
    <row r="39" spans="1:10" x14ac:dyDescent="0.25">
      <c r="A39" s="2"/>
      <c r="B39" s="125">
        <v>10.9</v>
      </c>
      <c r="C39" s="16"/>
      <c r="D39" s="318">
        <f t="shared" si="4"/>
        <v>0</v>
      </c>
      <c r="E39" s="126"/>
      <c r="F39" s="89">
        <f t="shared" si="5"/>
        <v>0</v>
      </c>
      <c r="G39" s="90"/>
      <c r="H39" s="91"/>
      <c r="I39" s="423">
        <f t="shared" si="2"/>
        <v>4307.4000000000005</v>
      </c>
      <c r="J39" s="424">
        <f t="shared" si="3"/>
        <v>396</v>
      </c>
    </row>
    <row r="40" spans="1:10" x14ac:dyDescent="0.25">
      <c r="A40" s="2"/>
      <c r="B40" s="125">
        <v>10.9</v>
      </c>
      <c r="C40" s="16"/>
      <c r="D40" s="318">
        <f t="shared" si="4"/>
        <v>0</v>
      </c>
      <c r="E40" s="126"/>
      <c r="F40" s="89">
        <f t="shared" si="5"/>
        <v>0</v>
      </c>
      <c r="G40" s="90"/>
      <c r="H40" s="91"/>
      <c r="I40" s="423">
        <f t="shared" si="2"/>
        <v>4307.4000000000005</v>
      </c>
      <c r="J40" s="424">
        <f t="shared" si="3"/>
        <v>396</v>
      </c>
    </row>
    <row r="41" spans="1:10" x14ac:dyDescent="0.25">
      <c r="A41" s="2"/>
      <c r="B41" s="125">
        <v>10.9</v>
      </c>
      <c r="C41" s="16"/>
      <c r="D41" s="318">
        <f t="shared" si="4"/>
        <v>0</v>
      </c>
      <c r="E41" s="126"/>
      <c r="F41" s="89">
        <f t="shared" si="5"/>
        <v>0</v>
      </c>
      <c r="G41" s="90"/>
      <c r="H41" s="91"/>
      <c r="I41" s="423">
        <f t="shared" si="2"/>
        <v>4307.4000000000005</v>
      </c>
      <c r="J41" s="424">
        <f t="shared" si="3"/>
        <v>396</v>
      </c>
    </row>
    <row r="42" spans="1:10" x14ac:dyDescent="0.25">
      <c r="A42" s="2"/>
      <c r="B42" s="125">
        <v>10.9</v>
      </c>
      <c r="C42" s="16"/>
      <c r="D42" s="318">
        <f t="shared" si="4"/>
        <v>0</v>
      </c>
      <c r="E42" s="126"/>
      <c r="F42" s="89">
        <f t="shared" si="5"/>
        <v>0</v>
      </c>
      <c r="G42" s="90"/>
      <c r="H42" s="91"/>
      <c r="I42" s="423">
        <f t="shared" si="2"/>
        <v>4307.4000000000005</v>
      </c>
      <c r="J42" s="424">
        <f t="shared" si="3"/>
        <v>396</v>
      </c>
    </row>
    <row r="43" spans="1:10" x14ac:dyDescent="0.25">
      <c r="A43" s="2"/>
      <c r="B43" s="125">
        <v>10.9</v>
      </c>
      <c r="C43" s="16"/>
      <c r="D43" s="318">
        <f t="shared" si="4"/>
        <v>0</v>
      </c>
      <c r="E43" s="126"/>
      <c r="F43" s="89">
        <f t="shared" si="5"/>
        <v>0</v>
      </c>
      <c r="G43" s="90"/>
      <c r="H43" s="91"/>
      <c r="I43" s="423">
        <f t="shared" si="2"/>
        <v>4307.4000000000005</v>
      </c>
      <c r="J43" s="424">
        <f t="shared" si="3"/>
        <v>396</v>
      </c>
    </row>
    <row r="44" spans="1:10" x14ac:dyDescent="0.25">
      <c r="A44" s="2"/>
      <c r="B44" s="125">
        <v>10.9</v>
      </c>
      <c r="C44" s="16"/>
      <c r="D44" s="318">
        <f t="shared" si="4"/>
        <v>0</v>
      </c>
      <c r="E44" s="126"/>
      <c r="F44" s="89">
        <f t="shared" si="5"/>
        <v>0</v>
      </c>
      <c r="G44" s="90"/>
      <c r="H44" s="91"/>
      <c r="I44" s="423">
        <f t="shared" si="2"/>
        <v>4307.4000000000005</v>
      </c>
      <c r="J44" s="424">
        <f t="shared" si="3"/>
        <v>396</v>
      </c>
    </row>
    <row r="45" spans="1:10" x14ac:dyDescent="0.25">
      <c r="A45" s="2"/>
      <c r="B45" s="125">
        <v>10.9</v>
      </c>
      <c r="C45" s="16"/>
      <c r="D45" s="318">
        <f t="shared" si="4"/>
        <v>0</v>
      </c>
      <c r="E45" s="126"/>
      <c r="F45" s="89">
        <f t="shared" si="5"/>
        <v>0</v>
      </c>
      <c r="G45" s="90"/>
      <c r="H45" s="91"/>
      <c r="I45" s="423">
        <f t="shared" si="2"/>
        <v>4307.4000000000005</v>
      </c>
      <c r="J45" s="424">
        <f t="shared" si="3"/>
        <v>396</v>
      </c>
    </row>
    <row r="46" spans="1:10" x14ac:dyDescent="0.25">
      <c r="A46" s="2"/>
      <c r="B46" s="125">
        <v>10.9</v>
      </c>
      <c r="C46" s="16"/>
      <c r="D46" s="318">
        <f t="shared" si="4"/>
        <v>0</v>
      </c>
      <c r="E46" s="126"/>
      <c r="F46" s="89">
        <f t="shared" si="5"/>
        <v>0</v>
      </c>
      <c r="G46" s="90"/>
      <c r="H46" s="91"/>
      <c r="I46" s="423">
        <f t="shared" si="2"/>
        <v>4307.4000000000005</v>
      </c>
      <c r="J46" s="424">
        <f t="shared" si="3"/>
        <v>396</v>
      </c>
    </row>
    <row r="47" spans="1:10" x14ac:dyDescent="0.25">
      <c r="A47" s="2"/>
      <c r="B47" s="125">
        <v>10.9</v>
      </c>
      <c r="C47" s="16"/>
      <c r="D47" s="318">
        <f t="shared" si="4"/>
        <v>0</v>
      </c>
      <c r="E47" s="126"/>
      <c r="F47" s="89">
        <f t="shared" si="5"/>
        <v>0</v>
      </c>
      <c r="G47" s="90"/>
      <c r="H47" s="91"/>
      <c r="I47" s="423">
        <f t="shared" si="2"/>
        <v>4307.4000000000005</v>
      </c>
      <c r="J47" s="424">
        <f t="shared" si="3"/>
        <v>396</v>
      </c>
    </row>
    <row r="48" spans="1:10" x14ac:dyDescent="0.25">
      <c r="A48" s="2"/>
      <c r="B48" s="125">
        <v>10.9</v>
      </c>
      <c r="C48" s="16"/>
      <c r="D48" s="318">
        <f t="shared" si="4"/>
        <v>0</v>
      </c>
      <c r="E48" s="126"/>
      <c r="F48" s="89">
        <f t="shared" si="5"/>
        <v>0</v>
      </c>
      <c r="G48" s="90"/>
      <c r="H48" s="91"/>
      <c r="I48" s="423">
        <f t="shared" si="2"/>
        <v>4307.4000000000005</v>
      </c>
      <c r="J48" s="424">
        <f t="shared" si="3"/>
        <v>396</v>
      </c>
    </row>
    <row r="49" spans="1:10" x14ac:dyDescent="0.25">
      <c r="A49" s="2"/>
      <c r="B49" s="125">
        <v>10.9</v>
      </c>
      <c r="C49" s="16"/>
      <c r="D49" s="318">
        <f t="shared" si="4"/>
        <v>0</v>
      </c>
      <c r="E49" s="126"/>
      <c r="F49" s="89">
        <f t="shared" si="5"/>
        <v>0</v>
      </c>
      <c r="G49" s="90"/>
      <c r="H49" s="91"/>
      <c r="I49" s="423">
        <f t="shared" si="2"/>
        <v>4307.4000000000005</v>
      </c>
      <c r="J49" s="424">
        <f t="shared" si="3"/>
        <v>396</v>
      </c>
    </row>
    <row r="50" spans="1:10" x14ac:dyDescent="0.25">
      <c r="A50" s="2"/>
      <c r="B50" s="125">
        <v>10.9</v>
      </c>
      <c r="C50" s="16"/>
      <c r="D50" s="318">
        <f t="shared" si="4"/>
        <v>0</v>
      </c>
      <c r="E50" s="126"/>
      <c r="F50" s="89">
        <f t="shared" si="5"/>
        <v>0</v>
      </c>
      <c r="G50" s="90"/>
      <c r="H50" s="91"/>
      <c r="I50" s="423">
        <f t="shared" si="2"/>
        <v>4307.4000000000005</v>
      </c>
      <c r="J50" s="424">
        <f t="shared" si="3"/>
        <v>396</v>
      </c>
    </row>
    <row r="51" spans="1:10" x14ac:dyDescent="0.25">
      <c r="A51" s="2"/>
      <c r="B51" s="125">
        <v>10.9</v>
      </c>
      <c r="C51" s="16"/>
      <c r="D51" s="318">
        <f t="shared" si="4"/>
        <v>0</v>
      </c>
      <c r="E51" s="126"/>
      <c r="F51" s="89">
        <f t="shared" si="5"/>
        <v>0</v>
      </c>
      <c r="G51" s="90"/>
      <c r="H51" s="91"/>
      <c r="I51" s="423">
        <f t="shared" si="2"/>
        <v>4307.4000000000005</v>
      </c>
      <c r="J51" s="424">
        <f t="shared" si="3"/>
        <v>396</v>
      </c>
    </row>
    <row r="52" spans="1:10" x14ac:dyDescent="0.25">
      <c r="A52" s="2"/>
      <c r="B52" s="125">
        <v>10.9</v>
      </c>
      <c r="C52" s="16"/>
      <c r="D52" s="318">
        <f t="shared" si="4"/>
        <v>0</v>
      </c>
      <c r="E52" s="126"/>
      <c r="F52" s="89">
        <f t="shared" si="5"/>
        <v>0</v>
      </c>
      <c r="G52" s="90"/>
      <c r="H52" s="91"/>
      <c r="I52" s="423">
        <f t="shared" si="2"/>
        <v>4307.4000000000005</v>
      </c>
      <c r="J52" s="424">
        <f t="shared" si="3"/>
        <v>396</v>
      </c>
    </row>
    <row r="53" spans="1:10" x14ac:dyDescent="0.25">
      <c r="A53" s="2"/>
      <c r="B53" s="125">
        <v>10.9</v>
      </c>
      <c r="C53" s="16"/>
      <c r="D53" s="318">
        <f t="shared" si="4"/>
        <v>0</v>
      </c>
      <c r="E53" s="126"/>
      <c r="F53" s="89">
        <f t="shared" si="5"/>
        <v>0</v>
      </c>
      <c r="G53" s="90"/>
      <c r="H53" s="91"/>
      <c r="I53" s="423">
        <f t="shared" si="2"/>
        <v>4307.4000000000005</v>
      </c>
      <c r="J53" s="424">
        <f t="shared" si="3"/>
        <v>396</v>
      </c>
    </row>
    <row r="54" spans="1:10" x14ac:dyDescent="0.25">
      <c r="A54" s="2"/>
      <c r="B54" s="125">
        <v>10.9</v>
      </c>
      <c r="C54" s="16"/>
      <c r="D54" s="318">
        <f t="shared" si="4"/>
        <v>0</v>
      </c>
      <c r="E54" s="126"/>
      <c r="F54" s="89">
        <f t="shared" si="5"/>
        <v>0</v>
      </c>
      <c r="G54" s="90"/>
      <c r="H54" s="91"/>
      <c r="I54" s="423">
        <f t="shared" si="2"/>
        <v>4307.4000000000005</v>
      </c>
      <c r="J54" s="424">
        <f t="shared" si="3"/>
        <v>396</v>
      </c>
    </row>
    <row r="55" spans="1:10" x14ac:dyDescent="0.25">
      <c r="A55" s="2"/>
      <c r="B55" s="125">
        <v>10.9</v>
      </c>
      <c r="C55" s="16"/>
      <c r="D55" s="318">
        <f t="shared" si="4"/>
        <v>0</v>
      </c>
      <c r="E55" s="126"/>
      <c r="F55" s="89">
        <f t="shared" si="5"/>
        <v>0</v>
      </c>
      <c r="G55" s="90"/>
      <c r="H55" s="91"/>
      <c r="I55" s="423">
        <f t="shared" si="2"/>
        <v>4307.4000000000005</v>
      </c>
      <c r="J55" s="424">
        <f t="shared" si="3"/>
        <v>396</v>
      </c>
    </row>
    <row r="56" spans="1:10" x14ac:dyDescent="0.25">
      <c r="A56" s="2"/>
      <c r="B56" s="125">
        <v>10.9</v>
      </c>
      <c r="C56" s="16"/>
      <c r="D56" s="318">
        <f t="shared" si="4"/>
        <v>0</v>
      </c>
      <c r="E56" s="126"/>
      <c r="F56" s="89">
        <f t="shared" si="5"/>
        <v>0</v>
      </c>
      <c r="G56" s="90"/>
      <c r="H56" s="91"/>
      <c r="I56" s="423">
        <f t="shared" si="2"/>
        <v>4307.4000000000005</v>
      </c>
      <c r="J56" s="424">
        <f t="shared" si="3"/>
        <v>396</v>
      </c>
    </row>
    <row r="57" spans="1:10" x14ac:dyDescent="0.25">
      <c r="A57" s="2"/>
      <c r="B57" s="125">
        <v>10.9</v>
      </c>
      <c r="C57" s="16"/>
      <c r="D57" s="318">
        <f t="shared" si="4"/>
        <v>0</v>
      </c>
      <c r="E57" s="126"/>
      <c r="F57" s="89">
        <f t="shared" si="5"/>
        <v>0</v>
      </c>
      <c r="G57" s="90"/>
      <c r="H57" s="91"/>
      <c r="I57" s="423">
        <f t="shared" si="2"/>
        <v>4307.4000000000005</v>
      </c>
      <c r="J57" s="424">
        <f t="shared" si="3"/>
        <v>396</v>
      </c>
    </row>
    <row r="58" spans="1:10" x14ac:dyDescent="0.25">
      <c r="A58" s="2"/>
      <c r="B58" s="125">
        <v>10.9</v>
      </c>
      <c r="C58" s="16"/>
      <c r="D58" s="318">
        <f t="shared" si="4"/>
        <v>0</v>
      </c>
      <c r="E58" s="126"/>
      <c r="F58" s="89">
        <f t="shared" si="5"/>
        <v>0</v>
      </c>
      <c r="G58" s="90"/>
      <c r="H58" s="91"/>
      <c r="I58" s="423">
        <f t="shared" si="2"/>
        <v>4307.4000000000005</v>
      </c>
      <c r="J58" s="424">
        <f t="shared" si="3"/>
        <v>396</v>
      </c>
    </row>
    <row r="59" spans="1:10" x14ac:dyDescent="0.25">
      <c r="A59" s="2"/>
      <c r="B59" s="125">
        <v>10.9</v>
      </c>
      <c r="C59" s="16"/>
      <c r="D59" s="318">
        <f t="shared" si="4"/>
        <v>0</v>
      </c>
      <c r="E59" s="126"/>
      <c r="F59" s="89">
        <f t="shared" si="5"/>
        <v>0</v>
      </c>
      <c r="G59" s="90"/>
      <c r="H59" s="91"/>
      <c r="I59" s="423">
        <f t="shared" si="2"/>
        <v>4307.4000000000005</v>
      </c>
      <c r="J59" s="424">
        <f t="shared" si="3"/>
        <v>396</v>
      </c>
    </row>
    <row r="60" spans="1:10" x14ac:dyDescent="0.25">
      <c r="A60" s="2"/>
      <c r="B60" s="125">
        <v>10.9</v>
      </c>
      <c r="C60" s="16"/>
      <c r="D60" s="318">
        <f t="shared" si="4"/>
        <v>0</v>
      </c>
      <c r="E60" s="126"/>
      <c r="F60" s="89">
        <f t="shared" si="5"/>
        <v>0</v>
      </c>
      <c r="G60" s="90"/>
      <c r="H60" s="91"/>
      <c r="I60" s="423">
        <f t="shared" si="2"/>
        <v>4307.4000000000005</v>
      </c>
      <c r="J60" s="424">
        <f t="shared" si="3"/>
        <v>396</v>
      </c>
    </row>
    <row r="61" spans="1:10" x14ac:dyDescent="0.25">
      <c r="A61" s="2"/>
      <c r="B61" s="125">
        <v>10.9</v>
      </c>
      <c r="C61" s="16"/>
      <c r="D61" s="318">
        <f t="shared" si="4"/>
        <v>0</v>
      </c>
      <c r="E61" s="126"/>
      <c r="F61" s="89">
        <f t="shared" si="5"/>
        <v>0</v>
      </c>
      <c r="G61" s="90"/>
      <c r="H61" s="91"/>
      <c r="I61" s="423">
        <f t="shared" si="2"/>
        <v>4307.4000000000005</v>
      </c>
      <c r="J61" s="424">
        <f t="shared" si="3"/>
        <v>396</v>
      </c>
    </row>
    <row r="62" spans="1:10" x14ac:dyDescent="0.25">
      <c r="A62" s="2"/>
      <c r="B62" s="125">
        <v>10.9</v>
      </c>
      <c r="C62" s="16"/>
      <c r="D62" s="318">
        <f t="shared" si="4"/>
        <v>0</v>
      </c>
      <c r="E62" s="126"/>
      <c r="F62" s="89">
        <f t="shared" si="5"/>
        <v>0</v>
      </c>
      <c r="G62" s="90"/>
      <c r="H62" s="91"/>
      <c r="I62" s="423">
        <f t="shared" si="2"/>
        <v>4307.4000000000005</v>
      </c>
      <c r="J62" s="424">
        <f t="shared" si="3"/>
        <v>396</v>
      </c>
    </row>
    <row r="63" spans="1:10" x14ac:dyDescent="0.25">
      <c r="A63" s="2"/>
      <c r="B63" s="125">
        <v>10.9</v>
      </c>
      <c r="C63" s="16"/>
      <c r="D63" s="318">
        <f t="shared" si="4"/>
        <v>0</v>
      </c>
      <c r="E63" s="126"/>
      <c r="F63" s="89">
        <f t="shared" si="5"/>
        <v>0</v>
      </c>
      <c r="G63" s="90"/>
      <c r="H63" s="91"/>
      <c r="I63" s="423">
        <f t="shared" si="2"/>
        <v>4307.4000000000005</v>
      </c>
      <c r="J63" s="424">
        <f t="shared" si="3"/>
        <v>396</v>
      </c>
    </row>
    <row r="64" spans="1:10" x14ac:dyDescent="0.25">
      <c r="A64" s="2"/>
      <c r="B64" s="125">
        <v>10.9</v>
      </c>
      <c r="C64" s="16"/>
      <c r="D64" s="318">
        <f t="shared" si="4"/>
        <v>0</v>
      </c>
      <c r="E64" s="126"/>
      <c r="F64" s="89">
        <f t="shared" si="5"/>
        <v>0</v>
      </c>
      <c r="G64" s="90"/>
      <c r="H64" s="91"/>
      <c r="I64" s="423">
        <f t="shared" si="2"/>
        <v>4307.4000000000005</v>
      </c>
      <c r="J64" s="424">
        <f t="shared" si="3"/>
        <v>396</v>
      </c>
    </row>
    <row r="65" spans="1:10" x14ac:dyDescent="0.25">
      <c r="A65" s="2"/>
      <c r="B65" s="125">
        <v>10.9</v>
      </c>
      <c r="C65" s="16"/>
      <c r="D65" s="318">
        <f t="shared" si="4"/>
        <v>0</v>
      </c>
      <c r="E65" s="126"/>
      <c r="F65" s="89">
        <f t="shared" si="5"/>
        <v>0</v>
      </c>
      <c r="G65" s="90"/>
      <c r="H65" s="91"/>
      <c r="I65" s="423">
        <f t="shared" si="2"/>
        <v>4307.4000000000005</v>
      </c>
      <c r="J65" s="424">
        <f t="shared" si="3"/>
        <v>396</v>
      </c>
    </row>
    <row r="66" spans="1:10" x14ac:dyDescent="0.25">
      <c r="A66" s="2"/>
      <c r="B66" s="125">
        <v>10.9</v>
      </c>
      <c r="C66" s="16"/>
      <c r="D66" s="318">
        <f t="shared" si="4"/>
        <v>0</v>
      </c>
      <c r="E66" s="126"/>
      <c r="F66" s="89">
        <f t="shared" si="5"/>
        <v>0</v>
      </c>
      <c r="G66" s="90"/>
      <c r="H66" s="91"/>
      <c r="I66" s="423">
        <f t="shared" si="2"/>
        <v>4307.4000000000005</v>
      </c>
      <c r="J66" s="424">
        <f t="shared" si="3"/>
        <v>396</v>
      </c>
    </row>
    <row r="67" spans="1:10" x14ac:dyDescent="0.25">
      <c r="A67" s="2"/>
      <c r="B67" s="125">
        <v>10.9</v>
      </c>
      <c r="C67" s="16"/>
      <c r="D67" s="318">
        <f t="shared" si="4"/>
        <v>0</v>
      </c>
      <c r="E67" s="126"/>
      <c r="F67" s="89">
        <f t="shared" si="5"/>
        <v>0</v>
      </c>
      <c r="G67" s="90"/>
      <c r="H67" s="91"/>
      <c r="I67" s="423">
        <f t="shared" si="2"/>
        <v>4307.4000000000005</v>
      </c>
      <c r="J67" s="424">
        <f t="shared" si="3"/>
        <v>396</v>
      </c>
    </row>
    <row r="68" spans="1:10" x14ac:dyDescent="0.25">
      <c r="A68" s="2"/>
      <c r="B68" s="125">
        <v>10.9</v>
      </c>
      <c r="C68" s="16"/>
      <c r="D68" s="318">
        <f t="shared" si="4"/>
        <v>0</v>
      </c>
      <c r="E68" s="126"/>
      <c r="F68" s="89">
        <f t="shared" si="5"/>
        <v>0</v>
      </c>
      <c r="G68" s="90"/>
      <c r="H68" s="91"/>
      <c r="I68" s="423">
        <f t="shared" si="2"/>
        <v>4307.4000000000005</v>
      </c>
      <c r="J68" s="424">
        <f t="shared" si="3"/>
        <v>396</v>
      </c>
    </row>
    <row r="69" spans="1:10" x14ac:dyDescent="0.25">
      <c r="A69" s="2"/>
      <c r="B69" s="125">
        <v>10.9</v>
      </c>
      <c r="C69" s="16"/>
      <c r="D69" s="318">
        <f t="shared" si="4"/>
        <v>0</v>
      </c>
      <c r="E69" s="126"/>
      <c r="F69" s="89">
        <f t="shared" si="5"/>
        <v>0</v>
      </c>
      <c r="G69" s="90"/>
      <c r="H69" s="91"/>
      <c r="I69" s="423">
        <f t="shared" si="2"/>
        <v>4307.4000000000005</v>
      </c>
      <c r="J69" s="424">
        <f t="shared" si="3"/>
        <v>396</v>
      </c>
    </row>
    <row r="70" spans="1:10" x14ac:dyDescent="0.25">
      <c r="A70" s="2"/>
      <c r="B70" s="125">
        <v>10.9</v>
      </c>
      <c r="C70" s="16"/>
      <c r="D70" s="318">
        <f t="shared" si="4"/>
        <v>0</v>
      </c>
      <c r="E70" s="126"/>
      <c r="F70" s="89">
        <f t="shared" si="5"/>
        <v>0</v>
      </c>
      <c r="G70" s="90"/>
      <c r="H70" s="91"/>
      <c r="I70" s="423">
        <f t="shared" si="2"/>
        <v>4307.4000000000005</v>
      </c>
      <c r="J70" s="424">
        <f t="shared" si="3"/>
        <v>396</v>
      </c>
    </row>
    <row r="71" spans="1:10" x14ac:dyDescent="0.25">
      <c r="A71" s="2"/>
      <c r="B71" s="125">
        <v>10.9</v>
      </c>
      <c r="C71" s="16"/>
      <c r="D71" s="318">
        <f t="shared" si="4"/>
        <v>0</v>
      </c>
      <c r="E71" s="126"/>
      <c r="F71" s="89">
        <f t="shared" si="5"/>
        <v>0</v>
      </c>
      <c r="G71" s="90"/>
      <c r="H71" s="91"/>
      <c r="I71" s="423">
        <f t="shared" si="2"/>
        <v>4307.4000000000005</v>
      </c>
      <c r="J71" s="424">
        <f t="shared" si="3"/>
        <v>396</v>
      </c>
    </row>
    <row r="72" spans="1:10" x14ac:dyDescent="0.25">
      <c r="A72" s="2"/>
      <c r="B72" s="125">
        <v>10.9</v>
      </c>
      <c r="C72" s="16"/>
      <c r="D72" s="318">
        <f t="shared" ref="D72:D91" si="8">C72*B72</f>
        <v>0</v>
      </c>
      <c r="E72" s="126"/>
      <c r="F72" s="89">
        <f t="shared" ref="F72:F92" si="9">D72</f>
        <v>0</v>
      </c>
      <c r="G72" s="90"/>
      <c r="H72" s="91"/>
      <c r="I72" s="423">
        <f t="shared" si="2"/>
        <v>4307.4000000000005</v>
      </c>
      <c r="J72" s="424">
        <f t="shared" si="3"/>
        <v>396</v>
      </c>
    </row>
    <row r="73" spans="1:10" x14ac:dyDescent="0.25">
      <c r="A73" s="2"/>
      <c r="B73" s="125">
        <v>10.9</v>
      </c>
      <c r="C73" s="16"/>
      <c r="D73" s="318">
        <f t="shared" si="8"/>
        <v>0</v>
      </c>
      <c r="E73" s="126"/>
      <c r="F73" s="89">
        <f t="shared" si="9"/>
        <v>0</v>
      </c>
      <c r="G73" s="90"/>
      <c r="H73" s="91"/>
      <c r="I73" s="423">
        <f t="shared" si="2"/>
        <v>4307.4000000000005</v>
      </c>
      <c r="J73" s="424">
        <f t="shared" si="3"/>
        <v>396</v>
      </c>
    </row>
    <row r="74" spans="1:10" x14ac:dyDescent="0.25">
      <c r="A74" s="2"/>
      <c r="B74" s="125">
        <v>10.9</v>
      </c>
      <c r="C74" s="16"/>
      <c r="D74" s="318">
        <f t="shared" si="8"/>
        <v>0</v>
      </c>
      <c r="E74" s="126"/>
      <c r="F74" s="89">
        <f t="shared" si="9"/>
        <v>0</v>
      </c>
      <c r="G74" s="90"/>
      <c r="H74" s="91"/>
      <c r="I74" s="423">
        <f t="shared" ref="I74:I91" si="10">I73-F74</f>
        <v>4307.4000000000005</v>
      </c>
      <c r="J74" s="424">
        <f t="shared" ref="J74:J91" si="11">J73-C74</f>
        <v>396</v>
      </c>
    </row>
    <row r="75" spans="1:10" x14ac:dyDescent="0.25">
      <c r="A75" s="2"/>
      <c r="B75" s="125">
        <v>10.9</v>
      </c>
      <c r="C75" s="16"/>
      <c r="D75" s="318">
        <f t="shared" si="8"/>
        <v>0</v>
      </c>
      <c r="E75" s="126"/>
      <c r="F75" s="89">
        <f t="shared" si="9"/>
        <v>0</v>
      </c>
      <c r="G75" s="90"/>
      <c r="H75" s="91"/>
      <c r="I75" s="423">
        <f t="shared" si="10"/>
        <v>4307.4000000000005</v>
      </c>
      <c r="J75" s="424">
        <f t="shared" si="11"/>
        <v>396</v>
      </c>
    </row>
    <row r="76" spans="1:10" x14ac:dyDescent="0.25">
      <c r="A76" s="2"/>
      <c r="B76" s="125">
        <v>10.9</v>
      </c>
      <c r="C76" s="16"/>
      <c r="D76" s="318">
        <f t="shared" si="8"/>
        <v>0</v>
      </c>
      <c r="E76" s="126"/>
      <c r="F76" s="89">
        <f t="shared" si="9"/>
        <v>0</v>
      </c>
      <c r="G76" s="90"/>
      <c r="H76" s="91"/>
      <c r="I76" s="423">
        <f t="shared" si="10"/>
        <v>4307.4000000000005</v>
      </c>
      <c r="J76" s="424">
        <f t="shared" si="11"/>
        <v>396</v>
      </c>
    </row>
    <row r="77" spans="1:10" x14ac:dyDescent="0.25">
      <c r="A77" s="2"/>
      <c r="B77" s="125">
        <v>10.9</v>
      </c>
      <c r="C77" s="16"/>
      <c r="D77" s="318">
        <f t="shared" si="8"/>
        <v>0</v>
      </c>
      <c r="E77" s="126"/>
      <c r="F77" s="89">
        <f t="shared" si="9"/>
        <v>0</v>
      </c>
      <c r="G77" s="90"/>
      <c r="H77" s="91"/>
      <c r="I77" s="423">
        <f t="shared" si="10"/>
        <v>4307.4000000000005</v>
      </c>
      <c r="J77" s="424">
        <f t="shared" si="11"/>
        <v>396</v>
      </c>
    </row>
    <row r="78" spans="1:10" x14ac:dyDescent="0.25">
      <c r="A78" s="2"/>
      <c r="B78" s="125">
        <v>10.9</v>
      </c>
      <c r="C78" s="16"/>
      <c r="D78" s="318">
        <f t="shared" si="8"/>
        <v>0</v>
      </c>
      <c r="E78" s="126"/>
      <c r="F78" s="89">
        <f t="shared" si="9"/>
        <v>0</v>
      </c>
      <c r="G78" s="90"/>
      <c r="H78" s="91"/>
      <c r="I78" s="423">
        <f t="shared" si="10"/>
        <v>4307.4000000000005</v>
      </c>
      <c r="J78" s="424">
        <f t="shared" si="11"/>
        <v>396</v>
      </c>
    </row>
    <row r="79" spans="1:10" x14ac:dyDescent="0.25">
      <c r="A79" s="2"/>
      <c r="B79" s="125">
        <v>10.9</v>
      </c>
      <c r="C79" s="16"/>
      <c r="D79" s="318">
        <f t="shared" si="8"/>
        <v>0</v>
      </c>
      <c r="E79" s="126"/>
      <c r="F79" s="89">
        <f t="shared" si="9"/>
        <v>0</v>
      </c>
      <c r="G79" s="90"/>
      <c r="H79" s="91"/>
      <c r="I79" s="423">
        <f t="shared" si="10"/>
        <v>4307.4000000000005</v>
      </c>
      <c r="J79" s="424">
        <f t="shared" si="11"/>
        <v>396</v>
      </c>
    </row>
    <row r="80" spans="1:10" x14ac:dyDescent="0.25">
      <c r="A80" s="2"/>
      <c r="B80" s="125">
        <v>10.9</v>
      </c>
      <c r="C80" s="16"/>
      <c r="D80" s="318">
        <f t="shared" si="8"/>
        <v>0</v>
      </c>
      <c r="E80" s="126"/>
      <c r="F80" s="89">
        <f t="shared" si="9"/>
        <v>0</v>
      </c>
      <c r="G80" s="90"/>
      <c r="H80" s="91"/>
      <c r="I80" s="423">
        <f t="shared" si="10"/>
        <v>4307.4000000000005</v>
      </c>
      <c r="J80" s="424">
        <f t="shared" si="11"/>
        <v>396</v>
      </c>
    </row>
    <row r="81" spans="1:10" x14ac:dyDescent="0.25">
      <c r="A81" s="2"/>
      <c r="B81" s="125">
        <v>10.9</v>
      </c>
      <c r="C81" s="16"/>
      <c r="D81" s="318">
        <f t="shared" si="8"/>
        <v>0</v>
      </c>
      <c r="E81" s="126"/>
      <c r="F81" s="89">
        <f t="shared" si="9"/>
        <v>0</v>
      </c>
      <c r="G81" s="90"/>
      <c r="H81" s="91"/>
      <c r="I81" s="423">
        <f t="shared" si="10"/>
        <v>4307.4000000000005</v>
      </c>
      <c r="J81" s="424">
        <f t="shared" si="11"/>
        <v>396</v>
      </c>
    </row>
    <row r="82" spans="1:10" x14ac:dyDescent="0.25">
      <c r="A82" s="2"/>
      <c r="B82" s="125">
        <v>10.9</v>
      </c>
      <c r="C82" s="16"/>
      <c r="D82" s="318">
        <f t="shared" si="8"/>
        <v>0</v>
      </c>
      <c r="E82" s="126"/>
      <c r="F82" s="89">
        <f t="shared" si="9"/>
        <v>0</v>
      </c>
      <c r="G82" s="90"/>
      <c r="H82" s="91"/>
      <c r="I82" s="423">
        <f t="shared" si="10"/>
        <v>4307.4000000000005</v>
      </c>
      <c r="J82" s="424">
        <f t="shared" si="11"/>
        <v>396</v>
      </c>
    </row>
    <row r="83" spans="1:10" x14ac:dyDescent="0.25">
      <c r="A83" s="2"/>
      <c r="B83" s="125">
        <v>10.9</v>
      </c>
      <c r="C83" s="16"/>
      <c r="D83" s="318">
        <f t="shared" si="8"/>
        <v>0</v>
      </c>
      <c r="E83" s="126"/>
      <c r="F83" s="89">
        <f t="shared" si="9"/>
        <v>0</v>
      </c>
      <c r="G83" s="90"/>
      <c r="H83" s="91"/>
      <c r="I83" s="423">
        <f t="shared" si="10"/>
        <v>4307.4000000000005</v>
      </c>
      <c r="J83" s="424">
        <f t="shared" si="11"/>
        <v>396</v>
      </c>
    </row>
    <row r="84" spans="1:10" x14ac:dyDescent="0.25">
      <c r="A84" s="2"/>
      <c r="B84" s="125">
        <v>10.9</v>
      </c>
      <c r="C84" s="16"/>
      <c r="D84" s="318">
        <f t="shared" si="8"/>
        <v>0</v>
      </c>
      <c r="E84" s="126"/>
      <c r="F84" s="89">
        <f t="shared" si="9"/>
        <v>0</v>
      </c>
      <c r="G84" s="90"/>
      <c r="H84" s="91"/>
      <c r="I84" s="423">
        <f t="shared" si="10"/>
        <v>4307.4000000000005</v>
      </c>
      <c r="J84" s="424">
        <f t="shared" si="11"/>
        <v>396</v>
      </c>
    </row>
    <row r="85" spans="1:10" x14ac:dyDescent="0.25">
      <c r="A85" s="2"/>
      <c r="B85" s="125">
        <v>10.9</v>
      </c>
      <c r="C85" s="16"/>
      <c r="D85" s="318">
        <f t="shared" si="8"/>
        <v>0</v>
      </c>
      <c r="E85" s="126"/>
      <c r="F85" s="89">
        <f t="shared" si="9"/>
        <v>0</v>
      </c>
      <c r="G85" s="90"/>
      <c r="H85" s="91"/>
      <c r="I85" s="423">
        <f t="shared" si="10"/>
        <v>4307.4000000000005</v>
      </c>
      <c r="J85" s="424">
        <f t="shared" si="11"/>
        <v>396</v>
      </c>
    </row>
    <row r="86" spans="1:10" x14ac:dyDescent="0.25">
      <c r="A86" s="2"/>
      <c r="B86" s="125">
        <v>10.9</v>
      </c>
      <c r="C86" s="16"/>
      <c r="D86" s="318">
        <f t="shared" si="8"/>
        <v>0</v>
      </c>
      <c r="E86" s="126"/>
      <c r="F86" s="89">
        <f t="shared" si="9"/>
        <v>0</v>
      </c>
      <c r="G86" s="90"/>
      <c r="H86" s="91"/>
      <c r="I86" s="423">
        <f t="shared" si="10"/>
        <v>4307.4000000000005</v>
      </c>
      <c r="J86" s="424">
        <f t="shared" si="11"/>
        <v>396</v>
      </c>
    </row>
    <row r="87" spans="1:10" x14ac:dyDescent="0.25">
      <c r="A87" s="155"/>
      <c r="B87" s="125">
        <v>10.9</v>
      </c>
      <c r="C87" s="16"/>
      <c r="D87" s="318">
        <f t="shared" si="8"/>
        <v>0</v>
      </c>
      <c r="E87" s="126"/>
      <c r="F87" s="89">
        <f t="shared" si="9"/>
        <v>0</v>
      </c>
      <c r="G87" s="90"/>
      <c r="H87" s="91"/>
      <c r="I87" s="423">
        <f t="shared" si="10"/>
        <v>4307.4000000000005</v>
      </c>
      <c r="J87" s="424">
        <f t="shared" si="11"/>
        <v>396</v>
      </c>
    </row>
    <row r="88" spans="1:10" x14ac:dyDescent="0.25">
      <c r="A88" s="2"/>
      <c r="B88" s="125">
        <v>10.9</v>
      </c>
      <c r="C88" s="16"/>
      <c r="D88" s="318">
        <f t="shared" si="8"/>
        <v>0</v>
      </c>
      <c r="E88" s="126"/>
      <c r="F88" s="89">
        <f t="shared" si="9"/>
        <v>0</v>
      </c>
      <c r="G88" s="90"/>
      <c r="H88" s="91"/>
      <c r="I88" s="423">
        <f t="shared" si="10"/>
        <v>4307.4000000000005</v>
      </c>
      <c r="J88" s="424">
        <f t="shared" si="11"/>
        <v>396</v>
      </c>
    </row>
    <row r="89" spans="1:10" x14ac:dyDescent="0.25">
      <c r="A89" s="2"/>
      <c r="B89" s="125">
        <v>10.9</v>
      </c>
      <c r="C89" s="16"/>
      <c r="D89" s="318">
        <f t="shared" si="8"/>
        <v>0</v>
      </c>
      <c r="E89" s="126"/>
      <c r="F89" s="89">
        <f t="shared" si="9"/>
        <v>0</v>
      </c>
      <c r="G89" s="90"/>
      <c r="H89" s="91"/>
      <c r="I89" s="423">
        <f t="shared" si="10"/>
        <v>4307.4000000000005</v>
      </c>
      <c r="J89" s="424">
        <f t="shared" si="11"/>
        <v>396</v>
      </c>
    </row>
    <row r="90" spans="1:10" x14ac:dyDescent="0.25">
      <c r="A90" s="2"/>
      <c r="B90" s="125">
        <v>10.9</v>
      </c>
      <c r="C90" s="16"/>
      <c r="D90" s="318">
        <f t="shared" si="8"/>
        <v>0</v>
      </c>
      <c r="E90" s="126"/>
      <c r="F90" s="89">
        <f t="shared" si="9"/>
        <v>0</v>
      </c>
      <c r="G90" s="90"/>
      <c r="H90" s="91"/>
      <c r="I90" s="423">
        <f t="shared" si="10"/>
        <v>4307.4000000000005</v>
      </c>
      <c r="J90" s="424">
        <f t="shared" si="11"/>
        <v>396</v>
      </c>
    </row>
    <row r="91" spans="1:10" x14ac:dyDescent="0.25">
      <c r="A91" s="2"/>
      <c r="B91" s="125">
        <v>10.9</v>
      </c>
      <c r="C91" s="16"/>
      <c r="D91" s="318">
        <f t="shared" si="8"/>
        <v>0</v>
      </c>
      <c r="E91" s="126"/>
      <c r="F91" s="89">
        <f t="shared" si="9"/>
        <v>0</v>
      </c>
      <c r="G91" s="90"/>
      <c r="H91" s="91"/>
      <c r="I91" s="423">
        <f t="shared" si="10"/>
        <v>4307.4000000000005</v>
      </c>
      <c r="J91" s="424">
        <f t="shared" si="11"/>
        <v>396</v>
      </c>
    </row>
    <row r="92" spans="1:10" ht="15.75" thickBot="1" x14ac:dyDescent="0.3">
      <c r="A92" s="4"/>
      <c r="B92" s="125">
        <v>10.9</v>
      </c>
      <c r="C92" s="40"/>
      <c r="D92" s="375">
        <f>C92*B33</f>
        <v>0</v>
      </c>
      <c r="E92" s="376"/>
      <c r="F92" s="377">
        <f t="shared" si="9"/>
        <v>0</v>
      </c>
      <c r="G92" s="378"/>
      <c r="H92" s="356"/>
    </row>
    <row r="93" spans="1:10" ht="16.5" thickTop="1" thickBot="1" x14ac:dyDescent="0.3">
      <c r="C93" s="132">
        <f>SUM(C8:C92)</f>
        <v>407</v>
      </c>
      <c r="D93" s="52">
        <f>SUM(D10:D92)</f>
        <v>3542.5000000000005</v>
      </c>
      <c r="E93" s="41"/>
      <c r="F93" s="6">
        <f>SUM(F8:F92)</f>
        <v>4436.3</v>
      </c>
    </row>
    <row r="94" spans="1:10" ht="15.75" thickBot="1" x14ac:dyDescent="0.3">
      <c r="A94" s="58"/>
      <c r="D94" s="163" t="s">
        <v>4</v>
      </c>
      <c r="E94" s="88">
        <f>F4+F5+F6-+C93</f>
        <v>396</v>
      </c>
    </row>
    <row r="95" spans="1:10" ht="15.75" thickBot="1" x14ac:dyDescent="0.3">
      <c r="A95" s="174"/>
    </row>
    <row r="96" spans="1:10" ht="16.5" thickTop="1" thickBot="1" x14ac:dyDescent="0.3">
      <c r="A96" s="51"/>
      <c r="C96" s="778" t="s">
        <v>11</v>
      </c>
      <c r="D96" s="779"/>
      <c r="E96" s="217">
        <f>E5+E4+E6+-F93</f>
        <v>4307.3999999999987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12" activePane="bottomLeft" state="frozen"/>
      <selection pane="bottomLeft" activeCell="V24" sqref="V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768" t="s">
        <v>169</v>
      </c>
      <c r="B1" s="768"/>
      <c r="C1" s="768"/>
      <c r="D1" s="768"/>
      <c r="E1" s="768"/>
      <c r="F1" s="768"/>
      <c r="G1" s="768"/>
      <c r="H1" s="12">
        <v>1</v>
      </c>
      <c r="I1" s="194"/>
      <c r="J1" s="97"/>
      <c r="L1" s="760" t="s">
        <v>144</v>
      </c>
      <c r="M1" s="760"/>
      <c r="N1" s="760"/>
      <c r="O1" s="760"/>
      <c r="P1" s="760"/>
      <c r="Q1" s="760"/>
      <c r="R1" s="760"/>
      <c r="S1" s="12">
        <v>2</v>
      </c>
      <c r="T1" s="194"/>
      <c r="U1" s="97"/>
    </row>
    <row r="2" spans="1:21" ht="15.75" thickBot="1" x14ac:dyDescent="0.3">
      <c r="I2" s="194"/>
      <c r="J2" s="97"/>
      <c r="T2" s="194"/>
      <c r="U2" s="97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1"/>
      <c r="J3" s="9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1"/>
      <c r="U3" s="97"/>
    </row>
    <row r="4" spans="1:21" ht="15.75" thickTop="1" x14ac:dyDescent="0.25">
      <c r="B4" s="13"/>
      <c r="C4" s="190"/>
      <c r="D4" s="234"/>
      <c r="E4" s="154"/>
      <c r="F4" s="97"/>
      <c r="G4" s="97"/>
      <c r="I4" s="352"/>
      <c r="J4" s="97"/>
      <c r="M4" s="13"/>
      <c r="N4" s="190"/>
      <c r="O4" s="234"/>
      <c r="P4" s="154"/>
      <c r="Q4" s="97"/>
      <c r="R4" s="97"/>
      <c r="T4" s="352"/>
      <c r="U4" s="97"/>
    </row>
    <row r="5" spans="1:21" x14ac:dyDescent="0.25">
      <c r="A5" s="97" t="s">
        <v>88</v>
      </c>
      <c r="B5" s="379" t="s">
        <v>82</v>
      </c>
      <c r="C5" s="373">
        <v>43</v>
      </c>
      <c r="D5" s="234">
        <v>43727</v>
      </c>
      <c r="E5" s="154">
        <v>1003.34</v>
      </c>
      <c r="F5" s="97">
        <v>221</v>
      </c>
      <c r="G5" s="6">
        <f>F52</f>
        <v>1121.3799999999999</v>
      </c>
      <c r="H5" s="8">
        <f>E4+E5-G5+E6+E7</f>
        <v>1.5631940186722204E-13</v>
      </c>
      <c r="I5" s="352"/>
      <c r="J5" s="97"/>
      <c r="L5" s="97" t="s">
        <v>88</v>
      </c>
      <c r="M5" s="379" t="s">
        <v>82</v>
      </c>
      <c r="N5" s="373">
        <v>43</v>
      </c>
      <c r="O5" s="234">
        <v>43752</v>
      </c>
      <c r="P5" s="154">
        <v>1003.34</v>
      </c>
      <c r="Q5" s="97">
        <v>221</v>
      </c>
      <c r="R5" s="6">
        <f>Q52</f>
        <v>644.67999999999995</v>
      </c>
      <c r="S5" s="8">
        <f>P4+P5-R5+P6+P7</f>
        <v>363.2000000000001</v>
      </c>
      <c r="T5" s="352"/>
      <c r="U5" s="97"/>
    </row>
    <row r="6" spans="1:21" x14ac:dyDescent="0.25">
      <c r="B6" s="13"/>
      <c r="C6" s="373"/>
      <c r="D6" s="234"/>
      <c r="E6" s="154">
        <v>118.04</v>
      </c>
      <c r="F6" s="97">
        <v>26</v>
      </c>
      <c r="I6" s="353"/>
      <c r="J6" s="97"/>
      <c r="M6" s="13"/>
      <c r="N6" s="373"/>
      <c r="O6" s="234"/>
      <c r="P6" s="154">
        <v>4.54</v>
      </c>
      <c r="Q6" s="97">
        <v>1</v>
      </c>
      <c r="T6" s="353"/>
      <c r="U6" s="97"/>
    </row>
    <row r="7" spans="1:21" ht="15.75" thickBot="1" x14ac:dyDescent="0.3">
      <c r="B7" s="13"/>
      <c r="C7" s="373"/>
      <c r="D7" s="234"/>
      <c r="E7" s="154"/>
      <c r="F7" s="97"/>
      <c r="I7" s="353"/>
      <c r="J7" s="97"/>
      <c r="M7" s="13"/>
      <c r="N7" s="373"/>
      <c r="O7" s="234"/>
      <c r="P7" s="154"/>
      <c r="Q7" s="97"/>
      <c r="T7" s="353"/>
      <c r="U7" s="97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54" t="s">
        <v>11</v>
      </c>
      <c r="J8" s="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54" t="s">
        <v>11</v>
      </c>
      <c r="U8" s="97"/>
    </row>
    <row r="9" spans="1:21" ht="15.75" thickTop="1" x14ac:dyDescent="0.25">
      <c r="A9" s="97"/>
      <c r="B9" s="202">
        <v>4.54</v>
      </c>
      <c r="C9" s="16"/>
      <c r="D9" s="134">
        <f t="shared" ref="D9:D51" si="0">C9*B9</f>
        <v>0</v>
      </c>
      <c r="E9" s="365"/>
      <c r="F9" s="89">
        <f t="shared" ref="F9:F51" si="1">D9</f>
        <v>0</v>
      </c>
      <c r="G9" s="90"/>
      <c r="H9" s="91"/>
      <c r="I9" s="352">
        <f>E5+E4+E6+E7-F9</f>
        <v>1121.3800000000001</v>
      </c>
      <c r="J9" s="97">
        <f>F5-C9+F6</f>
        <v>247</v>
      </c>
      <c r="L9" s="97"/>
      <c r="M9" s="202">
        <v>4.54</v>
      </c>
      <c r="N9" s="16"/>
      <c r="O9" s="134">
        <f t="shared" ref="O9:O51" si="2">N9*M9</f>
        <v>0</v>
      </c>
      <c r="P9" s="365"/>
      <c r="Q9" s="89">
        <f t="shared" ref="Q9:Q51" si="3">O9</f>
        <v>0</v>
      </c>
      <c r="R9" s="90"/>
      <c r="S9" s="91"/>
      <c r="T9" s="352">
        <f>P5+P4+P6+P7-Q9</f>
        <v>1007.88</v>
      </c>
      <c r="U9" s="97">
        <f>Q5-N9+Q6</f>
        <v>222</v>
      </c>
    </row>
    <row r="10" spans="1:21" x14ac:dyDescent="0.25">
      <c r="B10" s="202">
        <v>4.54</v>
      </c>
      <c r="C10" s="16">
        <v>40</v>
      </c>
      <c r="D10" s="134">
        <f t="shared" si="0"/>
        <v>181.6</v>
      </c>
      <c r="E10" s="365">
        <v>43732</v>
      </c>
      <c r="F10" s="89">
        <f t="shared" si="1"/>
        <v>181.6</v>
      </c>
      <c r="G10" s="90" t="s">
        <v>129</v>
      </c>
      <c r="H10" s="91">
        <v>55</v>
      </c>
      <c r="I10" s="352">
        <f>I9-F10</f>
        <v>939.78000000000009</v>
      </c>
      <c r="J10" s="97">
        <f>J9-C10</f>
        <v>207</v>
      </c>
      <c r="M10" s="202">
        <v>4.54</v>
      </c>
      <c r="N10" s="16"/>
      <c r="O10" s="134">
        <f t="shared" si="2"/>
        <v>0</v>
      </c>
      <c r="P10" s="365"/>
      <c r="Q10" s="89">
        <f t="shared" si="3"/>
        <v>0</v>
      </c>
      <c r="R10" s="90"/>
      <c r="S10" s="91"/>
      <c r="T10" s="352">
        <f>T9-Q10</f>
        <v>1007.88</v>
      </c>
      <c r="U10" s="97">
        <f>U9-N10</f>
        <v>222</v>
      </c>
    </row>
    <row r="11" spans="1:21" x14ac:dyDescent="0.25">
      <c r="A11" s="71" t="s">
        <v>32</v>
      </c>
      <c r="B11" s="202">
        <v>4.54</v>
      </c>
      <c r="C11" s="16">
        <v>2</v>
      </c>
      <c r="D11" s="134">
        <f t="shared" si="0"/>
        <v>9.08</v>
      </c>
      <c r="E11" s="365">
        <v>43733</v>
      </c>
      <c r="F11" s="89">
        <f t="shared" si="1"/>
        <v>9.08</v>
      </c>
      <c r="G11" s="90" t="s">
        <v>134</v>
      </c>
      <c r="H11" s="91">
        <v>55</v>
      </c>
      <c r="I11" s="517">
        <f t="shared" ref="I11:I50" si="4">I10-F11</f>
        <v>930.7</v>
      </c>
      <c r="J11" s="441">
        <f t="shared" ref="J11:J50" si="5">J10-C11</f>
        <v>205</v>
      </c>
      <c r="L11" s="71" t="s">
        <v>32</v>
      </c>
      <c r="M11" s="202">
        <v>4.54</v>
      </c>
      <c r="N11" s="16"/>
      <c r="O11" s="134">
        <f t="shared" si="2"/>
        <v>0</v>
      </c>
      <c r="P11" s="365"/>
      <c r="Q11" s="89">
        <f t="shared" si="3"/>
        <v>0</v>
      </c>
      <c r="R11" s="90"/>
      <c r="S11" s="91"/>
      <c r="T11" s="517">
        <f t="shared" ref="T11:T50" si="6">T10-Q11</f>
        <v>1007.88</v>
      </c>
      <c r="U11" s="441">
        <f t="shared" ref="U11:U50" si="7">U10-N11</f>
        <v>222</v>
      </c>
    </row>
    <row r="12" spans="1:21" x14ac:dyDescent="0.25">
      <c r="A12" s="127"/>
      <c r="B12" s="202">
        <v>4.54</v>
      </c>
      <c r="C12" s="16">
        <v>30</v>
      </c>
      <c r="D12" s="134">
        <f t="shared" si="0"/>
        <v>136.19999999999999</v>
      </c>
      <c r="E12" s="365">
        <v>43735</v>
      </c>
      <c r="F12" s="89">
        <f t="shared" si="1"/>
        <v>136.19999999999999</v>
      </c>
      <c r="G12" s="90" t="s">
        <v>136</v>
      </c>
      <c r="H12" s="91">
        <v>55</v>
      </c>
      <c r="I12" s="352">
        <f t="shared" si="4"/>
        <v>794.5</v>
      </c>
      <c r="J12" s="97">
        <f t="shared" si="5"/>
        <v>175</v>
      </c>
      <c r="L12" s="127"/>
      <c r="M12" s="202">
        <v>4.54</v>
      </c>
      <c r="N12" s="16">
        <v>30</v>
      </c>
      <c r="O12" s="134">
        <f t="shared" si="2"/>
        <v>136.19999999999999</v>
      </c>
      <c r="P12" s="365">
        <v>43759</v>
      </c>
      <c r="Q12" s="89">
        <f t="shared" si="3"/>
        <v>136.19999999999999</v>
      </c>
      <c r="R12" s="90" t="s">
        <v>319</v>
      </c>
      <c r="S12" s="91">
        <v>55</v>
      </c>
      <c r="T12" s="352">
        <f t="shared" si="6"/>
        <v>871.68000000000006</v>
      </c>
      <c r="U12" s="97">
        <f t="shared" si="7"/>
        <v>192</v>
      </c>
    </row>
    <row r="13" spans="1:21" x14ac:dyDescent="0.25">
      <c r="B13" s="202">
        <v>4.54</v>
      </c>
      <c r="C13" s="16">
        <v>30</v>
      </c>
      <c r="D13" s="134">
        <f t="shared" si="0"/>
        <v>136.19999999999999</v>
      </c>
      <c r="E13" s="365">
        <v>43738</v>
      </c>
      <c r="F13" s="89">
        <f t="shared" si="1"/>
        <v>136.19999999999999</v>
      </c>
      <c r="G13" s="90" t="s">
        <v>141</v>
      </c>
      <c r="H13" s="91">
        <v>55</v>
      </c>
      <c r="I13" s="352">
        <f t="shared" si="4"/>
        <v>658.3</v>
      </c>
      <c r="J13" s="97">
        <f t="shared" si="5"/>
        <v>145</v>
      </c>
      <c r="M13" s="202">
        <v>4.54</v>
      </c>
      <c r="N13" s="16">
        <v>2</v>
      </c>
      <c r="O13" s="134">
        <f t="shared" si="2"/>
        <v>9.08</v>
      </c>
      <c r="P13" s="365">
        <v>43760</v>
      </c>
      <c r="Q13" s="89">
        <f t="shared" si="3"/>
        <v>9.08</v>
      </c>
      <c r="R13" s="90" t="s">
        <v>322</v>
      </c>
      <c r="S13" s="91">
        <v>55</v>
      </c>
      <c r="T13" s="352">
        <f t="shared" si="6"/>
        <v>862.6</v>
      </c>
      <c r="U13" s="97">
        <f t="shared" si="7"/>
        <v>190</v>
      </c>
    </row>
    <row r="14" spans="1:21" x14ac:dyDescent="0.25">
      <c r="A14" s="71" t="s">
        <v>33</v>
      </c>
      <c r="B14" s="202">
        <v>4.54</v>
      </c>
      <c r="C14" s="16">
        <v>20</v>
      </c>
      <c r="D14" s="134">
        <f t="shared" si="0"/>
        <v>90.8</v>
      </c>
      <c r="E14" s="203">
        <v>43740</v>
      </c>
      <c r="F14" s="89">
        <f t="shared" si="1"/>
        <v>90.8</v>
      </c>
      <c r="G14" s="90" t="s">
        <v>148</v>
      </c>
      <c r="H14" s="91">
        <v>55</v>
      </c>
      <c r="I14" s="352">
        <f t="shared" si="4"/>
        <v>567.5</v>
      </c>
      <c r="J14" s="97">
        <f t="shared" si="5"/>
        <v>125</v>
      </c>
      <c r="L14" s="71" t="s">
        <v>33</v>
      </c>
      <c r="M14" s="202">
        <v>4.54</v>
      </c>
      <c r="N14" s="16">
        <v>30</v>
      </c>
      <c r="O14" s="134">
        <f t="shared" si="2"/>
        <v>136.19999999999999</v>
      </c>
      <c r="P14" s="203">
        <v>43762</v>
      </c>
      <c r="Q14" s="89">
        <f t="shared" si="3"/>
        <v>136.19999999999999</v>
      </c>
      <c r="R14" s="90" t="s">
        <v>372</v>
      </c>
      <c r="S14" s="91">
        <v>55</v>
      </c>
      <c r="T14" s="352">
        <f t="shared" si="6"/>
        <v>726.40000000000009</v>
      </c>
      <c r="U14" s="97">
        <f t="shared" si="7"/>
        <v>160</v>
      </c>
    </row>
    <row r="15" spans="1:21" x14ac:dyDescent="0.25">
      <c r="B15" s="202">
        <v>4.54</v>
      </c>
      <c r="C15" s="16">
        <v>20</v>
      </c>
      <c r="D15" s="134">
        <f t="shared" si="0"/>
        <v>90.8</v>
      </c>
      <c r="E15" s="203">
        <v>43743</v>
      </c>
      <c r="F15" s="89">
        <f t="shared" si="1"/>
        <v>90.8</v>
      </c>
      <c r="G15" s="90" t="s">
        <v>156</v>
      </c>
      <c r="H15" s="91">
        <v>55</v>
      </c>
      <c r="I15" s="352">
        <f t="shared" si="4"/>
        <v>476.7</v>
      </c>
      <c r="J15" s="97">
        <f t="shared" si="5"/>
        <v>105</v>
      </c>
      <c r="M15" s="202">
        <v>4.54</v>
      </c>
      <c r="N15" s="16">
        <v>20</v>
      </c>
      <c r="O15" s="134">
        <f t="shared" si="2"/>
        <v>90.8</v>
      </c>
      <c r="P15" s="203">
        <v>43763</v>
      </c>
      <c r="Q15" s="89">
        <f t="shared" si="3"/>
        <v>90.8</v>
      </c>
      <c r="R15" s="90" t="s">
        <v>376</v>
      </c>
      <c r="S15" s="91">
        <v>55</v>
      </c>
      <c r="T15" s="352">
        <f t="shared" si="6"/>
        <v>635.60000000000014</v>
      </c>
      <c r="U15" s="97">
        <f t="shared" si="7"/>
        <v>140</v>
      </c>
    </row>
    <row r="16" spans="1:21" x14ac:dyDescent="0.25">
      <c r="B16" s="202">
        <v>4.54</v>
      </c>
      <c r="C16" s="16">
        <v>2</v>
      </c>
      <c r="D16" s="535">
        <f t="shared" si="0"/>
        <v>9.08</v>
      </c>
      <c r="E16" s="537">
        <v>43748</v>
      </c>
      <c r="F16" s="404">
        <f t="shared" si="1"/>
        <v>9.08</v>
      </c>
      <c r="G16" s="279" t="s">
        <v>218</v>
      </c>
      <c r="H16" s="170">
        <v>55</v>
      </c>
      <c r="I16" s="352">
        <f t="shared" si="4"/>
        <v>467.62</v>
      </c>
      <c r="J16" s="97">
        <f t="shared" si="5"/>
        <v>103</v>
      </c>
      <c r="M16" s="202">
        <v>4.54</v>
      </c>
      <c r="N16" s="16">
        <v>40</v>
      </c>
      <c r="O16" s="134">
        <f t="shared" si="2"/>
        <v>181.6</v>
      </c>
      <c r="P16" s="365">
        <v>43768</v>
      </c>
      <c r="Q16" s="89">
        <f t="shared" si="3"/>
        <v>181.6</v>
      </c>
      <c r="R16" s="90" t="s">
        <v>388</v>
      </c>
      <c r="S16" s="91">
        <v>55</v>
      </c>
      <c r="T16" s="352">
        <f t="shared" si="6"/>
        <v>454.00000000000011</v>
      </c>
      <c r="U16" s="97">
        <f t="shared" si="7"/>
        <v>100</v>
      </c>
    </row>
    <row r="17" spans="2:21" x14ac:dyDescent="0.25">
      <c r="B17" s="202">
        <v>4.54</v>
      </c>
      <c r="C17" s="16">
        <v>40</v>
      </c>
      <c r="D17" s="535">
        <f t="shared" si="0"/>
        <v>181.6</v>
      </c>
      <c r="E17" s="537">
        <v>43749</v>
      </c>
      <c r="F17" s="404">
        <f t="shared" si="1"/>
        <v>181.6</v>
      </c>
      <c r="G17" s="279" t="s">
        <v>224</v>
      </c>
      <c r="H17" s="170">
        <v>55</v>
      </c>
      <c r="I17" s="352">
        <f t="shared" si="4"/>
        <v>286.02</v>
      </c>
      <c r="J17" s="97">
        <f t="shared" si="5"/>
        <v>63</v>
      </c>
      <c r="M17" s="202">
        <v>4.54</v>
      </c>
      <c r="N17" s="16">
        <v>20</v>
      </c>
      <c r="O17" s="134">
        <f t="shared" si="2"/>
        <v>90.8</v>
      </c>
      <c r="P17" s="365">
        <v>43769</v>
      </c>
      <c r="Q17" s="89">
        <f t="shared" si="3"/>
        <v>90.8</v>
      </c>
      <c r="R17" s="90" t="s">
        <v>400</v>
      </c>
      <c r="S17" s="91">
        <v>55</v>
      </c>
      <c r="T17" s="352">
        <f t="shared" si="6"/>
        <v>363.2000000000001</v>
      </c>
      <c r="U17" s="97">
        <f t="shared" si="7"/>
        <v>80</v>
      </c>
    </row>
    <row r="18" spans="2:21" x14ac:dyDescent="0.25">
      <c r="B18" s="202">
        <v>4.54</v>
      </c>
      <c r="C18" s="16">
        <v>20</v>
      </c>
      <c r="D18" s="535">
        <f t="shared" si="0"/>
        <v>90.8</v>
      </c>
      <c r="E18" s="537">
        <v>43749</v>
      </c>
      <c r="F18" s="404">
        <f t="shared" si="1"/>
        <v>90.8</v>
      </c>
      <c r="G18" s="279" t="s">
        <v>225</v>
      </c>
      <c r="H18" s="170">
        <v>55</v>
      </c>
      <c r="I18" s="352">
        <f t="shared" si="4"/>
        <v>195.21999999999997</v>
      </c>
      <c r="J18" s="97">
        <f t="shared" si="5"/>
        <v>43</v>
      </c>
      <c r="M18" s="202">
        <v>4.54</v>
      </c>
      <c r="N18" s="16"/>
      <c r="O18" s="134">
        <f t="shared" si="2"/>
        <v>0</v>
      </c>
      <c r="P18" s="365"/>
      <c r="Q18" s="89">
        <f t="shared" si="3"/>
        <v>0</v>
      </c>
      <c r="R18" s="90"/>
      <c r="S18" s="91"/>
      <c r="T18" s="352">
        <f t="shared" si="6"/>
        <v>363.2000000000001</v>
      </c>
      <c r="U18" s="97">
        <f t="shared" si="7"/>
        <v>80</v>
      </c>
    </row>
    <row r="19" spans="2:21" x14ac:dyDescent="0.25">
      <c r="B19" s="202">
        <v>4.54</v>
      </c>
      <c r="C19" s="16">
        <v>20</v>
      </c>
      <c r="D19" s="535">
        <f t="shared" si="0"/>
        <v>90.8</v>
      </c>
      <c r="E19" s="537">
        <v>43755</v>
      </c>
      <c r="F19" s="404">
        <f t="shared" si="1"/>
        <v>90.8</v>
      </c>
      <c r="G19" s="279" t="s">
        <v>294</v>
      </c>
      <c r="H19" s="170">
        <v>55</v>
      </c>
      <c r="I19" s="352">
        <f t="shared" si="4"/>
        <v>104.41999999999997</v>
      </c>
      <c r="J19" s="97">
        <f t="shared" si="5"/>
        <v>23</v>
      </c>
      <c r="M19" s="202">
        <v>4.54</v>
      </c>
      <c r="N19" s="16"/>
      <c r="O19" s="134">
        <f t="shared" si="2"/>
        <v>0</v>
      </c>
      <c r="P19" s="365"/>
      <c r="Q19" s="89">
        <f t="shared" si="3"/>
        <v>0</v>
      </c>
      <c r="R19" s="90"/>
      <c r="S19" s="91"/>
      <c r="T19" s="352">
        <f t="shared" si="6"/>
        <v>363.2000000000001</v>
      </c>
      <c r="U19" s="97">
        <f t="shared" si="7"/>
        <v>80</v>
      </c>
    </row>
    <row r="20" spans="2:21" x14ac:dyDescent="0.25">
      <c r="B20" s="202">
        <v>4.54</v>
      </c>
      <c r="C20" s="16">
        <v>2</v>
      </c>
      <c r="D20" s="535">
        <f t="shared" si="0"/>
        <v>9.08</v>
      </c>
      <c r="E20" s="537">
        <v>43755</v>
      </c>
      <c r="F20" s="404">
        <f t="shared" si="1"/>
        <v>9.08</v>
      </c>
      <c r="G20" s="279" t="s">
        <v>296</v>
      </c>
      <c r="H20" s="170">
        <v>55</v>
      </c>
      <c r="I20" s="352">
        <f t="shared" si="4"/>
        <v>95.339999999999975</v>
      </c>
      <c r="J20" s="97">
        <f t="shared" si="5"/>
        <v>21</v>
      </c>
      <c r="M20" s="202">
        <v>4.54</v>
      </c>
      <c r="N20" s="16"/>
      <c r="O20" s="134">
        <f t="shared" si="2"/>
        <v>0</v>
      </c>
      <c r="P20" s="365"/>
      <c r="Q20" s="89">
        <f t="shared" si="3"/>
        <v>0</v>
      </c>
      <c r="R20" s="90"/>
      <c r="S20" s="91"/>
      <c r="T20" s="352">
        <f t="shared" si="6"/>
        <v>363.2000000000001</v>
      </c>
      <c r="U20" s="97">
        <f t="shared" si="7"/>
        <v>80</v>
      </c>
    </row>
    <row r="21" spans="2:21" x14ac:dyDescent="0.25">
      <c r="B21" s="202">
        <v>4.54</v>
      </c>
      <c r="C21" s="16">
        <v>20</v>
      </c>
      <c r="D21" s="535">
        <f t="shared" si="0"/>
        <v>90.8</v>
      </c>
      <c r="E21" s="537">
        <v>43757</v>
      </c>
      <c r="F21" s="404">
        <f t="shared" si="1"/>
        <v>90.8</v>
      </c>
      <c r="G21" s="279" t="s">
        <v>315</v>
      </c>
      <c r="H21" s="170">
        <v>55</v>
      </c>
      <c r="I21" s="352">
        <f t="shared" si="4"/>
        <v>4.5399999999999778</v>
      </c>
      <c r="J21" s="97">
        <f t="shared" si="5"/>
        <v>1</v>
      </c>
      <c r="M21" s="202">
        <v>4.54</v>
      </c>
      <c r="N21" s="16"/>
      <c r="O21" s="134">
        <f t="shared" si="2"/>
        <v>0</v>
      </c>
      <c r="P21" s="365"/>
      <c r="Q21" s="89">
        <f t="shared" si="3"/>
        <v>0</v>
      </c>
      <c r="R21" s="90"/>
      <c r="S21" s="91"/>
      <c r="T21" s="352">
        <f t="shared" si="6"/>
        <v>363.2000000000001</v>
      </c>
      <c r="U21" s="97">
        <f t="shared" si="7"/>
        <v>80</v>
      </c>
    </row>
    <row r="22" spans="2:21" x14ac:dyDescent="0.25">
      <c r="B22" s="202">
        <v>4.54</v>
      </c>
      <c r="C22" s="16"/>
      <c r="D22" s="535">
        <f t="shared" si="0"/>
        <v>0</v>
      </c>
      <c r="E22" s="537"/>
      <c r="F22" s="404">
        <f t="shared" si="1"/>
        <v>0</v>
      </c>
      <c r="G22" s="704"/>
      <c r="H22" s="705"/>
      <c r="I22" s="352">
        <f t="shared" si="4"/>
        <v>4.5399999999999778</v>
      </c>
      <c r="J22" s="97">
        <f t="shared" si="5"/>
        <v>1</v>
      </c>
      <c r="M22" s="202">
        <v>4.54</v>
      </c>
      <c r="N22" s="16"/>
      <c r="O22" s="134">
        <f t="shared" si="2"/>
        <v>0</v>
      </c>
      <c r="P22" s="365"/>
      <c r="Q22" s="89">
        <f t="shared" si="3"/>
        <v>0</v>
      </c>
      <c r="R22" s="90"/>
      <c r="S22" s="91"/>
      <c r="T22" s="352">
        <f t="shared" si="6"/>
        <v>363.2000000000001</v>
      </c>
      <c r="U22" s="97">
        <f t="shared" si="7"/>
        <v>80</v>
      </c>
    </row>
    <row r="23" spans="2:21" x14ac:dyDescent="0.25">
      <c r="B23" s="202">
        <v>4.54</v>
      </c>
      <c r="C23" s="16"/>
      <c r="D23" s="535">
        <f t="shared" si="0"/>
        <v>0</v>
      </c>
      <c r="E23" s="537"/>
      <c r="F23" s="404">
        <f t="shared" si="1"/>
        <v>0</v>
      </c>
      <c r="G23" s="704"/>
      <c r="H23" s="705"/>
      <c r="I23" s="352">
        <f t="shared" si="4"/>
        <v>4.5399999999999778</v>
      </c>
      <c r="J23" s="97">
        <f t="shared" si="5"/>
        <v>1</v>
      </c>
      <c r="M23" s="202">
        <v>4.54</v>
      </c>
      <c r="N23" s="16"/>
      <c r="O23" s="134">
        <f t="shared" si="2"/>
        <v>0</v>
      </c>
      <c r="P23" s="365"/>
      <c r="Q23" s="89">
        <f t="shared" si="3"/>
        <v>0</v>
      </c>
      <c r="R23" s="90"/>
      <c r="S23" s="91"/>
      <c r="T23" s="352">
        <f t="shared" si="6"/>
        <v>363.2000000000001</v>
      </c>
      <c r="U23" s="97">
        <f t="shared" si="7"/>
        <v>80</v>
      </c>
    </row>
    <row r="24" spans="2:21" x14ac:dyDescent="0.25">
      <c r="B24" s="202">
        <v>4.54</v>
      </c>
      <c r="C24" s="16">
        <v>1</v>
      </c>
      <c r="D24" s="535">
        <f t="shared" si="0"/>
        <v>4.54</v>
      </c>
      <c r="E24" s="537"/>
      <c r="F24" s="404">
        <f t="shared" si="1"/>
        <v>4.54</v>
      </c>
      <c r="G24" s="704"/>
      <c r="H24" s="705"/>
      <c r="I24" s="352">
        <f t="shared" si="4"/>
        <v>-2.2204460492503131E-14</v>
      </c>
      <c r="J24" s="97">
        <f t="shared" si="5"/>
        <v>0</v>
      </c>
      <c r="M24" s="202">
        <v>4.54</v>
      </c>
      <c r="N24" s="16"/>
      <c r="O24" s="134">
        <f t="shared" si="2"/>
        <v>0</v>
      </c>
      <c r="P24" s="365"/>
      <c r="Q24" s="89">
        <f t="shared" si="3"/>
        <v>0</v>
      </c>
      <c r="R24" s="90"/>
      <c r="S24" s="91"/>
      <c r="T24" s="352">
        <f t="shared" si="6"/>
        <v>363.2000000000001</v>
      </c>
      <c r="U24" s="97">
        <f t="shared" si="7"/>
        <v>80</v>
      </c>
    </row>
    <row r="25" spans="2:21" x14ac:dyDescent="0.25">
      <c r="B25" s="202">
        <v>4.54</v>
      </c>
      <c r="C25" s="16"/>
      <c r="D25" s="535">
        <f t="shared" si="0"/>
        <v>0</v>
      </c>
      <c r="E25" s="537"/>
      <c r="F25" s="404">
        <f t="shared" si="1"/>
        <v>0</v>
      </c>
      <c r="G25" s="704"/>
      <c r="H25" s="705"/>
      <c r="I25" s="352">
        <f t="shared" si="4"/>
        <v>-2.2204460492503131E-14</v>
      </c>
      <c r="J25" s="97">
        <f t="shared" si="5"/>
        <v>0</v>
      </c>
      <c r="M25" s="202">
        <v>4.54</v>
      </c>
      <c r="N25" s="16"/>
      <c r="O25" s="134">
        <f t="shared" si="2"/>
        <v>0</v>
      </c>
      <c r="P25" s="365"/>
      <c r="Q25" s="89">
        <f t="shared" si="3"/>
        <v>0</v>
      </c>
      <c r="R25" s="90"/>
      <c r="S25" s="91"/>
      <c r="T25" s="352">
        <f t="shared" si="6"/>
        <v>363.2000000000001</v>
      </c>
      <c r="U25" s="97">
        <f t="shared" si="7"/>
        <v>80</v>
      </c>
    </row>
    <row r="26" spans="2:21" x14ac:dyDescent="0.25">
      <c r="B26" s="202">
        <v>4.54</v>
      </c>
      <c r="C26" s="16"/>
      <c r="D26" s="535">
        <f t="shared" si="0"/>
        <v>0</v>
      </c>
      <c r="E26" s="537"/>
      <c r="F26" s="404">
        <f t="shared" si="1"/>
        <v>0</v>
      </c>
      <c r="G26" s="279"/>
      <c r="H26" s="170"/>
      <c r="I26" s="352">
        <f t="shared" si="4"/>
        <v>-2.2204460492503131E-14</v>
      </c>
      <c r="J26" s="97">
        <f t="shared" si="5"/>
        <v>0</v>
      </c>
      <c r="M26" s="202">
        <v>4.54</v>
      </c>
      <c r="N26" s="16"/>
      <c r="O26" s="134">
        <f t="shared" si="2"/>
        <v>0</v>
      </c>
      <c r="P26" s="365"/>
      <c r="Q26" s="89">
        <f t="shared" si="3"/>
        <v>0</v>
      </c>
      <c r="R26" s="90"/>
      <c r="S26" s="91"/>
      <c r="T26" s="352">
        <f t="shared" si="6"/>
        <v>363.2000000000001</v>
      </c>
      <c r="U26" s="97">
        <f t="shared" si="7"/>
        <v>80</v>
      </c>
    </row>
    <row r="27" spans="2:21" x14ac:dyDescent="0.25">
      <c r="B27" s="202">
        <v>4.54</v>
      </c>
      <c r="C27" s="16"/>
      <c r="D27" s="535">
        <f t="shared" si="0"/>
        <v>0</v>
      </c>
      <c r="E27" s="537"/>
      <c r="F27" s="404">
        <f t="shared" si="1"/>
        <v>0</v>
      </c>
      <c r="G27" s="279"/>
      <c r="H27" s="170"/>
      <c r="I27" s="352">
        <f t="shared" si="4"/>
        <v>-2.2204460492503131E-14</v>
      </c>
      <c r="J27" s="97">
        <f t="shared" si="5"/>
        <v>0</v>
      </c>
      <c r="M27" s="202">
        <v>4.54</v>
      </c>
      <c r="N27" s="16"/>
      <c r="O27" s="134">
        <f t="shared" si="2"/>
        <v>0</v>
      </c>
      <c r="P27" s="365"/>
      <c r="Q27" s="89">
        <f t="shared" si="3"/>
        <v>0</v>
      </c>
      <c r="R27" s="90"/>
      <c r="S27" s="91"/>
      <c r="T27" s="352">
        <f t="shared" si="6"/>
        <v>363.2000000000001</v>
      </c>
      <c r="U27" s="97">
        <f t="shared" si="7"/>
        <v>80</v>
      </c>
    </row>
    <row r="28" spans="2:21" x14ac:dyDescent="0.25">
      <c r="B28" s="202">
        <v>4.54</v>
      </c>
      <c r="C28" s="16"/>
      <c r="D28" s="535">
        <f t="shared" si="0"/>
        <v>0</v>
      </c>
      <c r="E28" s="537"/>
      <c r="F28" s="404">
        <f t="shared" si="1"/>
        <v>0</v>
      </c>
      <c r="G28" s="279"/>
      <c r="H28" s="170"/>
      <c r="I28" s="352">
        <f t="shared" si="4"/>
        <v>-2.2204460492503131E-14</v>
      </c>
      <c r="J28" s="97">
        <f t="shared" si="5"/>
        <v>0</v>
      </c>
      <c r="M28" s="202">
        <v>4.54</v>
      </c>
      <c r="N28" s="16"/>
      <c r="O28" s="134">
        <f t="shared" si="2"/>
        <v>0</v>
      </c>
      <c r="P28" s="365"/>
      <c r="Q28" s="89">
        <f t="shared" si="3"/>
        <v>0</v>
      </c>
      <c r="R28" s="90"/>
      <c r="S28" s="91"/>
      <c r="T28" s="352">
        <f t="shared" si="6"/>
        <v>363.2000000000001</v>
      </c>
      <c r="U28" s="97">
        <f t="shared" si="7"/>
        <v>80</v>
      </c>
    </row>
    <row r="29" spans="2:21" x14ac:dyDescent="0.25">
      <c r="B29" s="202">
        <v>4.54</v>
      </c>
      <c r="C29" s="16"/>
      <c r="D29" s="134">
        <f t="shared" si="0"/>
        <v>0</v>
      </c>
      <c r="E29" s="365"/>
      <c r="F29" s="89">
        <f t="shared" si="1"/>
        <v>0</v>
      </c>
      <c r="G29" s="90"/>
      <c r="H29" s="91"/>
      <c r="I29" s="352">
        <f t="shared" si="4"/>
        <v>-2.2204460492503131E-14</v>
      </c>
      <c r="J29" s="97">
        <f t="shared" si="5"/>
        <v>0</v>
      </c>
      <c r="M29" s="202">
        <v>4.54</v>
      </c>
      <c r="N29" s="16"/>
      <c r="O29" s="134">
        <f t="shared" si="2"/>
        <v>0</v>
      </c>
      <c r="P29" s="365"/>
      <c r="Q29" s="89">
        <f t="shared" si="3"/>
        <v>0</v>
      </c>
      <c r="R29" s="90"/>
      <c r="S29" s="91"/>
      <c r="T29" s="352">
        <f t="shared" si="6"/>
        <v>363.2000000000001</v>
      </c>
      <c r="U29" s="97">
        <f t="shared" si="7"/>
        <v>80</v>
      </c>
    </row>
    <row r="30" spans="2:21" x14ac:dyDescent="0.25">
      <c r="B30" s="202">
        <v>4.54</v>
      </c>
      <c r="C30" s="16"/>
      <c r="D30" s="134">
        <f t="shared" si="0"/>
        <v>0</v>
      </c>
      <c r="E30" s="365"/>
      <c r="F30" s="89">
        <f t="shared" si="1"/>
        <v>0</v>
      </c>
      <c r="G30" s="90"/>
      <c r="H30" s="91"/>
      <c r="I30" s="352">
        <f t="shared" si="4"/>
        <v>-2.2204460492503131E-14</v>
      </c>
      <c r="J30" s="97">
        <f t="shared" si="5"/>
        <v>0</v>
      </c>
      <c r="M30" s="202">
        <v>4.54</v>
      </c>
      <c r="N30" s="16"/>
      <c r="O30" s="134">
        <f t="shared" si="2"/>
        <v>0</v>
      </c>
      <c r="P30" s="365"/>
      <c r="Q30" s="89">
        <f t="shared" si="3"/>
        <v>0</v>
      </c>
      <c r="R30" s="90"/>
      <c r="S30" s="91"/>
      <c r="T30" s="352">
        <f t="shared" si="6"/>
        <v>363.2000000000001</v>
      </c>
      <c r="U30" s="97">
        <f t="shared" si="7"/>
        <v>80</v>
      </c>
    </row>
    <row r="31" spans="2:21" x14ac:dyDescent="0.25">
      <c r="B31" s="202">
        <v>4.54</v>
      </c>
      <c r="C31" s="16"/>
      <c r="D31" s="134">
        <f t="shared" si="0"/>
        <v>0</v>
      </c>
      <c r="E31" s="365"/>
      <c r="F31" s="89">
        <f t="shared" si="1"/>
        <v>0</v>
      </c>
      <c r="G31" s="90"/>
      <c r="H31" s="91"/>
      <c r="I31" s="352">
        <f t="shared" si="4"/>
        <v>-2.2204460492503131E-14</v>
      </c>
      <c r="J31" s="97">
        <f t="shared" si="5"/>
        <v>0</v>
      </c>
      <c r="M31" s="202">
        <v>4.54</v>
      </c>
      <c r="N31" s="16"/>
      <c r="O31" s="134">
        <f t="shared" si="2"/>
        <v>0</v>
      </c>
      <c r="P31" s="365"/>
      <c r="Q31" s="89">
        <f t="shared" si="3"/>
        <v>0</v>
      </c>
      <c r="R31" s="90"/>
      <c r="S31" s="91"/>
      <c r="T31" s="352">
        <f t="shared" si="6"/>
        <v>363.2000000000001</v>
      </c>
      <c r="U31" s="97">
        <f t="shared" si="7"/>
        <v>80</v>
      </c>
    </row>
    <row r="32" spans="2:21" x14ac:dyDescent="0.25">
      <c r="B32" s="202">
        <v>4.54</v>
      </c>
      <c r="C32" s="16"/>
      <c r="D32" s="134">
        <f t="shared" si="0"/>
        <v>0</v>
      </c>
      <c r="E32" s="365"/>
      <c r="F32" s="89">
        <f t="shared" si="1"/>
        <v>0</v>
      </c>
      <c r="G32" s="90"/>
      <c r="H32" s="91"/>
      <c r="I32" s="352">
        <f t="shared" si="4"/>
        <v>-2.2204460492503131E-14</v>
      </c>
      <c r="J32" s="97">
        <f t="shared" si="5"/>
        <v>0</v>
      </c>
      <c r="M32" s="202">
        <v>4.54</v>
      </c>
      <c r="N32" s="16"/>
      <c r="O32" s="134">
        <f t="shared" si="2"/>
        <v>0</v>
      </c>
      <c r="P32" s="365"/>
      <c r="Q32" s="89">
        <f t="shared" si="3"/>
        <v>0</v>
      </c>
      <c r="R32" s="90"/>
      <c r="S32" s="91"/>
      <c r="T32" s="352">
        <f t="shared" si="6"/>
        <v>363.2000000000001</v>
      </c>
      <c r="U32" s="97">
        <f t="shared" si="7"/>
        <v>80</v>
      </c>
    </row>
    <row r="33" spans="1:21" x14ac:dyDescent="0.25">
      <c r="B33" s="202">
        <v>4.54</v>
      </c>
      <c r="C33" s="16"/>
      <c r="D33" s="134">
        <f t="shared" si="0"/>
        <v>0</v>
      </c>
      <c r="E33" s="203"/>
      <c r="F33" s="89">
        <f t="shared" si="1"/>
        <v>0</v>
      </c>
      <c r="G33" s="90"/>
      <c r="H33" s="91"/>
      <c r="I33" s="352">
        <f t="shared" si="4"/>
        <v>-2.2204460492503131E-14</v>
      </c>
      <c r="J33" s="97">
        <f t="shared" si="5"/>
        <v>0</v>
      </c>
      <c r="M33" s="202">
        <v>4.54</v>
      </c>
      <c r="N33" s="16"/>
      <c r="O33" s="134">
        <f t="shared" si="2"/>
        <v>0</v>
      </c>
      <c r="P33" s="203"/>
      <c r="Q33" s="89">
        <f t="shared" si="3"/>
        <v>0</v>
      </c>
      <c r="R33" s="90"/>
      <c r="S33" s="91"/>
      <c r="T33" s="352">
        <f t="shared" si="6"/>
        <v>363.2000000000001</v>
      </c>
      <c r="U33" s="97">
        <f t="shared" si="7"/>
        <v>80</v>
      </c>
    </row>
    <row r="34" spans="1:21" x14ac:dyDescent="0.25">
      <c r="B34" s="202">
        <v>4.54</v>
      </c>
      <c r="C34" s="16"/>
      <c r="D34" s="134">
        <f t="shared" si="0"/>
        <v>0</v>
      </c>
      <c r="E34" s="203"/>
      <c r="F34" s="89">
        <f t="shared" si="1"/>
        <v>0</v>
      </c>
      <c r="G34" s="90"/>
      <c r="H34" s="91"/>
      <c r="I34" s="352">
        <f t="shared" si="4"/>
        <v>-2.2204460492503131E-14</v>
      </c>
      <c r="J34" s="97">
        <f t="shared" si="5"/>
        <v>0</v>
      </c>
      <c r="M34" s="202">
        <v>4.54</v>
      </c>
      <c r="N34" s="16"/>
      <c r="O34" s="134">
        <f t="shared" si="2"/>
        <v>0</v>
      </c>
      <c r="P34" s="203"/>
      <c r="Q34" s="89">
        <f t="shared" si="3"/>
        <v>0</v>
      </c>
      <c r="R34" s="90"/>
      <c r="S34" s="91"/>
      <c r="T34" s="352">
        <f t="shared" si="6"/>
        <v>363.2000000000001</v>
      </c>
      <c r="U34" s="97">
        <f t="shared" si="7"/>
        <v>80</v>
      </c>
    </row>
    <row r="35" spans="1:21" x14ac:dyDescent="0.25">
      <c r="B35" s="202">
        <v>4.54</v>
      </c>
      <c r="C35" s="16"/>
      <c r="D35" s="134">
        <f t="shared" si="0"/>
        <v>0</v>
      </c>
      <c r="E35" s="203"/>
      <c r="F35" s="89">
        <f t="shared" si="1"/>
        <v>0</v>
      </c>
      <c r="G35" s="90"/>
      <c r="H35" s="91"/>
      <c r="I35" s="352">
        <f t="shared" si="4"/>
        <v>-2.2204460492503131E-14</v>
      </c>
      <c r="J35" s="97">
        <f t="shared" si="5"/>
        <v>0</v>
      </c>
      <c r="M35" s="202">
        <v>4.54</v>
      </c>
      <c r="N35" s="16"/>
      <c r="O35" s="134">
        <f t="shared" si="2"/>
        <v>0</v>
      </c>
      <c r="P35" s="203"/>
      <c r="Q35" s="89">
        <f t="shared" si="3"/>
        <v>0</v>
      </c>
      <c r="R35" s="90"/>
      <c r="S35" s="91"/>
      <c r="T35" s="352">
        <f t="shared" si="6"/>
        <v>363.2000000000001</v>
      </c>
      <c r="U35" s="97">
        <f t="shared" si="7"/>
        <v>80</v>
      </c>
    </row>
    <row r="36" spans="1:21" x14ac:dyDescent="0.25">
      <c r="A36" s="102"/>
      <c r="B36" s="202">
        <v>4.54</v>
      </c>
      <c r="C36" s="16"/>
      <c r="D36" s="134">
        <f t="shared" si="0"/>
        <v>0</v>
      </c>
      <c r="E36" s="203"/>
      <c r="F36" s="89">
        <f t="shared" si="1"/>
        <v>0</v>
      </c>
      <c r="G36" s="90"/>
      <c r="H36" s="91"/>
      <c r="I36" s="352">
        <f t="shared" si="4"/>
        <v>-2.2204460492503131E-14</v>
      </c>
      <c r="J36" s="97">
        <f t="shared" si="5"/>
        <v>0</v>
      </c>
      <c r="L36" s="102"/>
      <c r="M36" s="202">
        <v>4.54</v>
      </c>
      <c r="N36" s="16"/>
      <c r="O36" s="134">
        <f t="shared" si="2"/>
        <v>0</v>
      </c>
      <c r="P36" s="203"/>
      <c r="Q36" s="89">
        <f t="shared" si="3"/>
        <v>0</v>
      </c>
      <c r="R36" s="90"/>
      <c r="S36" s="91"/>
      <c r="T36" s="352">
        <f t="shared" si="6"/>
        <v>363.2000000000001</v>
      </c>
      <c r="U36" s="97">
        <f t="shared" si="7"/>
        <v>80</v>
      </c>
    </row>
    <row r="37" spans="1:21" x14ac:dyDescent="0.25">
      <c r="B37" s="202">
        <v>4.54</v>
      </c>
      <c r="C37" s="16"/>
      <c r="D37" s="134">
        <f t="shared" si="0"/>
        <v>0</v>
      </c>
      <c r="E37" s="203"/>
      <c r="F37" s="89">
        <f t="shared" si="1"/>
        <v>0</v>
      </c>
      <c r="G37" s="90"/>
      <c r="H37" s="91"/>
      <c r="I37" s="352">
        <f t="shared" si="4"/>
        <v>-2.2204460492503131E-14</v>
      </c>
      <c r="J37" s="97">
        <f t="shared" si="5"/>
        <v>0</v>
      </c>
      <c r="M37" s="202">
        <v>4.54</v>
      </c>
      <c r="N37" s="16"/>
      <c r="O37" s="134">
        <f t="shared" si="2"/>
        <v>0</v>
      </c>
      <c r="P37" s="203"/>
      <c r="Q37" s="89">
        <f t="shared" si="3"/>
        <v>0</v>
      </c>
      <c r="R37" s="90"/>
      <c r="S37" s="91"/>
      <c r="T37" s="352">
        <f t="shared" si="6"/>
        <v>363.2000000000001</v>
      </c>
      <c r="U37" s="97">
        <f t="shared" si="7"/>
        <v>80</v>
      </c>
    </row>
    <row r="38" spans="1:21" x14ac:dyDescent="0.25">
      <c r="B38" s="202">
        <v>4.54</v>
      </c>
      <c r="C38" s="16"/>
      <c r="D38" s="89">
        <f t="shared" si="0"/>
        <v>0</v>
      </c>
      <c r="E38" s="365"/>
      <c r="F38" s="89">
        <f t="shared" si="1"/>
        <v>0</v>
      </c>
      <c r="G38" s="90"/>
      <c r="H38" s="91"/>
      <c r="I38" s="352">
        <f t="shared" si="4"/>
        <v>-2.2204460492503131E-14</v>
      </c>
      <c r="J38" s="97">
        <f t="shared" si="5"/>
        <v>0</v>
      </c>
      <c r="M38" s="202">
        <v>4.54</v>
      </c>
      <c r="N38" s="16"/>
      <c r="O38" s="89">
        <f t="shared" si="2"/>
        <v>0</v>
      </c>
      <c r="P38" s="365"/>
      <c r="Q38" s="89">
        <f t="shared" si="3"/>
        <v>0</v>
      </c>
      <c r="R38" s="90"/>
      <c r="S38" s="91"/>
      <c r="T38" s="352">
        <f t="shared" si="6"/>
        <v>363.2000000000001</v>
      </c>
      <c r="U38" s="97">
        <f t="shared" si="7"/>
        <v>80</v>
      </c>
    </row>
    <row r="39" spans="1:21" x14ac:dyDescent="0.25">
      <c r="B39" s="202">
        <v>4.54</v>
      </c>
      <c r="C39" s="16"/>
      <c r="D39" s="89">
        <f t="shared" si="0"/>
        <v>0</v>
      </c>
      <c r="E39" s="365"/>
      <c r="F39" s="89">
        <f t="shared" si="1"/>
        <v>0</v>
      </c>
      <c r="G39" s="90"/>
      <c r="H39" s="91"/>
      <c r="I39" s="352">
        <f t="shared" si="4"/>
        <v>-2.2204460492503131E-14</v>
      </c>
      <c r="J39" s="97">
        <f t="shared" si="5"/>
        <v>0</v>
      </c>
      <c r="M39" s="202">
        <v>4.54</v>
      </c>
      <c r="N39" s="16"/>
      <c r="O39" s="89">
        <f t="shared" si="2"/>
        <v>0</v>
      </c>
      <c r="P39" s="365"/>
      <c r="Q39" s="89">
        <f t="shared" si="3"/>
        <v>0</v>
      </c>
      <c r="R39" s="90"/>
      <c r="S39" s="91"/>
      <c r="T39" s="352">
        <f t="shared" si="6"/>
        <v>363.2000000000001</v>
      </c>
      <c r="U39" s="97">
        <f t="shared" si="7"/>
        <v>80</v>
      </c>
    </row>
    <row r="40" spans="1:21" x14ac:dyDescent="0.25">
      <c r="B40" s="202">
        <v>4.54</v>
      </c>
      <c r="C40" s="16"/>
      <c r="D40" s="89">
        <f t="shared" si="0"/>
        <v>0</v>
      </c>
      <c r="E40" s="365"/>
      <c r="F40" s="89">
        <f t="shared" si="1"/>
        <v>0</v>
      </c>
      <c r="G40" s="90"/>
      <c r="H40" s="91"/>
      <c r="I40" s="352">
        <f t="shared" si="4"/>
        <v>-2.2204460492503131E-14</v>
      </c>
      <c r="J40" s="97">
        <f t="shared" si="5"/>
        <v>0</v>
      </c>
      <c r="M40" s="202">
        <v>4.54</v>
      </c>
      <c r="N40" s="16"/>
      <c r="O40" s="89">
        <f t="shared" si="2"/>
        <v>0</v>
      </c>
      <c r="P40" s="365"/>
      <c r="Q40" s="89">
        <f t="shared" si="3"/>
        <v>0</v>
      </c>
      <c r="R40" s="90"/>
      <c r="S40" s="91"/>
      <c r="T40" s="352">
        <f t="shared" si="6"/>
        <v>363.2000000000001</v>
      </c>
      <c r="U40" s="97">
        <f t="shared" si="7"/>
        <v>80</v>
      </c>
    </row>
    <row r="41" spans="1:21" x14ac:dyDescent="0.25">
      <c r="B41" s="202">
        <v>4.54</v>
      </c>
      <c r="C41" s="16"/>
      <c r="D41" s="89">
        <f t="shared" si="0"/>
        <v>0</v>
      </c>
      <c r="E41" s="365"/>
      <c r="F41" s="89">
        <f t="shared" si="1"/>
        <v>0</v>
      </c>
      <c r="G41" s="90"/>
      <c r="H41" s="91"/>
      <c r="I41" s="352">
        <f t="shared" si="4"/>
        <v>-2.2204460492503131E-14</v>
      </c>
      <c r="J41" s="97">
        <f t="shared" si="5"/>
        <v>0</v>
      </c>
      <c r="M41" s="202">
        <v>4.54</v>
      </c>
      <c r="N41" s="16"/>
      <c r="O41" s="89">
        <f t="shared" si="2"/>
        <v>0</v>
      </c>
      <c r="P41" s="365"/>
      <c r="Q41" s="89">
        <f t="shared" si="3"/>
        <v>0</v>
      </c>
      <c r="R41" s="90"/>
      <c r="S41" s="91"/>
      <c r="T41" s="352">
        <f t="shared" si="6"/>
        <v>363.2000000000001</v>
      </c>
      <c r="U41" s="97">
        <f t="shared" si="7"/>
        <v>80</v>
      </c>
    </row>
    <row r="42" spans="1:21" x14ac:dyDescent="0.25">
      <c r="B42" s="202">
        <v>4.54</v>
      </c>
      <c r="C42" s="16"/>
      <c r="D42" s="89">
        <f t="shared" si="0"/>
        <v>0</v>
      </c>
      <c r="E42" s="365"/>
      <c r="F42" s="89">
        <f t="shared" si="1"/>
        <v>0</v>
      </c>
      <c r="G42" s="90"/>
      <c r="H42" s="91"/>
      <c r="I42" s="352">
        <f t="shared" si="4"/>
        <v>-2.2204460492503131E-14</v>
      </c>
      <c r="J42" s="97">
        <f t="shared" si="5"/>
        <v>0</v>
      </c>
      <c r="M42" s="202">
        <v>4.54</v>
      </c>
      <c r="N42" s="16"/>
      <c r="O42" s="89">
        <f t="shared" si="2"/>
        <v>0</v>
      </c>
      <c r="P42" s="365"/>
      <c r="Q42" s="89">
        <f t="shared" si="3"/>
        <v>0</v>
      </c>
      <c r="R42" s="90"/>
      <c r="S42" s="91"/>
      <c r="T42" s="352">
        <f t="shared" si="6"/>
        <v>363.2000000000001</v>
      </c>
      <c r="U42" s="97">
        <f t="shared" si="7"/>
        <v>80</v>
      </c>
    </row>
    <row r="43" spans="1:21" x14ac:dyDescent="0.25">
      <c r="B43" s="202">
        <v>4.54</v>
      </c>
      <c r="C43" s="16"/>
      <c r="D43" s="89">
        <f t="shared" si="0"/>
        <v>0</v>
      </c>
      <c r="E43" s="365"/>
      <c r="F43" s="89">
        <f t="shared" si="1"/>
        <v>0</v>
      </c>
      <c r="G43" s="90"/>
      <c r="H43" s="91"/>
      <c r="I43" s="352">
        <f t="shared" si="4"/>
        <v>-2.2204460492503131E-14</v>
      </c>
      <c r="J43" s="97">
        <f t="shared" si="5"/>
        <v>0</v>
      </c>
      <c r="M43" s="202">
        <v>4.54</v>
      </c>
      <c r="N43" s="16"/>
      <c r="O43" s="89">
        <f t="shared" si="2"/>
        <v>0</v>
      </c>
      <c r="P43" s="365"/>
      <c r="Q43" s="89">
        <f t="shared" si="3"/>
        <v>0</v>
      </c>
      <c r="R43" s="90"/>
      <c r="S43" s="91"/>
      <c r="T43" s="352">
        <f t="shared" si="6"/>
        <v>363.2000000000001</v>
      </c>
      <c r="U43" s="97">
        <f t="shared" si="7"/>
        <v>80</v>
      </c>
    </row>
    <row r="44" spans="1:21" x14ac:dyDescent="0.25">
      <c r="B44" s="202">
        <v>4.54</v>
      </c>
      <c r="C44" s="16"/>
      <c r="D44" s="89">
        <f t="shared" si="0"/>
        <v>0</v>
      </c>
      <c r="E44" s="365"/>
      <c r="F44" s="89">
        <f t="shared" si="1"/>
        <v>0</v>
      </c>
      <c r="G44" s="90"/>
      <c r="H44" s="91"/>
      <c r="I44" s="352">
        <f t="shared" si="4"/>
        <v>-2.2204460492503131E-14</v>
      </c>
      <c r="J44" s="97">
        <f t="shared" si="5"/>
        <v>0</v>
      </c>
      <c r="M44" s="202">
        <v>4.54</v>
      </c>
      <c r="N44" s="16"/>
      <c r="O44" s="89">
        <f t="shared" si="2"/>
        <v>0</v>
      </c>
      <c r="P44" s="365"/>
      <c r="Q44" s="89">
        <f t="shared" si="3"/>
        <v>0</v>
      </c>
      <c r="R44" s="90"/>
      <c r="S44" s="91"/>
      <c r="T44" s="352">
        <f t="shared" si="6"/>
        <v>363.2000000000001</v>
      </c>
      <c r="U44" s="97">
        <f t="shared" si="7"/>
        <v>80</v>
      </c>
    </row>
    <row r="45" spans="1:21" x14ac:dyDescent="0.25">
      <c r="B45" s="202">
        <v>4.54</v>
      </c>
      <c r="C45" s="16"/>
      <c r="D45" s="89">
        <f t="shared" si="0"/>
        <v>0</v>
      </c>
      <c r="E45" s="365"/>
      <c r="F45" s="89">
        <f t="shared" si="1"/>
        <v>0</v>
      </c>
      <c r="G45" s="90"/>
      <c r="H45" s="91"/>
      <c r="I45" s="352">
        <f t="shared" si="4"/>
        <v>-2.2204460492503131E-14</v>
      </c>
      <c r="J45" s="97">
        <f t="shared" si="5"/>
        <v>0</v>
      </c>
      <c r="M45" s="202">
        <v>4.54</v>
      </c>
      <c r="N45" s="16"/>
      <c r="O45" s="89">
        <f t="shared" si="2"/>
        <v>0</v>
      </c>
      <c r="P45" s="365"/>
      <c r="Q45" s="89">
        <f t="shared" si="3"/>
        <v>0</v>
      </c>
      <c r="R45" s="90"/>
      <c r="S45" s="91"/>
      <c r="T45" s="352">
        <f t="shared" si="6"/>
        <v>363.2000000000001</v>
      </c>
      <c r="U45" s="97">
        <f t="shared" si="7"/>
        <v>80</v>
      </c>
    </row>
    <row r="46" spans="1:21" x14ac:dyDescent="0.25">
      <c r="B46" s="202">
        <v>4.54</v>
      </c>
      <c r="C46" s="16"/>
      <c r="D46" s="89">
        <f t="shared" si="0"/>
        <v>0</v>
      </c>
      <c r="E46" s="365"/>
      <c r="F46" s="89">
        <f t="shared" si="1"/>
        <v>0</v>
      </c>
      <c r="G46" s="90"/>
      <c r="H46" s="91"/>
      <c r="I46" s="352">
        <f t="shared" si="4"/>
        <v>-2.2204460492503131E-14</v>
      </c>
      <c r="J46" s="97">
        <f t="shared" si="5"/>
        <v>0</v>
      </c>
      <c r="M46" s="202">
        <v>4.54</v>
      </c>
      <c r="N46" s="16"/>
      <c r="O46" s="89">
        <f t="shared" si="2"/>
        <v>0</v>
      </c>
      <c r="P46" s="365"/>
      <c r="Q46" s="89">
        <f t="shared" si="3"/>
        <v>0</v>
      </c>
      <c r="R46" s="90"/>
      <c r="S46" s="91"/>
      <c r="T46" s="352">
        <f t="shared" si="6"/>
        <v>363.2000000000001</v>
      </c>
      <c r="U46" s="97">
        <f t="shared" si="7"/>
        <v>80</v>
      </c>
    </row>
    <row r="47" spans="1:21" x14ac:dyDescent="0.25">
      <c r="B47" s="202">
        <v>4.54</v>
      </c>
      <c r="C47" s="16"/>
      <c r="D47" s="89">
        <f t="shared" si="0"/>
        <v>0</v>
      </c>
      <c r="E47" s="365"/>
      <c r="F47" s="89">
        <f t="shared" si="1"/>
        <v>0</v>
      </c>
      <c r="G47" s="90"/>
      <c r="H47" s="91"/>
      <c r="I47" s="352">
        <f t="shared" si="4"/>
        <v>-2.2204460492503131E-14</v>
      </c>
      <c r="J47" s="97">
        <f t="shared" si="5"/>
        <v>0</v>
      </c>
      <c r="M47" s="202">
        <v>4.54</v>
      </c>
      <c r="N47" s="16"/>
      <c r="O47" s="89">
        <f t="shared" si="2"/>
        <v>0</v>
      </c>
      <c r="P47" s="365"/>
      <c r="Q47" s="89">
        <f t="shared" si="3"/>
        <v>0</v>
      </c>
      <c r="R47" s="90"/>
      <c r="S47" s="91"/>
      <c r="T47" s="352">
        <f t="shared" si="6"/>
        <v>363.2000000000001</v>
      </c>
      <c r="U47" s="97">
        <f t="shared" si="7"/>
        <v>80</v>
      </c>
    </row>
    <row r="48" spans="1:21" x14ac:dyDescent="0.25">
      <c r="B48" s="202">
        <v>4.54</v>
      </c>
      <c r="C48" s="16"/>
      <c r="D48" s="89">
        <f t="shared" si="0"/>
        <v>0</v>
      </c>
      <c r="E48" s="365"/>
      <c r="F48" s="89">
        <f t="shared" si="1"/>
        <v>0</v>
      </c>
      <c r="G48" s="90"/>
      <c r="H48" s="91"/>
      <c r="I48" s="352">
        <f t="shared" si="4"/>
        <v>-2.2204460492503131E-14</v>
      </c>
      <c r="J48" s="97">
        <f t="shared" si="5"/>
        <v>0</v>
      </c>
      <c r="M48" s="202">
        <v>4.54</v>
      </c>
      <c r="N48" s="16"/>
      <c r="O48" s="89">
        <f t="shared" si="2"/>
        <v>0</v>
      </c>
      <c r="P48" s="365"/>
      <c r="Q48" s="89">
        <f t="shared" si="3"/>
        <v>0</v>
      </c>
      <c r="R48" s="90"/>
      <c r="S48" s="91"/>
      <c r="T48" s="352">
        <f t="shared" si="6"/>
        <v>363.2000000000001</v>
      </c>
      <c r="U48" s="97">
        <f t="shared" si="7"/>
        <v>80</v>
      </c>
    </row>
    <row r="49" spans="2:21" x14ac:dyDescent="0.25">
      <c r="B49" s="202">
        <v>4.54</v>
      </c>
      <c r="C49" s="16"/>
      <c r="D49" s="89">
        <f t="shared" si="0"/>
        <v>0</v>
      </c>
      <c r="E49" s="365"/>
      <c r="F49" s="89">
        <f t="shared" si="1"/>
        <v>0</v>
      </c>
      <c r="G49" s="90"/>
      <c r="H49" s="91"/>
      <c r="I49" s="352">
        <f t="shared" si="4"/>
        <v>-2.2204460492503131E-14</v>
      </c>
      <c r="J49" s="97">
        <f t="shared" si="5"/>
        <v>0</v>
      </c>
      <c r="M49" s="202">
        <v>4.54</v>
      </c>
      <c r="N49" s="16"/>
      <c r="O49" s="89">
        <f t="shared" si="2"/>
        <v>0</v>
      </c>
      <c r="P49" s="365"/>
      <c r="Q49" s="89">
        <f t="shared" si="3"/>
        <v>0</v>
      </c>
      <c r="R49" s="90"/>
      <c r="S49" s="91"/>
      <c r="T49" s="352">
        <f t="shared" si="6"/>
        <v>363.2000000000001</v>
      </c>
      <c r="U49" s="97">
        <f t="shared" si="7"/>
        <v>80</v>
      </c>
    </row>
    <row r="50" spans="2:21" x14ac:dyDescent="0.25">
      <c r="B50" s="202">
        <v>4.54</v>
      </c>
      <c r="C50" s="16"/>
      <c r="D50" s="89">
        <f t="shared" si="0"/>
        <v>0</v>
      </c>
      <c r="E50" s="365"/>
      <c r="F50" s="89">
        <f t="shared" si="1"/>
        <v>0</v>
      </c>
      <c r="G50" s="90"/>
      <c r="H50" s="91"/>
      <c r="I50" s="352">
        <f t="shared" si="4"/>
        <v>-2.2204460492503131E-14</v>
      </c>
      <c r="J50" s="97">
        <f t="shared" si="5"/>
        <v>0</v>
      </c>
      <c r="M50" s="202">
        <v>4.54</v>
      </c>
      <c r="N50" s="16"/>
      <c r="O50" s="89">
        <f t="shared" si="2"/>
        <v>0</v>
      </c>
      <c r="P50" s="365"/>
      <c r="Q50" s="89">
        <f t="shared" si="3"/>
        <v>0</v>
      </c>
      <c r="R50" s="90"/>
      <c r="S50" s="91"/>
      <c r="T50" s="352">
        <f t="shared" si="6"/>
        <v>363.2000000000001</v>
      </c>
      <c r="U50" s="97">
        <f t="shared" si="7"/>
        <v>80</v>
      </c>
    </row>
    <row r="51" spans="2:21" ht="15.75" thickBot="1" x14ac:dyDescent="0.3">
      <c r="B51" s="202">
        <v>4.54</v>
      </c>
      <c r="C51" s="40"/>
      <c r="D51" s="235">
        <f t="shared" si="0"/>
        <v>0</v>
      </c>
      <c r="E51" s="369"/>
      <c r="F51" s="235">
        <f t="shared" si="1"/>
        <v>0</v>
      </c>
      <c r="G51" s="209"/>
      <c r="H51" s="370"/>
      <c r="I51" s="194"/>
      <c r="J51" s="97"/>
      <c r="M51" s="202">
        <v>4.54</v>
      </c>
      <c r="N51" s="40"/>
      <c r="O51" s="235">
        <f t="shared" si="2"/>
        <v>0</v>
      </c>
      <c r="P51" s="369"/>
      <c r="Q51" s="235">
        <f t="shared" si="3"/>
        <v>0</v>
      </c>
      <c r="R51" s="209"/>
      <c r="S51" s="370"/>
      <c r="T51" s="194"/>
      <c r="U51" s="97"/>
    </row>
    <row r="52" spans="2:21" ht="15.75" thickTop="1" x14ac:dyDescent="0.25">
      <c r="C52" s="16">
        <f>SUM(C9:C51)</f>
        <v>247</v>
      </c>
      <c r="D52" s="7">
        <f>SUM(D9:D51)</f>
        <v>1121.3799999999999</v>
      </c>
      <c r="E52" s="14"/>
      <c r="F52" s="7">
        <f>SUM(F9:F51)</f>
        <v>1121.3799999999999</v>
      </c>
      <c r="G52" s="32"/>
      <c r="H52" s="18"/>
      <c r="I52" s="194"/>
      <c r="J52" s="97"/>
      <c r="N52" s="16">
        <f>SUM(N9:N51)</f>
        <v>142</v>
      </c>
      <c r="O52" s="7">
        <f>SUM(O9:O51)</f>
        <v>644.67999999999995</v>
      </c>
      <c r="P52" s="14"/>
      <c r="Q52" s="7">
        <f>SUM(Q9:Q51)</f>
        <v>644.67999999999995</v>
      </c>
      <c r="R52" s="32"/>
      <c r="S52" s="18"/>
      <c r="T52" s="194"/>
      <c r="U52" s="97"/>
    </row>
    <row r="53" spans="2:21" ht="15.75" thickBot="1" x14ac:dyDescent="0.3">
      <c r="C53" s="16"/>
      <c r="D53" s="7"/>
      <c r="E53" s="14"/>
      <c r="F53" s="7"/>
      <c r="G53" s="32"/>
      <c r="H53" s="18"/>
      <c r="I53" s="194"/>
      <c r="J53" s="97"/>
      <c r="N53" s="16"/>
      <c r="O53" s="7"/>
      <c r="P53" s="14"/>
      <c r="Q53" s="7"/>
      <c r="R53" s="32"/>
      <c r="S53" s="18"/>
      <c r="T53" s="194"/>
      <c r="U53" s="97"/>
    </row>
    <row r="54" spans="2:21" x14ac:dyDescent="0.25">
      <c r="C54" s="55" t="s">
        <v>4</v>
      </c>
      <c r="D54" s="395">
        <f>F4+F5-C52+F6+F7</f>
        <v>0</v>
      </c>
      <c r="E54" s="43"/>
      <c r="F54" s="7"/>
      <c r="G54" s="32"/>
      <c r="H54" s="18"/>
      <c r="I54" s="194"/>
      <c r="J54" s="97"/>
      <c r="N54" s="55" t="s">
        <v>4</v>
      </c>
      <c r="O54" s="395">
        <f>Q4+Q5-N52+Q6+Q7</f>
        <v>80</v>
      </c>
      <c r="P54" s="43"/>
      <c r="Q54" s="7"/>
      <c r="R54" s="32"/>
      <c r="S54" s="18"/>
      <c r="T54" s="194"/>
      <c r="U54" s="97"/>
    </row>
    <row r="55" spans="2:21" x14ac:dyDescent="0.25">
      <c r="C55" s="780" t="s">
        <v>19</v>
      </c>
      <c r="D55" s="781"/>
      <c r="E55" s="42">
        <f>E4+E5-F52+E6+E7</f>
        <v>1.5631940186722204E-13</v>
      </c>
      <c r="F55" s="7"/>
      <c r="G55" s="7"/>
      <c r="H55" s="18"/>
      <c r="I55" s="194"/>
      <c r="J55" s="97"/>
      <c r="N55" s="780" t="s">
        <v>19</v>
      </c>
      <c r="O55" s="781"/>
      <c r="P55" s="42">
        <f>P4+P5-Q52+P6+P7</f>
        <v>363.2000000000001</v>
      </c>
      <c r="Q55" s="7"/>
      <c r="R55" s="7"/>
      <c r="S55" s="18"/>
      <c r="T55" s="194"/>
      <c r="U55" s="97"/>
    </row>
    <row r="56" spans="2:21" ht="15.75" thickBot="1" x14ac:dyDescent="0.3">
      <c r="C56" s="48"/>
      <c r="D56" s="46"/>
      <c r="E56" s="44"/>
      <c r="F56" s="7"/>
      <c r="G56" s="32"/>
      <c r="H56" s="18"/>
      <c r="I56" s="194"/>
      <c r="J56" s="97"/>
      <c r="N56" s="48"/>
      <c r="O56" s="46"/>
      <c r="P56" s="44"/>
      <c r="Q56" s="7"/>
      <c r="R56" s="32"/>
      <c r="S56" s="18"/>
      <c r="T56" s="194"/>
      <c r="U56" s="97"/>
    </row>
    <row r="57" spans="2:21" x14ac:dyDescent="0.25">
      <c r="C57" s="16"/>
      <c r="D57" s="7"/>
      <c r="E57" s="14"/>
      <c r="F57" s="7"/>
      <c r="G57" s="32"/>
      <c r="H57" s="18"/>
      <c r="I57" s="194"/>
      <c r="J57" s="97"/>
      <c r="N57" s="16"/>
      <c r="O57" s="7"/>
      <c r="P57" s="14"/>
      <c r="Q57" s="7"/>
      <c r="R57" s="32"/>
      <c r="S57" s="18"/>
      <c r="T57" s="194"/>
      <c r="U57" s="97"/>
    </row>
    <row r="58" spans="2:21" x14ac:dyDescent="0.25">
      <c r="I58" s="194"/>
      <c r="J58" s="97"/>
      <c r="T58" s="194"/>
      <c r="U58" s="97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J1" workbookViewId="0">
      <pane xSplit="2" ySplit="8" topLeftCell="N9" activePane="bottomRight" state="frozen"/>
      <selection activeCell="J1" sqref="J1"/>
      <selection pane="topRight" activeCell="L1" sqref="L1"/>
      <selection pane="bottomLeft" activeCell="J9" sqref="J9"/>
      <selection pane="bottomRight" activeCell="T17" sqref="T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768" t="s">
        <v>169</v>
      </c>
      <c r="B1" s="768"/>
      <c r="C1" s="768"/>
      <c r="D1" s="768"/>
      <c r="E1" s="768"/>
      <c r="F1" s="768"/>
      <c r="G1" s="768"/>
      <c r="H1" s="12">
        <v>1</v>
      </c>
      <c r="L1" s="760" t="s">
        <v>144</v>
      </c>
      <c r="M1" s="760"/>
      <c r="N1" s="760"/>
      <c r="O1" s="760"/>
      <c r="P1" s="760"/>
      <c r="Q1" s="760"/>
      <c r="R1" s="760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1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1"/>
    </row>
    <row r="4" spans="1:21" ht="15.75" thickTop="1" x14ac:dyDescent="0.25">
      <c r="B4" s="13"/>
      <c r="C4" s="190"/>
      <c r="D4" s="234"/>
      <c r="E4" s="6"/>
      <c r="F4" s="97"/>
      <c r="G4" s="97"/>
      <c r="I4" s="352"/>
      <c r="M4" s="13"/>
      <c r="N4" s="190"/>
      <c r="O4" s="234"/>
      <c r="P4" s="6"/>
      <c r="Q4" s="97"/>
      <c r="R4" s="97"/>
      <c r="T4" s="352"/>
    </row>
    <row r="5" spans="1:21" x14ac:dyDescent="0.25">
      <c r="A5" s="97" t="s">
        <v>80</v>
      </c>
      <c r="B5" s="380" t="s">
        <v>83</v>
      </c>
      <c r="C5" s="373">
        <v>45</v>
      </c>
      <c r="D5" s="234">
        <v>43727</v>
      </c>
      <c r="E5" s="154">
        <v>1000</v>
      </c>
      <c r="F5" s="97">
        <v>100</v>
      </c>
      <c r="G5" s="479">
        <f>F61</f>
        <v>1030</v>
      </c>
      <c r="H5" s="8">
        <f>E4+E5-G5+E6+E7</f>
        <v>0</v>
      </c>
      <c r="I5" s="352"/>
      <c r="L5" s="97" t="s">
        <v>80</v>
      </c>
      <c r="M5" s="380" t="s">
        <v>83</v>
      </c>
      <c r="N5" s="373">
        <v>45</v>
      </c>
      <c r="O5" s="234">
        <v>43752</v>
      </c>
      <c r="P5" s="154">
        <v>1000</v>
      </c>
      <c r="Q5" s="97">
        <v>100</v>
      </c>
      <c r="R5" s="479">
        <f>Q61</f>
        <v>700</v>
      </c>
      <c r="S5" s="8">
        <f>P4+P5-R5+P6+P7</f>
        <v>460</v>
      </c>
      <c r="T5" s="352"/>
    </row>
    <row r="6" spans="1:21" ht="15.75" thickBot="1" x14ac:dyDescent="0.3">
      <c r="B6" s="13"/>
      <c r="C6" s="373"/>
      <c r="D6" s="234"/>
      <c r="E6" s="154">
        <v>30</v>
      </c>
      <c r="F6" s="97">
        <v>3</v>
      </c>
      <c r="I6" s="353"/>
      <c r="M6" s="13"/>
      <c r="N6" s="373"/>
      <c r="O6" s="234"/>
      <c r="P6" s="154">
        <v>160</v>
      </c>
      <c r="Q6" s="97">
        <v>16</v>
      </c>
      <c r="T6" s="353"/>
    </row>
    <row r="7" spans="1:21" ht="15.75" thickBot="1" x14ac:dyDescent="0.3">
      <c r="B7" s="13"/>
      <c r="C7" s="373"/>
      <c r="D7" s="234"/>
      <c r="E7" s="154"/>
      <c r="F7" s="97"/>
      <c r="I7" s="782" t="s">
        <v>19</v>
      </c>
      <c r="J7" s="784" t="s">
        <v>4</v>
      </c>
      <c r="M7" s="13"/>
      <c r="N7" s="373"/>
      <c r="O7" s="234"/>
      <c r="P7" s="154"/>
      <c r="Q7" s="97"/>
      <c r="T7" s="782" t="s">
        <v>19</v>
      </c>
      <c r="U7" s="784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83"/>
      <c r="J8" s="785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783"/>
      <c r="U8" s="785"/>
    </row>
    <row r="9" spans="1:21" ht="15.75" thickTop="1" x14ac:dyDescent="0.25">
      <c r="A9" s="97"/>
      <c r="B9" s="202">
        <v>10</v>
      </c>
      <c r="C9" s="16">
        <v>20</v>
      </c>
      <c r="D9" s="134">
        <f t="shared" ref="D9:D60" si="0">C9*B9</f>
        <v>200</v>
      </c>
      <c r="E9" s="365">
        <v>43736</v>
      </c>
      <c r="F9" s="89">
        <f t="shared" ref="F9:F60" si="1">D9</f>
        <v>200</v>
      </c>
      <c r="G9" s="90" t="s">
        <v>139</v>
      </c>
      <c r="H9" s="486">
        <v>53</v>
      </c>
      <c r="I9" s="352">
        <f>E5-F9+E6</f>
        <v>830</v>
      </c>
      <c r="J9" s="188">
        <f>F4+F5+F6+F7-C9</f>
        <v>83</v>
      </c>
      <c r="L9" s="97"/>
      <c r="M9" s="202">
        <v>10</v>
      </c>
      <c r="N9" s="483">
        <v>20</v>
      </c>
      <c r="O9" s="134">
        <f t="shared" ref="O9:O60" si="2">N9*M9</f>
        <v>200</v>
      </c>
      <c r="P9" s="365">
        <v>43759</v>
      </c>
      <c r="Q9" s="89">
        <f t="shared" ref="Q9:Q60" si="3">O9</f>
        <v>200</v>
      </c>
      <c r="R9" s="90" t="s">
        <v>319</v>
      </c>
      <c r="S9" s="486">
        <v>53</v>
      </c>
      <c r="T9" s="352">
        <f>P5-Q9+P6</f>
        <v>960</v>
      </c>
      <c r="U9" s="188">
        <f>Q4+Q5+Q6+Q7-N9</f>
        <v>96</v>
      </c>
    </row>
    <row r="10" spans="1:21" x14ac:dyDescent="0.25">
      <c r="B10" s="202">
        <v>10</v>
      </c>
      <c r="C10" s="627">
        <v>10</v>
      </c>
      <c r="D10" s="134">
        <f t="shared" si="0"/>
        <v>100</v>
      </c>
      <c r="E10" s="365">
        <v>43738</v>
      </c>
      <c r="F10" s="89">
        <f t="shared" si="1"/>
        <v>100</v>
      </c>
      <c r="G10" s="90" t="s">
        <v>141</v>
      </c>
      <c r="H10" s="486">
        <v>53</v>
      </c>
      <c r="I10" s="352">
        <f>I9-F10</f>
        <v>730</v>
      </c>
      <c r="J10" s="188">
        <f>J9-C10</f>
        <v>73</v>
      </c>
      <c r="M10" s="202">
        <v>10</v>
      </c>
      <c r="N10" s="483">
        <v>10</v>
      </c>
      <c r="O10" s="134">
        <f t="shared" si="2"/>
        <v>100</v>
      </c>
      <c r="P10" s="365">
        <v>43760</v>
      </c>
      <c r="Q10" s="89">
        <f t="shared" si="3"/>
        <v>100</v>
      </c>
      <c r="R10" s="90" t="s">
        <v>323</v>
      </c>
      <c r="S10" s="486">
        <v>53</v>
      </c>
      <c r="T10" s="352">
        <f>T9-Q10</f>
        <v>860</v>
      </c>
      <c r="U10" s="188">
        <f>U9-N10</f>
        <v>86</v>
      </c>
    </row>
    <row r="11" spans="1:21" x14ac:dyDescent="0.25">
      <c r="A11" s="71" t="s">
        <v>32</v>
      </c>
      <c r="B11" s="202">
        <f>B10</f>
        <v>10</v>
      </c>
      <c r="C11" s="16">
        <v>15</v>
      </c>
      <c r="D11" s="134">
        <f t="shared" si="0"/>
        <v>150</v>
      </c>
      <c r="E11" s="365">
        <v>43742</v>
      </c>
      <c r="F11" s="89">
        <f t="shared" si="1"/>
        <v>150</v>
      </c>
      <c r="G11" s="90" t="s">
        <v>153</v>
      </c>
      <c r="H11" s="91">
        <v>53</v>
      </c>
      <c r="I11" s="352">
        <f t="shared" ref="I11:I42" si="4">I10-F11</f>
        <v>580</v>
      </c>
      <c r="J11" s="188">
        <f t="shared" ref="J11:J59" si="5">J10-C11</f>
        <v>58</v>
      </c>
      <c r="L11" s="71" t="s">
        <v>32</v>
      </c>
      <c r="M11" s="202">
        <f>M10</f>
        <v>10</v>
      </c>
      <c r="N11" s="483">
        <v>20</v>
      </c>
      <c r="O11" s="134">
        <f t="shared" si="2"/>
        <v>200</v>
      </c>
      <c r="P11" s="365">
        <v>43762</v>
      </c>
      <c r="Q11" s="89">
        <f t="shared" si="3"/>
        <v>200</v>
      </c>
      <c r="R11" s="90" t="s">
        <v>372</v>
      </c>
      <c r="S11" s="91">
        <v>53</v>
      </c>
      <c r="T11" s="352">
        <f t="shared" ref="T11:T59" si="6">T10-Q11</f>
        <v>660</v>
      </c>
      <c r="U11" s="188">
        <f t="shared" ref="U11:U59" si="7">U10-N11</f>
        <v>66</v>
      </c>
    </row>
    <row r="12" spans="1:21" x14ac:dyDescent="0.25">
      <c r="A12" s="127"/>
      <c r="B12" s="202">
        <f t="shared" ref="B12:B60" si="8">B11</f>
        <v>10</v>
      </c>
      <c r="C12" s="16">
        <v>20</v>
      </c>
      <c r="D12" s="134">
        <f t="shared" si="0"/>
        <v>200</v>
      </c>
      <c r="E12" s="365">
        <v>43743</v>
      </c>
      <c r="F12" s="89">
        <f t="shared" si="1"/>
        <v>200</v>
      </c>
      <c r="G12" s="90" t="s">
        <v>156</v>
      </c>
      <c r="H12" s="91">
        <v>53</v>
      </c>
      <c r="I12" s="352">
        <f t="shared" si="4"/>
        <v>380</v>
      </c>
      <c r="J12" s="188">
        <f t="shared" si="5"/>
        <v>38</v>
      </c>
      <c r="L12" s="127"/>
      <c r="M12" s="202">
        <f t="shared" ref="M12:M60" si="9">M11</f>
        <v>10</v>
      </c>
      <c r="N12" s="483">
        <v>20</v>
      </c>
      <c r="O12" s="134">
        <f t="shared" si="2"/>
        <v>200</v>
      </c>
      <c r="P12" s="365">
        <v>43763</v>
      </c>
      <c r="Q12" s="89">
        <f t="shared" si="3"/>
        <v>200</v>
      </c>
      <c r="R12" s="90" t="s">
        <v>377</v>
      </c>
      <c r="S12" s="91">
        <v>53</v>
      </c>
      <c r="T12" s="352">
        <f t="shared" si="6"/>
        <v>460</v>
      </c>
      <c r="U12" s="188">
        <f t="shared" si="7"/>
        <v>46</v>
      </c>
    </row>
    <row r="13" spans="1:21" x14ac:dyDescent="0.25">
      <c r="B13" s="202">
        <f t="shared" si="8"/>
        <v>10</v>
      </c>
      <c r="C13" s="16">
        <v>2</v>
      </c>
      <c r="D13" s="535">
        <f t="shared" si="0"/>
        <v>20</v>
      </c>
      <c r="E13" s="537">
        <v>43748</v>
      </c>
      <c r="F13" s="404">
        <f t="shared" si="1"/>
        <v>20</v>
      </c>
      <c r="G13" s="279" t="s">
        <v>218</v>
      </c>
      <c r="H13" s="170">
        <v>53</v>
      </c>
      <c r="I13" s="352">
        <f t="shared" si="4"/>
        <v>360</v>
      </c>
      <c r="J13" s="188">
        <f t="shared" si="5"/>
        <v>36</v>
      </c>
      <c r="M13" s="202">
        <f t="shared" si="9"/>
        <v>10</v>
      </c>
      <c r="N13" s="483"/>
      <c r="O13" s="134">
        <f t="shared" si="2"/>
        <v>0</v>
      </c>
      <c r="P13" s="365"/>
      <c r="Q13" s="89">
        <f t="shared" si="3"/>
        <v>0</v>
      </c>
      <c r="R13" s="90"/>
      <c r="S13" s="91"/>
      <c r="T13" s="352">
        <f t="shared" si="6"/>
        <v>460</v>
      </c>
      <c r="U13" s="188">
        <f t="shared" si="7"/>
        <v>46</v>
      </c>
    </row>
    <row r="14" spans="1:21" x14ac:dyDescent="0.25">
      <c r="A14" s="71" t="s">
        <v>33</v>
      </c>
      <c r="B14" s="202">
        <f t="shared" si="8"/>
        <v>10</v>
      </c>
      <c r="C14" s="16">
        <v>20</v>
      </c>
      <c r="D14" s="535">
        <f t="shared" si="0"/>
        <v>200</v>
      </c>
      <c r="E14" s="537">
        <v>43749</v>
      </c>
      <c r="F14" s="404">
        <f t="shared" si="1"/>
        <v>200</v>
      </c>
      <c r="G14" s="279" t="s">
        <v>225</v>
      </c>
      <c r="H14" s="170">
        <v>53</v>
      </c>
      <c r="I14" s="352">
        <f t="shared" si="4"/>
        <v>160</v>
      </c>
      <c r="J14" s="188">
        <f t="shared" si="5"/>
        <v>16</v>
      </c>
      <c r="L14" s="71" t="s">
        <v>33</v>
      </c>
      <c r="M14" s="202">
        <f t="shared" si="9"/>
        <v>10</v>
      </c>
      <c r="N14" s="483"/>
      <c r="O14" s="134">
        <f t="shared" si="2"/>
        <v>0</v>
      </c>
      <c r="P14" s="365"/>
      <c r="Q14" s="89">
        <f t="shared" si="3"/>
        <v>0</v>
      </c>
      <c r="R14" s="90"/>
      <c r="S14" s="91"/>
      <c r="T14" s="352">
        <f t="shared" si="6"/>
        <v>460</v>
      </c>
      <c r="U14" s="188">
        <f t="shared" si="7"/>
        <v>46</v>
      </c>
    </row>
    <row r="15" spans="1:21" x14ac:dyDescent="0.25">
      <c r="B15" s="202">
        <f t="shared" si="8"/>
        <v>10</v>
      </c>
      <c r="C15" s="483"/>
      <c r="D15" s="683">
        <f t="shared" si="0"/>
        <v>0</v>
      </c>
      <c r="E15" s="684"/>
      <c r="F15" s="618">
        <f t="shared" si="1"/>
        <v>0</v>
      </c>
      <c r="G15" s="704"/>
      <c r="H15" s="705"/>
      <c r="I15" s="352">
        <f t="shared" si="4"/>
        <v>160</v>
      </c>
      <c r="J15" s="488">
        <f t="shared" si="5"/>
        <v>16</v>
      </c>
      <c r="M15" s="202">
        <f t="shared" si="9"/>
        <v>10</v>
      </c>
      <c r="N15" s="483"/>
      <c r="O15" s="515">
        <f t="shared" si="2"/>
        <v>0</v>
      </c>
      <c r="P15" s="516"/>
      <c r="Q15" s="484">
        <f t="shared" si="3"/>
        <v>0</v>
      </c>
      <c r="R15" s="485"/>
      <c r="S15" s="486"/>
      <c r="T15" s="352">
        <f t="shared" si="6"/>
        <v>460</v>
      </c>
      <c r="U15" s="488">
        <f t="shared" si="7"/>
        <v>46</v>
      </c>
    </row>
    <row r="16" spans="1:21" x14ac:dyDescent="0.25">
      <c r="B16" s="202">
        <f t="shared" si="8"/>
        <v>10</v>
      </c>
      <c r="C16" s="16">
        <v>16</v>
      </c>
      <c r="D16" s="535">
        <f t="shared" si="0"/>
        <v>160</v>
      </c>
      <c r="E16" s="537"/>
      <c r="F16" s="404">
        <f t="shared" si="1"/>
        <v>160</v>
      </c>
      <c r="G16" s="704"/>
      <c r="H16" s="705"/>
      <c r="I16" s="352">
        <f t="shared" si="4"/>
        <v>0</v>
      </c>
      <c r="J16" s="188">
        <f t="shared" si="5"/>
        <v>0</v>
      </c>
      <c r="M16" s="202">
        <f t="shared" si="9"/>
        <v>10</v>
      </c>
      <c r="N16" s="483"/>
      <c r="O16" s="134">
        <f t="shared" si="2"/>
        <v>0</v>
      </c>
      <c r="P16" s="365"/>
      <c r="Q16" s="89">
        <f t="shared" si="3"/>
        <v>0</v>
      </c>
      <c r="R16" s="90"/>
      <c r="S16" s="91"/>
      <c r="T16" s="352">
        <f t="shared" si="6"/>
        <v>460</v>
      </c>
      <c r="U16" s="188">
        <f t="shared" si="7"/>
        <v>46</v>
      </c>
    </row>
    <row r="17" spans="2:21" x14ac:dyDescent="0.25">
      <c r="B17" s="202">
        <f t="shared" si="8"/>
        <v>10</v>
      </c>
      <c r="C17" s="16"/>
      <c r="D17" s="535">
        <f t="shared" si="0"/>
        <v>0</v>
      </c>
      <c r="E17" s="537"/>
      <c r="F17" s="404">
        <f t="shared" si="1"/>
        <v>0</v>
      </c>
      <c r="G17" s="704"/>
      <c r="H17" s="705"/>
      <c r="I17" s="352">
        <f t="shared" si="4"/>
        <v>0</v>
      </c>
      <c r="J17" s="488">
        <f t="shared" si="5"/>
        <v>0</v>
      </c>
      <c r="M17" s="202">
        <f t="shared" si="9"/>
        <v>10</v>
      </c>
      <c r="N17" s="16"/>
      <c r="O17" s="134">
        <f t="shared" si="2"/>
        <v>0</v>
      </c>
      <c r="P17" s="365"/>
      <c r="Q17" s="89">
        <f t="shared" si="3"/>
        <v>0</v>
      </c>
      <c r="R17" s="90"/>
      <c r="S17" s="486"/>
      <c r="T17" s="352">
        <f t="shared" si="6"/>
        <v>460</v>
      </c>
      <c r="U17" s="488">
        <f t="shared" si="7"/>
        <v>46</v>
      </c>
    </row>
    <row r="18" spans="2:21" x14ac:dyDescent="0.25">
      <c r="B18" s="202">
        <f t="shared" si="8"/>
        <v>10</v>
      </c>
      <c r="C18" s="16"/>
      <c r="D18" s="535">
        <f t="shared" si="0"/>
        <v>0</v>
      </c>
      <c r="E18" s="537"/>
      <c r="F18" s="404">
        <f t="shared" si="1"/>
        <v>0</v>
      </c>
      <c r="G18" s="704"/>
      <c r="H18" s="705"/>
      <c r="I18" s="352">
        <f t="shared" si="4"/>
        <v>0</v>
      </c>
      <c r="J18" s="488">
        <f t="shared" si="5"/>
        <v>0</v>
      </c>
      <c r="M18" s="202">
        <f t="shared" si="9"/>
        <v>10</v>
      </c>
      <c r="N18" s="16"/>
      <c r="O18" s="134">
        <f t="shared" si="2"/>
        <v>0</v>
      </c>
      <c r="P18" s="365"/>
      <c r="Q18" s="89">
        <f t="shared" si="3"/>
        <v>0</v>
      </c>
      <c r="R18" s="90"/>
      <c r="S18" s="486"/>
      <c r="T18" s="352">
        <f t="shared" si="6"/>
        <v>460</v>
      </c>
      <c r="U18" s="488">
        <f t="shared" si="7"/>
        <v>46</v>
      </c>
    </row>
    <row r="19" spans="2:21" x14ac:dyDescent="0.25">
      <c r="B19" s="202">
        <f t="shared" si="8"/>
        <v>10</v>
      </c>
      <c r="C19" s="16"/>
      <c r="D19" s="535">
        <f t="shared" si="0"/>
        <v>0</v>
      </c>
      <c r="E19" s="537"/>
      <c r="F19" s="404">
        <f t="shared" si="1"/>
        <v>0</v>
      </c>
      <c r="G19" s="704"/>
      <c r="H19" s="705"/>
      <c r="I19" s="352">
        <f t="shared" si="4"/>
        <v>0</v>
      </c>
      <c r="J19" s="488">
        <f t="shared" si="5"/>
        <v>0</v>
      </c>
      <c r="M19" s="202">
        <f t="shared" si="9"/>
        <v>10</v>
      </c>
      <c r="N19" s="16"/>
      <c r="O19" s="134">
        <f t="shared" si="2"/>
        <v>0</v>
      </c>
      <c r="P19" s="365"/>
      <c r="Q19" s="89">
        <f t="shared" si="3"/>
        <v>0</v>
      </c>
      <c r="R19" s="90"/>
      <c r="S19" s="486"/>
      <c r="T19" s="352">
        <f t="shared" si="6"/>
        <v>460</v>
      </c>
      <c r="U19" s="488">
        <f t="shared" si="7"/>
        <v>46</v>
      </c>
    </row>
    <row r="20" spans="2:21" x14ac:dyDescent="0.25">
      <c r="B20" s="202">
        <f t="shared" si="8"/>
        <v>10</v>
      </c>
      <c r="C20" s="16"/>
      <c r="D20" s="535">
        <f t="shared" si="0"/>
        <v>0</v>
      </c>
      <c r="E20" s="537"/>
      <c r="F20" s="404">
        <f t="shared" si="1"/>
        <v>0</v>
      </c>
      <c r="G20" s="704"/>
      <c r="H20" s="705"/>
      <c r="I20" s="352">
        <f t="shared" si="4"/>
        <v>0</v>
      </c>
      <c r="J20" s="488">
        <f t="shared" si="5"/>
        <v>0</v>
      </c>
      <c r="M20" s="202">
        <f t="shared" si="9"/>
        <v>10</v>
      </c>
      <c r="N20" s="16"/>
      <c r="O20" s="134">
        <f t="shared" si="2"/>
        <v>0</v>
      </c>
      <c r="P20" s="365"/>
      <c r="Q20" s="89">
        <f t="shared" si="3"/>
        <v>0</v>
      </c>
      <c r="R20" s="90"/>
      <c r="S20" s="486"/>
      <c r="T20" s="352">
        <f t="shared" si="6"/>
        <v>460</v>
      </c>
      <c r="U20" s="488">
        <f t="shared" si="7"/>
        <v>46</v>
      </c>
    </row>
    <row r="21" spans="2:21" x14ac:dyDescent="0.25">
      <c r="B21" s="202">
        <f>B20</f>
        <v>10</v>
      </c>
      <c r="C21" s="16"/>
      <c r="D21" s="535">
        <f t="shared" si="0"/>
        <v>0</v>
      </c>
      <c r="E21" s="537"/>
      <c r="F21" s="404">
        <f t="shared" si="1"/>
        <v>0</v>
      </c>
      <c r="G21" s="279"/>
      <c r="H21" s="534"/>
      <c r="I21" s="352">
        <f t="shared" si="4"/>
        <v>0</v>
      </c>
      <c r="J21" s="488">
        <f t="shared" si="5"/>
        <v>0</v>
      </c>
      <c r="M21" s="202">
        <f t="shared" si="9"/>
        <v>10</v>
      </c>
      <c r="N21" s="16"/>
      <c r="O21" s="134">
        <f t="shared" si="2"/>
        <v>0</v>
      </c>
      <c r="P21" s="365"/>
      <c r="Q21" s="89">
        <f t="shared" si="3"/>
        <v>0</v>
      </c>
      <c r="R21" s="90"/>
      <c r="S21" s="486"/>
      <c r="T21" s="352">
        <f t="shared" si="6"/>
        <v>460</v>
      </c>
      <c r="U21" s="488">
        <f t="shared" si="7"/>
        <v>46</v>
      </c>
    </row>
    <row r="22" spans="2:21" x14ac:dyDescent="0.25">
      <c r="B22" s="202">
        <f t="shared" si="8"/>
        <v>10</v>
      </c>
      <c r="C22" s="16"/>
      <c r="D22" s="535">
        <f t="shared" si="0"/>
        <v>0</v>
      </c>
      <c r="E22" s="537"/>
      <c r="F22" s="404">
        <f t="shared" si="1"/>
        <v>0</v>
      </c>
      <c r="G22" s="279"/>
      <c r="H22" s="534"/>
      <c r="I22" s="352">
        <f t="shared" si="4"/>
        <v>0</v>
      </c>
      <c r="J22" s="488">
        <f t="shared" si="5"/>
        <v>0</v>
      </c>
      <c r="M22" s="202">
        <f t="shared" si="9"/>
        <v>10</v>
      </c>
      <c r="N22" s="16"/>
      <c r="O22" s="134">
        <f t="shared" si="2"/>
        <v>0</v>
      </c>
      <c r="P22" s="365"/>
      <c r="Q22" s="89">
        <f t="shared" si="3"/>
        <v>0</v>
      </c>
      <c r="R22" s="90"/>
      <c r="S22" s="486"/>
      <c r="T22" s="352">
        <f t="shared" si="6"/>
        <v>460</v>
      </c>
      <c r="U22" s="488">
        <f t="shared" si="7"/>
        <v>46</v>
      </c>
    </row>
    <row r="23" spans="2:21" x14ac:dyDescent="0.25">
      <c r="B23" s="202">
        <f t="shared" si="8"/>
        <v>10</v>
      </c>
      <c r="C23" s="16"/>
      <c r="D23" s="535">
        <f t="shared" si="0"/>
        <v>0</v>
      </c>
      <c r="E23" s="537"/>
      <c r="F23" s="404">
        <f t="shared" si="1"/>
        <v>0</v>
      </c>
      <c r="G23" s="279"/>
      <c r="H23" s="170"/>
      <c r="I23" s="352">
        <f t="shared" si="4"/>
        <v>0</v>
      </c>
      <c r="J23" s="188">
        <f t="shared" si="5"/>
        <v>0</v>
      </c>
      <c r="M23" s="202">
        <f t="shared" si="9"/>
        <v>10</v>
      </c>
      <c r="N23" s="16"/>
      <c r="O23" s="134">
        <f t="shared" si="2"/>
        <v>0</v>
      </c>
      <c r="P23" s="365"/>
      <c r="Q23" s="89">
        <f t="shared" si="3"/>
        <v>0</v>
      </c>
      <c r="R23" s="90"/>
      <c r="S23" s="91"/>
      <c r="T23" s="352">
        <f t="shared" si="6"/>
        <v>460</v>
      </c>
      <c r="U23" s="188">
        <f t="shared" si="7"/>
        <v>46</v>
      </c>
    </row>
    <row r="24" spans="2:21" x14ac:dyDescent="0.25">
      <c r="B24" s="202">
        <f t="shared" si="8"/>
        <v>10</v>
      </c>
      <c r="C24" s="16"/>
      <c r="D24" s="535">
        <f t="shared" si="0"/>
        <v>0</v>
      </c>
      <c r="E24" s="537"/>
      <c r="F24" s="404">
        <f t="shared" si="1"/>
        <v>0</v>
      </c>
      <c r="G24" s="279"/>
      <c r="H24" s="170"/>
      <c r="I24" s="352">
        <f t="shared" si="4"/>
        <v>0</v>
      </c>
      <c r="J24" s="188">
        <f t="shared" si="5"/>
        <v>0</v>
      </c>
      <c r="M24" s="202">
        <f t="shared" si="9"/>
        <v>10</v>
      </c>
      <c r="N24" s="16"/>
      <c r="O24" s="134">
        <f t="shared" si="2"/>
        <v>0</v>
      </c>
      <c r="P24" s="365"/>
      <c r="Q24" s="89">
        <f t="shared" si="3"/>
        <v>0</v>
      </c>
      <c r="R24" s="90"/>
      <c r="S24" s="91"/>
      <c r="T24" s="352">
        <f t="shared" si="6"/>
        <v>460</v>
      </c>
      <c r="U24" s="188">
        <f t="shared" si="7"/>
        <v>46</v>
      </c>
    </row>
    <row r="25" spans="2:21" x14ac:dyDescent="0.25">
      <c r="B25" s="202">
        <f t="shared" si="8"/>
        <v>10</v>
      </c>
      <c r="C25" s="16"/>
      <c r="D25" s="535">
        <f t="shared" si="0"/>
        <v>0</v>
      </c>
      <c r="E25" s="537"/>
      <c r="F25" s="404">
        <f t="shared" si="1"/>
        <v>0</v>
      </c>
      <c r="G25" s="279"/>
      <c r="H25" s="170"/>
      <c r="I25" s="352">
        <f t="shared" si="4"/>
        <v>0</v>
      </c>
      <c r="J25" s="188">
        <f t="shared" si="5"/>
        <v>0</v>
      </c>
      <c r="M25" s="202">
        <f t="shared" si="9"/>
        <v>10</v>
      </c>
      <c r="N25" s="16"/>
      <c r="O25" s="134">
        <f t="shared" si="2"/>
        <v>0</v>
      </c>
      <c r="P25" s="365"/>
      <c r="Q25" s="89">
        <f t="shared" si="3"/>
        <v>0</v>
      </c>
      <c r="R25" s="90"/>
      <c r="S25" s="91"/>
      <c r="T25" s="352">
        <f t="shared" si="6"/>
        <v>460</v>
      </c>
      <c r="U25" s="188">
        <f t="shared" si="7"/>
        <v>46</v>
      </c>
    </row>
    <row r="26" spans="2:21" x14ac:dyDescent="0.25">
      <c r="B26" s="202">
        <f t="shared" si="8"/>
        <v>10</v>
      </c>
      <c r="C26" s="16"/>
      <c r="D26" s="535">
        <f t="shared" si="0"/>
        <v>0</v>
      </c>
      <c r="E26" s="537"/>
      <c r="F26" s="404">
        <f t="shared" si="1"/>
        <v>0</v>
      </c>
      <c r="G26" s="279"/>
      <c r="H26" s="170"/>
      <c r="I26" s="352">
        <f t="shared" si="4"/>
        <v>0</v>
      </c>
      <c r="J26" s="188">
        <f t="shared" si="5"/>
        <v>0</v>
      </c>
      <c r="M26" s="202">
        <f t="shared" si="9"/>
        <v>10</v>
      </c>
      <c r="N26" s="16"/>
      <c r="O26" s="134">
        <f t="shared" si="2"/>
        <v>0</v>
      </c>
      <c r="P26" s="365"/>
      <c r="Q26" s="89">
        <f t="shared" si="3"/>
        <v>0</v>
      </c>
      <c r="R26" s="90"/>
      <c r="S26" s="91"/>
      <c r="T26" s="352">
        <f t="shared" si="6"/>
        <v>460</v>
      </c>
      <c r="U26" s="188">
        <f t="shared" si="7"/>
        <v>46</v>
      </c>
    </row>
    <row r="27" spans="2:21" x14ac:dyDescent="0.25">
      <c r="B27" s="202">
        <f t="shared" si="8"/>
        <v>10</v>
      </c>
      <c r="C27" s="16"/>
      <c r="D27" s="535">
        <f t="shared" si="0"/>
        <v>0</v>
      </c>
      <c r="E27" s="537"/>
      <c r="F27" s="404">
        <f t="shared" si="1"/>
        <v>0</v>
      </c>
      <c r="G27" s="279"/>
      <c r="H27" s="170"/>
      <c r="I27" s="352">
        <f t="shared" si="4"/>
        <v>0</v>
      </c>
      <c r="J27" s="188">
        <f t="shared" si="5"/>
        <v>0</v>
      </c>
      <c r="M27" s="202">
        <f t="shared" si="9"/>
        <v>10</v>
      </c>
      <c r="N27" s="16"/>
      <c r="O27" s="134">
        <f t="shared" si="2"/>
        <v>0</v>
      </c>
      <c r="P27" s="365"/>
      <c r="Q27" s="89">
        <f t="shared" si="3"/>
        <v>0</v>
      </c>
      <c r="R27" s="90"/>
      <c r="S27" s="91"/>
      <c r="T27" s="352">
        <f t="shared" si="6"/>
        <v>460</v>
      </c>
      <c r="U27" s="188">
        <f t="shared" si="7"/>
        <v>46</v>
      </c>
    </row>
    <row r="28" spans="2:21" x14ac:dyDescent="0.25">
      <c r="B28" s="202">
        <f t="shared" si="8"/>
        <v>10</v>
      </c>
      <c r="C28" s="16"/>
      <c r="D28" s="535">
        <f t="shared" si="0"/>
        <v>0</v>
      </c>
      <c r="E28" s="537"/>
      <c r="F28" s="404">
        <f t="shared" si="1"/>
        <v>0</v>
      </c>
      <c r="G28" s="279"/>
      <c r="H28" s="170"/>
      <c r="I28" s="352">
        <f t="shared" si="4"/>
        <v>0</v>
      </c>
      <c r="J28" s="188">
        <f t="shared" si="5"/>
        <v>0</v>
      </c>
      <c r="M28" s="202">
        <f t="shared" si="9"/>
        <v>10</v>
      </c>
      <c r="N28" s="16"/>
      <c r="O28" s="134">
        <f t="shared" si="2"/>
        <v>0</v>
      </c>
      <c r="P28" s="365"/>
      <c r="Q28" s="89">
        <f t="shared" si="3"/>
        <v>0</v>
      </c>
      <c r="R28" s="90"/>
      <c r="S28" s="91"/>
      <c r="T28" s="352">
        <f t="shared" si="6"/>
        <v>460</v>
      </c>
      <c r="U28" s="188">
        <f t="shared" si="7"/>
        <v>46</v>
      </c>
    </row>
    <row r="29" spans="2:21" x14ac:dyDescent="0.25">
      <c r="B29" s="202">
        <f t="shared" si="8"/>
        <v>10</v>
      </c>
      <c r="C29" s="16"/>
      <c r="D29" s="535">
        <f t="shared" si="0"/>
        <v>0</v>
      </c>
      <c r="E29" s="537"/>
      <c r="F29" s="404">
        <f t="shared" si="1"/>
        <v>0</v>
      </c>
      <c r="G29" s="279"/>
      <c r="H29" s="170"/>
      <c r="I29" s="352">
        <f t="shared" si="4"/>
        <v>0</v>
      </c>
      <c r="J29" s="188">
        <f t="shared" si="5"/>
        <v>0</v>
      </c>
      <c r="M29" s="202">
        <f t="shared" si="9"/>
        <v>10</v>
      </c>
      <c r="N29" s="16"/>
      <c r="O29" s="134">
        <f t="shared" si="2"/>
        <v>0</v>
      </c>
      <c r="P29" s="365"/>
      <c r="Q29" s="89">
        <f t="shared" si="3"/>
        <v>0</v>
      </c>
      <c r="R29" s="90"/>
      <c r="S29" s="91"/>
      <c r="T29" s="352">
        <f t="shared" si="6"/>
        <v>460</v>
      </c>
      <c r="U29" s="188">
        <f t="shared" si="7"/>
        <v>46</v>
      </c>
    </row>
    <row r="30" spans="2:21" x14ac:dyDescent="0.25">
      <c r="B30" s="202">
        <f t="shared" si="8"/>
        <v>10</v>
      </c>
      <c r="C30" s="16"/>
      <c r="D30" s="535">
        <f t="shared" si="0"/>
        <v>0</v>
      </c>
      <c r="E30" s="537"/>
      <c r="F30" s="404">
        <f t="shared" si="1"/>
        <v>0</v>
      </c>
      <c r="G30" s="279"/>
      <c r="H30" s="170"/>
      <c r="I30" s="352">
        <f t="shared" si="4"/>
        <v>0</v>
      </c>
      <c r="J30" s="188">
        <f t="shared" si="5"/>
        <v>0</v>
      </c>
      <c r="M30" s="202">
        <f t="shared" si="9"/>
        <v>10</v>
      </c>
      <c r="N30" s="16"/>
      <c r="O30" s="134">
        <f t="shared" si="2"/>
        <v>0</v>
      </c>
      <c r="P30" s="365"/>
      <c r="Q30" s="89">
        <f t="shared" si="3"/>
        <v>0</v>
      </c>
      <c r="R30" s="90"/>
      <c r="S30" s="91"/>
      <c r="T30" s="352">
        <f t="shared" si="6"/>
        <v>460</v>
      </c>
      <c r="U30" s="188">
        <f t="shared" si="7"/>
        <v>46</v>
      </c>
    </row>
    <row r="31" spans="2:21" x14ac:dyDescent="0.25">
      <c r="B31" s="202">
        <f t="shared" si="8"/>
        <v>10</v>
      </c>
      <c r="C31" s="16"/>
      <c r="D31" s="526">
        <f t="shared" si="0"/>
        <v>0</v>
      </c>
      <c r="E31" s="527"/>
      <c r="F31" s="523">
        <f t="shared" si="1"/>
        <v>0</v>
      </c>
      <c r="G31" s="524"/>
      <c r="H31" s="525"/>
      <c r="I31" s="352">
        <f t="shared" si="4"/>
        <v>0</v>
      </c>
      <c r="J31" s="188">
        <f t="shared" si="5"/>
        <v>0</v>
      </c>
      <c r="M31" s="202">
        <f t="shared" si="9"/>
        <v>10</v>
      </c>
      <c r="N31" s="16"/>
      <c r="O31" s="134">
        <f t="shared" si="2"/>
        <v>0</v>
      </c>
      <c r="P31" s="365"/>
      <c r="Q31" s="89">
        <f t="shared" si="3"/>
        <v>0</v>
      </c>
      <c r="R31" s="90"/>
      <c r="S31" s="91"/>
      <c r="T31" s="352">
        <f t="shared" si="6"/>
        <v>460</v>
      </c>
      <c r="U31" s="188">
        <f t="shared" si="7"/>
        <v>46</v>
      </c>
    </row>
    <row r="32" spans="2:21" x14ac:dyDescent="0.25">
      <c r="B32" s="202">
        <f t="shared" si="8"/>
        <v>10</v>
      </c>
      <c r="C32" s="16"/>
      <c r="D32" s="526">
        <f t="shared" si="0"/>
        <v>0</v>
      </c>
      <c r="E32" s="527"/>
      <c r="F32" s="523">
        <f t="shared" si="1"/>
        <v>0</v>
      </c>
      <c r="G32" s="524"/>
      <c r="H32" s="525"/>
      <c r="I32" s="352">
        <f t="shared" si="4"/>
        <v>0</v>
      </c>
      <c r="J32" s="188">
        <f t="shared" si="5"/>
        <v>0</v>
      </c>
      <c r="M32" s="202">
        <f t="shared" si="9"/>
        <v>10</v>
      </c>
      <c r="N32" s="16"/>
      <c r="O32" s="134">
        <f t="shared" si="2"/>
        <v>0</v>
      </c>
      <c r="P32" s="365"/>
      <c r="Q32" s="89">
        <f t="shared" si="3"/>
        <v>0</v>
      </c>
      <c r="R32" s="90"/>
      <c r="S32" s="91"/>
      <c r="T32" s="352">
        <f t="shared" si="6"/>
        <v>460</v>
      </c>
      <c r="U32" s="188">
        <f t="shared" si="7"/>
        <v>46</v>
      </c>
    </row>
    <row r="33" spans="1:21" x14ac:dyDescent="0.25">
      <c r="B33" s="202">
        <f t="shared" si="8"/>
        <v>10</v>
      </c>
      <c r="C33" s="16"/>
      <c r="D33" s="529">
        <f t="shared" si="0"/>
        <v>0</v>
      </c>
      <c r="E33" s="530"/>
      <c r="F33" s="388">
        <f t="shared" si="1"/>
        <v>0</v>
      </c>
      <c r="G33" s="389"/>
      <c r="H33" s="284"/>
      <c r="I33" s="352">
        <f t="shared" si="4"/>
        <v>0</v>
      </c>
      <c r="J33" s="188">
        <f t="shared" si="5"/>
        <v>0</v>
      </c>
      <c r="M33" s="202">
        <f t="shared" si="9"/>
        <v>10</v>
      </c>
      <c r="N33" s="16"/>
      <c r="O33" s="134">
        <f t="shared" si="2"/>
        <v>0</v>
      </c>
      <c r="P33" s="203"/>
      <c r="Q33" s="89">
        <f t="shared" si="3"/>
        <v>0</v>
      </c>
      <c r="R33" s="90"/>
      <c r="S33" s="91"/>
      <c r="T33" s="352">
        <f t="shared" si="6"/>
        <v>460</v>
      </c>
      <c r="U33" s="188">
        <f t="shared" si="7"/>
        <v>46</v>
      </c>
    </row>
    <row r="34" spans="1:21" x14ac:dyDescent="0.25">
      <c r="B34" s="202">
        <f t="shared" si="8"/>
        <v>10</v>
      </c>
      <c r="C34" s="16"/>
      <c r="D34" s="529">
        <f t="shared" si="0"/>
        <v>0</v>
      </c>
      <c r="E34" s="530"/>
      <c r="F34" s="388">
        <f t="shared" si="1"/>
        <v>0</v>
      </c>
      <c r="G34" s="389"/>
      <c r="H34" s="284"/>
      <c r="I34" s="352">
        <f t="shared" si="4"/>
        <v>0</v>
      </c>
      <c r="J34" s="188">
        <f t="shared" si="5"/>
        <v>0</v>
      </c>
      <c r="M34" s="202">
        <f t="shared" si="9"/>
        <v>10</v>
      </c>
      <c r="N34" s="16"/>
      <c r="O34" s="134">
        <f t="shared" si="2"/>
        <v>0</v>
      </c>
      <c r="P34" s="203"/>
      <c r="Q34" s="89">
        <f t="shared" si="3"/>
        <v>0</v>
      </c>
      <c r="R34" s="90"/>
      <c r="S34" s="91"/>
      <c r="T34" s="352">
        <f t="shared" si="6"/>
        <v>460</v>
      </c>
      <c r="U34" s="188">
        <f t="shared" si="7"/>
        <v>46</v>
      </c>
    </row>
    <row r="35" spans="1:21" x14ac:dyDescent="0.25">
      <c r="B35" s="202">
        <f t="shared" si="8"/>
        <v>10</v>
      </c>
      <c r="C35" s="16"/>
      <c r="D35" s="529">
        <f t="shared" si="0"/>
        <v>0</v>
      </c>
      <c r="E35" s="530"/>
      <c r="F35" s="388">
        <f t="shared" si="1"/>
        <v>0</v>
      </c>
      <c r="G35" s="389"/>
      <c r="H35" s="284"/>
      <c r="I35" s="352">
        <f t="shared" si="4"/>
        <v>0</v>
      </c>
      <c r="J35" s="188">
        <f t="shared" si="5"/>
        <v>0</v>
      </c>
      <c r="M35" s="202">
        <f t="shared" si="9"/>
        <v>10</v>
      </c>
      <c r="N35" s="16"/>
      <c r="O35" s="134">
        <f t="shared" si="2"/>
        <v>0</v>
      </c>
      <c r="P35" s="203"/>
      <c r="Q35" s="89">
        <f t="shared" si="3"/>
        <v>0</v>
      </c>
      <c r="R35" s="90"/>
      <c r="S35" s="91"/>
      <c r="T35" s="352">
        <f t="shared" si="6"/>
        <v>460</v>
      </c>
      <c r="U35" s="188">
        <f t="shared" si="7"/>
        <v>46</v>
      </c>
    </row>
    <row r="36" spans="1:21" x14ac:dyDescent="0.25">
      <c r="A36" s="102"/>
      <c r="B36" s="202">
        <f t="shared" si="8"/>
        <v>10</v>
      </c>
      <c r="C36" s="16"/>
      <c r="D36" s="535">
        <f t="shared" si="0"/>
        <v>0</v>
      </c>
      <c r="E36" s="536"/>
      <c r="F36" s="404">
        <f t="shared" si="1"/>
        <v>0</v>
      </c>
      <c r="G36" s="279"/>
      <c r="H36" s="170"/>
      <c r="I36" s="352">
        <f t="shared" si="4"/>
        <v>0</v>
      </c>
      <c r="J36" s="188">
        <f t="shared" si="5"/>
        <v>0</v>
      </c>
      <c r="L36" s="102"/>
      <c r="M36" s="202">
        <f t="shared" si="9"/>
        <v>10</v>
      </c>
      <c r="N36" s="16"/>
      <c r="O36" s="134">
        <f t="shared" si="2"/>
        <v>0</v>
      </c>
      <c r="P36" s="203"/>
      <c r="Q36" s="89">
        <f t="shared" si="3"/>
        <v>0</v>
      </c>
      <c r="R36" s="90"/>
      <c r="S36" s="91"/>
      <c r="T36" s="352">
        <f t="shared" si="6"/>
        <v>460</v>
      </c>
      <c r="U36" s="188">
        <f t="shared" si="7"/>
        <v>46</v>
      </c>
    </row>
    <row r="37" spans="1:21" x14ac:dyDescent="0.25">
      <c r="B37" s="202">
        <f t="shared" si="8"/>
        <v>10</v>
      </c>
      <c r="C37" s="16"/>
      <c r="D37" s="535">
        <f t="shared" si="0"/>
        <v>0</v>
      </c>
      <c r="E37" s="536"/>
      <c r="F37" s="404">
        <f t="shared" si="1"/>
        <v>0</v>
      </c>
      <c r="G37" s="279"/>
      <c r="H37" s="170"/>
      <c r="I37" s="352">
        <f t="shared" si="4"/>
        <v>0</v>
      </c>
      <c r="J37" s="188">
        <f t="shared" si="5"/>
        <v>0</v>
      </c>
      <c r="M37" s="202">
        <f t="shared" si="9"/>
        <v>10</v>
      </c>
      <c r="N37" s="16"/>
      <c r="O37" s="134">
        <f t="shared" si="2"/>
        <v>0</v>
      </c>
      <c r="P37" s="203"/>
      <c r="Q37" s="89">
        <f t="shared" si="3"/>
        <v>0</v>
      </c>
      <c r="R37" s="90"/>
      <c r="S37" s="91"/>
      <c r="T37" s="352">
        <f t="shared" si="6"/>
        <v>460</v>
      </c>
      <c r="U37" s="188">
        <f t="shared" si="7"/>
        <v>46</v>
      </c>
    </row>
    <row r="38" spans="1:21" x14ac:dyDescent="0.25">
      <c r="B38" s="202">
        <f t="shared" si="8"/>
        <v>10</v>
      </c>
      <c r="C38" s="16"/>
      <c r="D38" s="535">
        <f t="shared" si="0"/>
        <v>0</v>
      </c>
      <c r="E38" s="537"/>
      <c r="F38" s="404">
        <f t="shared" si="1"/>
        <v>0</v>
      </c>
      <c r="G38" s="279"/>
      <c r="H38" s="170"/>
      <c r="I38" s="352">
        <f t="shared" si="4"/>
        <v>0</v>
      </c>
      <c r="J38" s="188">
        <f t="shared" si="5"/>
        <v>0</v>
      </c>
      <c r="M38" s="202">
        <f t="shared" si="9"/>
        <v>10</v>
      </c>
      <c r="N38" s="16"/>
      <c r="O38" s="134">
        <f t="shared" si="2"/>
        <v>0</v>
      </c>
      <c r="P38" s="365"/>
      <c r="Q38" s="89">
        <f t="shared" si="3"/>
        <v>0</v>
      </c>
      <c r="R38" s="90"/>
      <c r="S38" s="91"/>
      <c r="T38" s="352">
        <f t="shared" si="6"/>
        <v>460</v>
      </c>
      <c r="U38" s="188">
        <f t="shared" si="7"/>
        <v>46</v>
      </c>
    </row>
    <row r="39" spans="1:21" x14ac:dyDescent="0.25">
      <c r="B39" s="202">
        <f t="shared" si="8"/>
        <v>10</v>
      </c>
      <c r="C39" s="16"/>
      <c r="D39" s="535">
        <f t="shared" si="0"/>
        <v>0</v>
      </c>
      <c r="E39" s="537"/>
      <c r="F39" s="404">
        <f t="shared" si="1"/>
        <v>0</v>
      </c>
      <c r="G39" s="279"/>
      <c r="H39" s="170"/>
      <c r="I39" s="352">
        <f t="shared" si="4"/>
        <v>0</v>
      </c>
      <c r="J39" s="188">
        <f t="shared" si="5"/>
        <v>0</v>
      </c>
      <c r="M39" s="202">
        <f t="shared" si="9"/>
        <v>10</v>
      </c>
      <c r="N39" s="16"/>
      <c r="O39" s="134">
        <f t="shared" si="2"/>
        <v>0</v>
      </c>
      <c r="P39" s="365"/>
      <c r="Q39" s="89">
        <f t="shared" si="3"/>
        <v>0</v>
      </c>
      <c r="R39" s="90"/>
      <c r="S39" s="91"/>
      <c r="T39" s="352">
        <f t="shared" si="6"/>
        <v>460</v>
      </c>
      <c r="U39" s="188">
        <f t="shared" si="7"/>
        <v>46</v>
      </c>
    </row>
    <row r="40" spans="1:21" x14ac:dyDescent="0.25">
      <c r="B40" s="202">
        <f t="shared" si="8"/>
        <v>10</v>
      </c>
      <c r="C40" s="16"/>
      <c r="D40" s="535">
        <f t="shared" si="0"/>
        <v>0</v>
      </c>
      <c r="E40" s="537"/>
      <c r="F40" s="404">
        <f t="shared" si="1"/>
        <v>0</v>
      </c>
      <c r="G40" s="279"/>
      <c r="H40" s="170"/>
      <c r="I40" s="352">
        <f t="shared" si="4"/>
        <v>0</v>
      </c>
      <c r="J40" s="188">
        <f t="shared" si="5"/>
        <v>0</v>
      </c>
      <c r="M40" s="202">
        <f t="shared" si="9"/>
        <v>10</v>
      </c>
      <c r="N40" s="16"/>
      <c r="O40" s="134">
        <f t="shared" si="2"/>
        <v>0</v>
      </c>
      <c r="P40" s="365"/>
      <c r="Q40" s="89">
        <f t="shared" si="3"/>
        <v>0</v>
      </c>
      <c r="R40" s="90"/>
      <c r="S40" s="91"/>
      <c r="T40" s="352">
        <f t="shared" si="6"/>
        <v>460</v>
      </c>
      <c r="U40" s="188">
        <f t="shared" si="7"/>
        <v>46</v>
      </c>
    </row>
    <row r="41" spans="1:21" x14ac:dyDescent="0.25">
      <c r="B41" s="202">
        <f t="shared" si="8"/>
        <v>10</v>
      </c>
      <c r="C41" s="16"/>
      <c r="D41" s="535">
        <f t="shared" si="0"/>
        <v>0</v>
      </c>
      <c r="E41" s="537"/>
      <c r="F41" s="404">
        <f t="shared" si="1"/>
        <v>0</v>
      </c>
      <c r="G41" s="279"/>
      <c r="H41" s="170"/>
      <c r="I41" s="352">
        <f t="shared" si="4"/>
        <v>0</v>
      </c>
      <c r="J41" s="188">
        <f t="shared" si="5"/>
        <v>0</v>
      </c>
      <c r="M41" s="202">
        <f t="shared" si="9"/>
        <v>10</v>
      </c>
      <c r="N41" s="16"/>
      <c r="O41" s="134">
        <f t="shared" si="2"/>
        <v>0</v>
      </c>
      <c r="P41" s="365"/>
      <c r="Q41" s="89">
        <f t="shared" si="3"/>
        <v>0</v>
      </c>
      <c r="R41" s="90"/>
      <c r="S41" s="91"/>
      <c r="T41" s="352">
        <f t="shared" si="6"/>
        <v>460</v>
      </c>
      <c r="U41" s="188">
        <f t="shared" si="7"/>
        <v>46</v>
      </c>
    </row>
    <row r="42" spans="1:21" x14ac:dyDescent="0.25">
      <c r="B42" s="202">
        <f t="shared" si="8"/>
        <v>10</v>
      </c>
      <c r="C42" s="16"/>
      <c r="D42" s="535">
        <f t="shared" si="0"/>
        <v>0</v>
      </c>
      <c r="E42" s="537"/>
      <c r="F42" s="404">
        <f t="shared" si="1"/>
        <v>0</v>
      </c>
      <c r="G42" s="279"/>
      <c r="H42" s="170"/>
      <c r="I42" s="352">
        <f t="shared" si="4"/>
        <v>0</v>
      </c>
      <c r="J42" s="188">
        <f t="shared" si="5"/>
        <v>0</v>
      </c>
      <c r="M42" s="202">
        <f t="shared" si="9"/>
        <v>10</v>
      </c>
      <c r="N42" s="16"/>
      <c r="O42" s="134">
        <f t="shared" si="2"/>
        <v>0</v>
      </c>
      <c r="P42" s="365"/>
      <c r="Q42" s="89">
        <f t="shared" si="3"/>
        <v>0</v>
      </c>
      <c r="R42" s="90"/>
      <c r="S42" s="91"/>
      <c r="T42" s="352">
        <f t="shared" si="6"/>
        <v>460</v>
      </c>
      <c r="U42" s="188">
        <f t="shared" si="7"/>
        <v>46</v>
      </c>
    </row>
    <row r="43" spans="1:21" x14ac:dyDescent="0.25">
      <c r="B43" s="202">
        <f t="shared" si="8"/>
        <v>10</v>
      </c>
      <c r="C43" s="16"/>
      <c r="D43" s="535">
        <f t="shared" si="0"/>
        <v>0</v>
      </c>
      <c r="E43" s="537"/>
      <c r="F43" s="404">
        <f t="shared" si="1"/>
        <v>0</v>
      </c>
      <c r="G43" s="279"/>
      <c r="H43" s="170"/>
      <c r="I43" s="352">
        <f t="shared" ref="I43:I59" si="10">I42-F43</f>
        <v>0</v>
      </c>
      <c r="J43" s="188">
        <f t="shared" si="5"/>
        <v>0</v>
      </c>
      <c r="M43" s="202">
        <f t="shared" si="9"/>
        <v>10</v>
      </c>
      <c r="N43" s="16"/>
      <c r="O43" s="134">
        <f t="shared" si="2"/>
        <v>0</v>
      </c>
      <c r="P43" s="365"/>
      <c r="Q43" s="89">
        <f t="shared" si="3"/>
        <v>0</v>
      </c>
      <c r="R43" s="90"/>
      <c r="S43" s="91"/>
      <c r="T43" s="352">
        <f t="shared" si="6"/>
        <v>460</v>
      </c>
      <c r="U43" s="188">
        <f t="shared" si="7"/>
        <v>46</v>
      </c>
    </row>
    <row r="44" spans="1:21" x14ac:dyDescent="0.25">
      <c r="B44" s="202">
        <f t="shared" si="8"/>
        <v>10</v>
      </c>
      <c r="C44" s="16"/>
      <c r="D44" s="535">
        <f t="shared" si="0"/>
        <v>0</v>
      </c>
      <c r="E44" s="537"/>
      <c r="F44" s="404">
        <f t="shared" si="1"/>
        <v>0</v>
      </c>
      <c r="G44" s="279"/>
      <c r="H44" s="170"/>
      <c r="I44" s="352">
        <f t="shared" si="10"/>
        <v>0</v>
      </c>
      <c r="J44" s="188">
        <f t="shared" si="5"/>
        <v>0</v>
      </c>
      <c r="M44" s="202">
        <f t="shared" si="9"/>
        <v>10</v>
      </c>
      <c r="N44" s="16"/>
      <c r="O44" s="134">
        <f t="shared" si="2"/>
        <v>0</v>
      </c>
      <c r="P44" s="365"/>
      <c r="Q44" s="89">
        <f t="shared" si="3"/>
        <v>0</v>
      </c>
      <c r="R44" s="90"/>
      <c r="S44" s="91"/>
      <c r="T44" s="352">
        <f t="shared" si="6"/>
        <v>460</v>
      </c>
      <c r="U44" s="188">
        <f t="shared" si="7"/>
        <v>46</v>
      </c>
    </row>
    <row r="45" spans="1:21" x14ac:dyDescent="0.25">
      <c r="B45" s="202">
        <f t="shared" si="8"/>
        <v>10</v>
      </c>
      <c r="C45" s="16"/>
      <c r="D45" s="535">
        <f t="shared" si="0"/>
        <v>0</v>
      </c>
      <c r="E45" s="537"/>
      <c r="F45" s="404">
        <f t="shared" si="1"/>
        <v>0</v>
      </c>
      <c r="G45" s="279"/>
      <c r="H45" s="170"/>
      <c r="I45" s="352">
        <f t="shared" si="10"/>
        <v>0</v>
      </c>
      <c r="J45" s="188">
        <f t="shared" si="5"/>
        <v>0</v>
      </c>
      <c r="M45" s="202">
        <f t="shared" si="9"/>
        <v>10</v>
      </c>
      <c r="N45" s="16"/>
      <c r="O45" s="134">
        <f t="shared" si="2"/>
        <v>0</v>
      </c>
      <c r="P45" s="365"/>
      <c r="Q45" s="89">
        <f t="shared" si="3"/>
        <v>0</v>
      </c>
      <c r="R45" s="90"/>
      <c r="S45" s="91"/>
      <c r="T45" s="352">
        <f t="shared" si="6"/>
        <v>460</v>
      </c>
      <c r="U45" s="188">
        <f t="shared" si="7"/>
        <v>46</v>
      </c>
    </row>
    <row r="46" spans="1:21" x14ac:dyDescent="0.25">
      <c r="B46" s="202">
        <f t="shared" si="8"/>
        <v>10</v>
      </c>
      <c r="C46" s="16"/>
      <c r="D46" s="535">
        <f t="shared" si="0"/>
        <v>0</v>
      </c>
      <c r="E46" s="537"/>
      <c r="F46" s="404">
        <f t="shared" si="1"/>
        <v>0</v>
      </c>
      <c r="G46" s="279"/>
      <c r="H46" s="170"/>
      <c r="I46" s="352">
        <f t="shared" si="10"/>
        <v>0</v>
      </c>
      <c r="J46" s="188">
        <f t="shared" si="5"/>
        <v>0</v>
      </c>
      <c r="M46" s="202">
        <f t="shared" si="9"/>
        <v>10</v>
      </c>
      <c r="N46" s="16"/>
      <c r="O46" s="134">
        <f t="shared" si="2"/>
        <v>0</v>
      </c>
      <c r="P46" s="365"/>
      <c r="Q46" s="89">
        <f t="shared" si="3"/>
        <v>0</v>
      </c>
      <c r="R46" s="90"/>
      <c r="S46" s="91"/>
      <c r="T46" s="352">
        <f t="shared" si="6"/>
        <v>460</v>
      </c>
      <c r="U46" s="188">
        <f t="shared" si="7"/>
        <v>46</v>
      </c>
    </row>
    <row r="47" spans="1:21" x14ac:dyDescent="0.25">
      <c r="B47" s="202">
        <f t="shared" si="8"/>
        <v>10</v>
      </c>
      <c r="C47" s="16"/>
      <c r="D47" s="535">
        <f t="shared" si="0"/>
        <v>0</v>
      </c>
      <c r="E47" s="537"/>
      <c r="F47" s="404">
        <f t="shared" si="1"/>
        <v>0</v>
      </c>
      <c r="G47" s="279"/>
      <c r="H47" s="170"/>
      <c r="I47" s="352">
        <f t="shared" si="10"/>
        <v>0</v>
      </c>
      <c r="J47" s="188">
        <f t="shared" si="5"/>
        <v>0</v>
      </c>
      <c r="M47" s="202">
        <f t="shared" si="9"/>
        <v>10</v>
      </c>
      <c r="N47" s="16"/>
      <c r="O47" s="134">
        <f t="shared" si="2"/>
        <v>0</v>
      </c>
      <c r="P47" s="365"/>
      <c r="Q47" s="89">
        <f t="shared" si="3"/>
        <v>0</v>
      </c>
      <c r="R47" s="90"/>
      <c r="S47" s="91"/>
      <c r="T47" s="352">
        <f t="shared" si="6"/>
        <v>460</v>
      </c>
      <c r="U47" s="188">
        <f t="shared" si="7"/>
        <v>46</v>
      </c>
    </row>
    <row r="48" spans="1:21" x14ac:dyDescent="0.25">
      <c r="B48" s="202">
        <f t="shared" si="8"/>
        <v>10</v>
      </c>
      <c r="C48" s="16"/>
      <c r="D48" s="535">
        <f t="shared" si="0"/>
        <v>0</v>
      </c>
      <c r="E48" s="537"/>
      <c r="F48" s="404">
        <f t="shared" si="1"/>
        <v>0</v>
      </c>
      <c r="G48" s="279"/>
      <c r="H48" s="170"/>
      <c r="I48" s="352">
        <f t="shared" si="10"/>
        <v>0</v>
      </c>
      <c r="J48" s="188">
        <f t="shared" si="5"/>
        <v>0</v>
      </c>
      <c r="M48" s="202">
        <f t="shared" si="9"/>
        <v>10</v>
      </c>
      <c r="N48" s="16"/>
      <c r="O48" s="134">
        <f t="shared" si="2"/>
        <v>0</v>
      </c>
      <c r="P48" s="365"/>
      <c r="Q48" s="89">
        <f t="shared" si="3"/>
        <v>0</v>
      </c>
      <c r="R48" s="90"/>
      <c r="S48" s="91"/>
      <c r="T48" s="352">
        <f t="shared" si="6"/>
        <v>460</v>
      </c>
      <c r="U48" s="188">
        <f t="shared" si="7"/>
        <v>46</v>
      </c>
    </row>
    <row r="49" spans="2:21" x14ac:dyDescent="0.25">
      <c r="B49" s="202">
        <f t="shared" si="8"/>
        <v>10</v>
      </c>
      <c r="C49" s="16"/>
      <c r="D49" s="535">
        <f t="shared" si="0"/>
        <v>0</v>
      </c>
      <c r="E49" s="537"/>
      <c r="F49" s="404">
        <f t="shared" si="1"/>
        <v>0</v>
      </c>
      <c r="G49" s="279"/>
      <c r="H49" s="170"/>
      <c r="I49" s="352">
        <f t="shared" si="10"/>
        <v>0</v>
      </c>
      <c r="J49" s="188">
        <f t="shared" si="5"/>
        <v>0</v>
      </c>
      <c r="M49" s="202">
        <f t="shared" si="9"/>
        <v>10</v>
      </c>
      <c r="N49" s="16"/>
      <c r="O49" s="134">
        <f t="shared" si="2"/>
        <v>0</v>
      </c>
      <c r="P49" s="365"/>
      <c r="Q49" s="89">
        <f t="shared" si="3"/>
        <v>0</v>
      </c>
      <c r="R49" s="90"/>
      <c r="S49" s="91"/>
      <c r="T49" s="352">
        <f t="shared" si="6"/>
        <v>460</v>
      </c>
      <c r="U49" s="188">
        <f t="shared" si="7"/>
        <v>46</v>
      </c>
    </row>
    <row r="50" spans="2:21" x14ac:dyDescent="0.25">
      <c r="B50" s="202">
        <f t="shared" si="8"/>
        <v>10</v>
      </c>
      <c r="C50" s="16"/>
      <c r="D50" s="535">
        <f t="shared" si="0"/>
        <v>0</v>
      </c>
      <c r="E50" s="537"/>
      <c r="F50" s="404">
        <f t="shared" si="1"/>
        <v>0</v>
      </c>
      <c r="G50" s="279"/>
      <c r="H50" s="170"/>
      <c r="I50" s="352">
        <f t="shared" si="10"/>
        <v>0</v>
      </c>
      <c r="J50" s="188">
        <f t="shared" si="5"/>
        <v>0</v>
      </c>
      <c r="M50" s="202">
        <f t="shared" si="9"/>
        <v>10</v>
      </c>
      <c r="N50" s="16"/>
      <c r="O50" s="134">
        <f t="shared" si="2"/>
        <v>0</v>
      </c>
      <c r="P50" s="365"/>
      <c r="Q50" s="89">
        <f t="shared" si="3"/>
        <v>0</v>
      </c>
      <c r="R50" s="90"/>
      <c r="S50" s="91"/>
      <c r="T50" s="352">
        <f t="shared" si="6"/>
        <v>460</v>
      </c>
      <c r="U50" s="188">
        <f t="shared" si="7"/>
        <v>46</v>
      </c>
    </row>
    <row r="51" spans="2:21" x14ac:dyDescent="0.25">
      <c r="B51" s="202">
        <f t="shared" si="8"/>
        <v>10</v>
      </c>
      <c r="C51" s="16"/>
      <c r="D51" s="289">
        <f t="shared" si="0"/>
        <v>0</v>
      </c>
      <c r="E51" s="433"/>
      <c r="F51" s="182">
        <f t="shared" si="1"/>
        <v>0</v>
      </c>
      <c r="G51" s="183"/>
      <c r="H51" s="184"/>
      <c r="I51" s="352">
        <f t="shared" si="10"/>
        <v>0</v>
      </c>
      <c r="J51" s="188">
        <f t="shared" si="5"/>
        <v>0</v>
      </c>
      <c r="M51" s="202">
        <f t="shared" si="9"/>
        <v>10</v>
      </c>
      <c r="N51" s="16"/>
      <c r="O51" s="134">
        <f t="shared" si="2"/>
        <v>0</v>
      </c>
      <c r="P51" s="365"/>
      <c r="Q51" s="89">
        <f t="shared" si="3"/>
        <v>0</v>
      </c>
      <c r="R51" s="90"/>
      <c r="S51" s="91"/>
      <c r="T51" s="352">
        <f t="shared" si="6"/>
        <v>460</v>
      </c>
      <c r="U51" s="188">
        <f t="shared" si="7"/>
        <v>46</v>
      </c>
    </row>
    <row r="52" spans="2:21" x14ac:dyDescent="0.25">
      <c r="B52" s="202">
        <f t="shared" si="8"/>
        <v>10</v>
      </c>
      <c r="C52" s="16"/>
      <c r="D52" s="134">
        <f t="shared" si="0"/>
        <v>0</v>
      </c>
      <c r="E52" s="365"/>
      <c r="F52" s="89">
        <f t="shared" si="1"/>
        <v>0</v>
      </c>
      <c r="G52" s="90"/>
      <c r="H52" s="91"/>
      <c r="I52" s="352">
        <f t="shared" si="10"/>
        <v>0</v>
      </c>
      <c r="J52" s="188">
        <f t="shared" si="5"/>
        <v>0</v>
      </c>
      <c r="M52" s="202">
        <f t="shared" si="9"/>
        <v>10</v>
      </c>
      <c r="N52" s="16"/>
      <c r="O52" s="134">
        <f t="shared" si="2"/>
        <v>0</v>
      </c>
      <c r="P52" s="365"/>
      <c r="Q52" s="89">
        <f t="shared" si="3"/>
        <v>0</v>
      </c>
      <c r="R52" s="90"/>
      <c r="S52" s="91"/>
      <c r="T52" s="352">
        <f t="shared" si="6"/>
        <v>460</v>
      </c>
      <c r="U52" s="188">
        <f t="shared" si="7"/>
        <v>46</v>
      </c>
    </row>
    <row r="53" spans="2:21" x14ac:dyDescent="0.25">
      <c r="B53" s="202">
        <f t="shared" si="8"/>
        <v>10</v>
      </c>
      <c r="C53" s="16"/>
      <c r="D53" s="134">
        <f t="shared" si="0"/>
        <v>0</v>
      </c>
      <c r="E53" s="365"/>
      <c r="F53" s="89">
        <f t="shared" si="1"/>
        <v>0</v>
      </c>
      <c r="G53" s="90"/>
      <c r="H53" s="91"/>
      <c r="I53" s="352">
        <f t="shared" si="10"/>
        <v>0</v>
      </c>
      <c r="J53" s="188">
        <f t="shared" si="5"/>
        <v>0</v>
      </c>
      <c r="M53" s="202">
        <f t="shared" si="9"/>
        <v>10</v>
      </c>
      <c r="N53" s="16"/>
      <c r="O53" s="134">
        <f t="shared" si="2"/>
        <v>0</v>
      </c>
      <c r="P53" s="365"/>
      <c r="Q53" s="89">
        <f t="shared" si="3"/>
        <v>0</v>
      </c>
      <c r="R53" s="90"/>
      <c r="S53" s="91"/>
      <c r="T53" s="352">
        <f t="shared" si="6"/>
        <v>460</v>
      </c>
      <c r="U53" s="188">
        <f t="shared" si="7"/>
        <v>46</v>
      </c>
    </row>
    <row r="54" spans="2:21" x14ac:dyDescent="0.25">
      <c r="B54" s="202">
        <f t="shared" si="8"/>
        <v>10</v>
      </c>
      <c r="C54" s="16"/>
      <c r="D54" s="134">
        <f t="shared" si="0"/>
        <v>0</v>
      </c>
      <c r="E54" s="365"/>
      <c r="F54" s="89">
        <f t="shared" si="1"/>
        <v>0</v>
      </c>
      <c r="G54" s="90"/>
      <c r="H54" s="91"/>
      <c r="I54" s="352">
        <f t="shared" si="10"/>
        <v>0</v>
      </c>
      <c r="J54" s="188">
        <f t="shared" si="5"/>
        <v>0</v>
      </c>
      <c r="M54" s="202">
        <f t="shared" si="9"/>
        <v>10</v>
      </c>
      <c r="N54" s="16"/>
      <c r="O54" s="134">
        <f t="shared" si="2"/>
        <v>0</v>
      </c>
      <c r="P54" s="365"/>
      <c r="Q54" s="89">
        <f t="shared" si="3"/>
        <v>0</v>
      </c>
      <c r="R54" s="90"/>
      <c r="S54" s="91"/>
      <c r="T54" s="352">
        <f t="shared" si="6"/>
        <v>460</v>
      </c>
      <c r="U54" s="188">
        <f t="shared" si="7"/>
        <v>46</v>
      </c>
    </row>
    <row r="55" spans="2:21" x14ac:dyDescent="0.25">
      <c r="B55" s="202">
        <f t="shared" si="8"/>
        <v>10</v>
      </c>
      <c r="C55" s="16"/>
      <c r="D55" s="134">
        <f t="shared" si="0"/>
        <v>0</v>
      </c>
      <c r="E55" s="365"/>
      <c r="F55" s="89">
        <f t="shared" si="1"/>
        <v>0</v>
      </c>
      <c r="G55" s="90"/>
      <c r="H55" s="91"/>
      <c r="I55" s="352">
        <f t="shared" si="10"/>
        <v>0</v>
      </c>
      <c r="J55" s="188">
        <f t="shared" si="5"/>
        <v>0</v>
      </c>
      <c r="M55" s="202">
        <f t="shared" si="9"/>
        <v>10</v>
      </c>
      <c r="N55" s="16"/>
      <c r="O55" s="134">
        <f t="shared" si="2"/>
        <v>0</v>
      </c>
      <c r="P55" s="365"/>
      <c r="Q55" s="89">
        <f t="shared" si="3"/>
        <v>0</v>
      </c>
      <c r="R55" s="90"/>
      <c r="S55" s="91"/>
      <c r="T55" s="352">
        <f t="shared" si="6"/>
        <v>460</v>
      </c>
      <c r="U55" s="188">
        <f t="shared" si="7"/>
        <v>46</v>
      </c>
    </row>
    <row r="56" spans="2:21" x14ac:dyDescent="0.25">
      <c r="B56" s="202">
        <f t="shared" si="8"/>
        <v>10</v>
      </c>
      <c r="C56" s="16"/>
      <c r="D56" s="134">
        <f t="shared" si="0"/>
        <v>0</v>
      </c>
      <c r="E56" s="365"/>
      <c r="F56" s="89">
        <f t="shared" si="1"/>
        <v>0</v>
      </c>
      <c r="G56" s="90"/>
      <c r="H56" s="91"/>
      <c r="I56" s="352">
        <f t="shared" si="10"/>
        <v>0</v>
      </c>
      <c r="J56" s="188">
        <f t="shared" si="5"/>
        <v>0</v>
      </c>
      <c r="M56" s="202">
        <f t="shared" si="9"/>
        <v>10</v>
      </c>
      <c r="N56" s="16"/>
      <c r="O56" s="134">
        <f t="shared" si="2"/>
        <v>0</v>
      </c>
      <c r="P56" s="365"/>
      <c r="Q56" s="89">
        <f t="shared" si="3"/>
        <v>0</v>
      </c>
      <c r="R56" s="90"/>
      <c r="S56" s="91"/>
      <c r="T56" s="352">
        <f t="shared" si="6"/>
        <v>460</v>
      </c>
      <c r="U56" s="188">
        <f t="shared" si="7"/>
        <v>46</v>
      </c>
    </row>
    <row r="57" spans="2:21" x14ac:dyDescent="0.25">
      <c r="B57" s="202">
        <f t="shared" si="8"/>
        <v>10</v>
      </c>
      <c r="C57" s="16"/>
      <c r="D57" s="134">
        <f t="shared" si="0"/>
        <v>0</v>
      </c>
      <c r="E57" s="365"/>
      <c r="F57" s="89">
        <f t="shared" si="1"/>
        <v>0</v>
      </c>
      <c r="G57" s="90"/>
      <c r="H57" s="91"/>
      <c r="I57" s="352">
        <f t="shared" si="10"/>
        <v>0</v>
      </c>
      <c r="J57" s="188">
        <f t="shared" si="5"/>
        <v>0</v>
      </c>
      <c r="M57" s="202">
        <f t="shared" si="9"/>
        <v>10</v>
      </c>
      <c r="N57" s="16"/>
      <c r="O57" s="134">
        <f t="shared" si="2"/>
        <v>0</v>
      </c>
      <c r="P57" s="365"/>
      <c r="Q57" s="89">
        <f t="shared" si="3"/>
        <v>0</v>
      </c>
      <c r="R57" s="90"/>
      <c r="S57" s="91"/>
      <c r="T57" s="352">
        <f t="shared" si="6"/>
        <v>460</v>
      </c>
      <c r="U57" s="188">
        <f t="shared" si="7"/>
        <v>46</v>
      </c>
    </row>
    <row r="58" spans="2:21" x14ac:dyDescent="0.25">
      <c r="B58" s="202">
        <f t="shared" si="8"/>
        <v>10</v>
      </c>
      <c r="C58" s="16"/>
      <c r="D58" s="134">
        <f t="shared" si="0"/>
        <v>0</v>
      </c>
      <c r="E58" s="365"/>
      <c r="F58" s="89">
        <f t="shared" si="1"/>
        <v>0</v>
      </c>
      <c r="G58" s="90"/>
      <c r="H58" s="91"/>
      <c r="I58" s="352">
        <f t="shared" si="10"/>
        <v>0</v>
      </c>
      <c r="J58" s="188">
        <f t="shared" si="5"/>
        <v>0</v>
      </c>
      <c r="M58" s="202">
        <f t="shared" si="9"/>
        <v>10</v>
      </c>
      <c r="N58" s="16"/>
      <c r="O58" s="134">
        <f t="shared" si="2"/>
        <v>0</v>
      </c>
      <c r="P58" s="365"/>
      <c r="Q58" s="89">
        <f t="shared" si="3"/>
        <v>0</v>
      </c>
      <c r="R58" s="90"/>
      <c r="S58" s="91"/>
      <c r="T58" s="352">
        <f t="shared" si="6"/>
        <v>460</v>
      </c>
      <c r="U58" s="188">
        <f t="shared" si="7"/>
        <v>46</v>
      </c>
    </row>
    <row r="59" spans="2:21" x14ac:dyDescent="0.25">
      <c r="B59" s="202">
        <f t="shared" si="8"/>
        <v>10</v>
      </c>
      <c r="C59" s="16"/>
      <c r="D59" s="134">
        <f t="shared" si="0"/>
        <v>0</v>
      </c>
      <c r="E59" s="365"/>
      <c r="F59" s="89">
        <f t="shared" si="1"/>
        <v>0</v>
      </c>
      <c r="G59" s="90"/>
      <c r="H59" s="91"/>
      <c r="I59" s="352">
        <f t="shared" si="10"/>
        <v>0</v>
      </c>
      <c r="J59" s="188">
        <f t="shared" si="5"/>
        <v>0</v>
      </c>
      <c r="M59" s="202">
        <f t="shared" si="9"/>
        <v>10</v>
      </c>
      <c r="N59" s="16"/>
      <c r="O59" s="134">
        <f t="shared" si="2"/>
        <v>0</v>
      </c>
      <c r="P59" s="365"/>
      <c r="Q59" s="89">
        <f t="shared" si="3"/>
        <v>0</v>
      </c>
      <c r="R59" s="90"/>
      <c r="S59" s="91"/>
      <c r="T59" s="352">
        <f t="shared" si="6"/>
        <v>460</v>
      </c>
      <c r="U59" s="188">
        <f t="shared" si="7"/>
        <v>46</v>
      </c>
    </row>
    <row r="60" spans="2:21" ht="15.75" thickBot="1" x14ac:dyDescent="0.3">
      <c r="B60" s="202">
        <f t="shared" si="8"/>
        <v>10</v>
      </c>
      <c r="C60" s="40"/>
      <c r="D60" s="235">
        <f t="shared" si="0"/>
        <v>0</v>
      </c>
      <c r="E60" s="369"/>
      <c r="F60" s="235">
        <f t="shared" si="1"/>
        <v>0</v>
      </c>
      <c r="G60" s="209"/>
      <c r="H60" s="370"/>
      <c r="M60" s="202">
        <f t="shared" si="9"/>
        <v>10</v>
      </c>
      <c r="N60" s="40"/>
      <c r="O60" s="235">
        <f t="shared" si="2"/>
        <v>0</v>
      </c>
      <c r="P60" s="369"/>
      <c r="Q60" s="235">
        <f t="shared" si="3"/>
        <v>0</v>
      </c>
      <c r="R60" s="209"/>
      <c r="S60" s="370"/>
    </row>
    <row r="61" spans="2:21" ht="15.75" thickTop="1" x14ac:dyDescent="0.25">
      <c r="C61" s="16">
        <f>SUM(C9:C60)</f>
        <v>103</v>
      </c>
      <c r="D61" s="7">
        <f>SUM(D9:D60)</f>
        <v>1030</v>
      </c>
      <c r="E61" s="14"/>
      <c r="F61" s="7">
        <f>SUM(F9:F60)</f>
        <v>1030</v>
      </c>
      <c r="G61" s="32"/>
      <c r="H61" s="18"/>
      <c r="N61" s="16">
        <f>SUM(N9:N60)</f>
        <v>70</v>
      </c>
      <c r="O61" s="7">
        <f>SUM(O9:O60)</f>
        <v>700</v>
      </c>
      <c r="P61" s="14"/>
      <c r="Q61" s="7">
        <f>SUM(Q9:Q60)</f>
        <v>700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46</v>
      </c>
      <c r="P63" s="43"/>
      <c r="Q63" s="7"/>
      <c r="R63" s="32"/>
      <c r="S63" s="18"/>
    </row>
    <row r="64" spans="2:21" x14ac:dyDescent="0.25">
      <c r="C64" s="780" t="s">
        <v>19</v>
      </c>
      <c r="D64" s="781"/>
      <c r="E64" s="42">
        <f>E4+E5-F61+E6+E7</f>
        <v>0</v>
      </c>
      <c r="F64" s="7"/>
      <c r="G64" s="7"/>
      <c r="H64" s="18"/>
      <c r="N64" s="780" t="s">
        <v>19</v>
      </c>
      <c r="O64" s="781"/>
      <c r="P64" s="42">
        <f>P4+P5-Q61+P6+P7</f>
        <v>460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C64:D64"/>
    <mergeCell ref="A1:G1"/>
    <mergeCell ref="L1:R1"/>
    <mergeCell ref="T7:T8"/>
    <mergeCell ref="U7:U8"/>
    <mergeCell ref="N64:O64"/>
    <mergeCell ref="I7:I8"/>
    <mergeCell ref="J7:J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topLeftCell="A7" workbookViewId="0">
      <selection activeCell="H21" sqref="H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786" t="s">
        <v>144</v>
      </c>
      <c r="B1" s="786"/>
      <c r="C1" s="786"/>
      <c r="D1" s="786"/>
      <c r="E1" s="786"/>
      <c r="F1" s="786"/>
      <c r="G1" s="786"/>
      <c r="H1" s="141">
        <v>1</v>
      </c>
    </row>
    <row r="2" spans="1:10" ht="15.75" thickBot="1" x14ac:dyDescent="0.3">
      <c r="D2" s="51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6.5" thickTop="1" thickBot="1" x14ac:dyDescent="0.3">
      <c r="B4" s="13"/>
      <c r="C4" s="91"/>
      <c r="D4" s="171"/>
      <c r="E4" s="80"/>
      <c r="F4" s="215"/>
      <c r="G4" s="97"/>
    </row>
    <row r="5" spans="1:10" ht="29.25" customHeight="1" thickBot="1" x14ac:dyDescent="0.3">
      <c r="A5" s="207" t="s">
        <v>178</v>
      </c>
      <c r="B5" s="787" t="s">
        <v>179</v>
      </c>
      <c r="C5" s="394">
        <v>25</v>
      </c>
      <c r="D5" s="171">
        <v>43746</v>
      </c>
      <c r="E5" s="73">
        <v>1000</v>
      </c>
      <c r="F5" s="114">
        <v>100</v>
      </c>
      <c r="G5" s="219">
        <f>F62</f>
        <v>1740</v>
      </c>
      <c r="H5" s="76">
        <f>E4+E5+E6-G5</f>
        <v>1260</v>
      </c>
    </row>
    <row r="6" spans="1:10" ht="20.25" customHeight="1" thickTop="1" thickBot="1" x14ac:dyDescent="0.3">
      <c r="B6" s="788"/>
      <c r="C6" s="394">
        <v>25</v>
      </c>
      <c r="D6" s="711">
        <v>43753</v>
      </c>
      <c r="E6" s="412">
        <v>2000</v>
      </c>
      <c r="F6" s="286">
        <v>200</v>
      </c>
      <c r="G6" s="97"/>
      <c r="I6" s="789" t="s">
        <v>93</v>
      </c>
      <c r="J6" s="791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90"/>
      <c r="J7" s="792"/>
    </row>
    <row r="8" spans="1:10" ht="15.75" thickTop="1" x14ac:dyDescent="0.25">
      <c r="A8" s="2"/>
      <c r="B8" s="125">
        <v>10</v>
      </c>
      <c r="C8" s="16">
        <v>20</v>
      </c>
      <c r="D8" s="236">
        <f>C8*B8</f>
        <v>200</v>
      </c>
      <c r="E8" s="126">
        <v>43747</v>
      </c>
      <c r="F8" s="89">
        <f t="shared" ref="F8:F25" si="0">D8</f>
        <v>200</v>
      </c>
      <c r="G8" s="90" t="s">
        <v>213</v>
      </c>
      <c r="H8" s="91">
        <v>34</v>
      </c>
      <c r="I8" s="396">
        <f>E4+E5+E6-F8</f>
        <v>2800</v>
      </c>
      <c r="J8" s="188">
        <f>F4+F5+F6-C8</f>
        <v>280</v>
      </c>
    </row>
    <row r="9" spans="1:10" x14ac:dyDescent="0.25">
      <c r="A9" s="2"/>
      <c r="B9" s="125">
        <v>10</v>
      </c>
      <c r="C9" s="16">
        <v>5</v>
      </c>
      <c r="D9" s="236">
        <f t="shared" ref="D9:D60" si="1">C9*B9</f>
        <v>50</v>
      </c>
      <c r="E9" s="119">
        <v>43747</v>
      </c>
      <c r="F9" s="89">
        <f t="shared" si="0"/>
        <v>50</v>
      </c>
      <c r="G9" s="90" t="s">
        <v>214</v>
      </c>
      <c r="H9" s="91">
        <v>34</v>
      </c>
      <c r="I9" s="396">
        <f>I8-F9</f>
        <v>2750</v>
      </c>
      <c r="J9" s="188">
        <f>J8-C9</f>
        <v>275</v>
      </c>
    </row>
    <row r="10" spans="1:10" x14ac:dyDescent="0.25">
      <c r="A10" s="120" t="s">
        <v>32</v>
      </c>
      <c r="B10" s="125">
        <v>10</v>
      </c>
      <c r="C10" s="16">
        <v>10</v>
      </c>
      <c r="D10" s="236">
        <f t="shared" si="1"/>
        <v>100</v>
      </c>
      <c r="E10" s="119">
        <v>43748</v>
      </c>
      <c r="F10" s="89">
        <f t="shared" si="0"/>
        <v>100</v>
      </c>
      <c r="G10" s="90" t="s">
        <v>217</v>
      </c>
      <c r="H10" s="91">
        <v>34</v>
      </c>
      <c r="I10" s="396">
        <f t="shared" ref="I10:I51" si="2">I9-F10</f>
        <v>2650</v>
      </c>
      <c r="J10" s="188">
        <f t="shared" ref="J10:J51" si="3">J9-C10</f>
        <v>265</v>
      </c>
    </row>
    <row r="11" spans="1:10" x14ac:dyDescent="0.25">
      <c r="A11" s="121"/>
      <c r="B11" s="125">
        <v>10</v>
      </c>
      <c r="C11" s="16">
        <v>20</v>
      </c>
      <c r="D11" s="236">
        <f t="shared" si="1"/>
        <v>200</v>
      </c>
      <c r="E11" s="135">
        <v>43749</v>
      </c>
      <c r="F11" s="89">
        <f t="shared" si="0"/>
        <v>200</v>
      </c>
      <c r="G11" s="90" t="s">
        <v>225</v>
      </c>
      <c r="H11" s="91">
        <v>34</v>
      </c>
      <c r="I11" s="396">
        <f t="shared" si="2"/>
        <v>2450</v>
      </c>
      <c r="J11" s="188">
        <f t="shared" si="3"/>
        <v>245</v>
      </c>
    </row>
    <row r="12" spans="1:10" x14ac:dyDescent="0.25">
      <c r="A12" s="125"/>
      <c r="B12" s="125">
        <v>10</v>
      </c>
      <c r="C12" s="16">
        <v>10</v>
      </c>
      <c r="D12" s="236">
        <f t="shared" si="1"/>
        <v>100</v>
      </c>
      <c r="E12" s="135">
        <v>43752</v>
      </c>
      <c r="F12" s="89">
        <f t="shared" si="0"/>
        <v>100</v>
      </c>
      <c r="G12" s="90" t="s">
        <v>231</v>
      </c>
      <c r="H12" s="91">
        <v>34</v>
      </c>
      <c r="I12" s="396">
        <f t="shared" si="2"/>
        <v>2350</v>
      </c>
      <c r="J12" s="188">
        <f t="shared" si="3"/>
        <v>235</v>
      </c>
    </row>
    <row r="13" spans="1:10" x14ac:dyDescent="0.25">
      <c r="A13" s="122" t="s">
        <v>33</v>
      </c>
      <c r="B13" s="125">
        <v>10</v>
      </c>
      <c r="C13" s="16">
        <v>35</v>
      </c>
      <c r="D13" s="236">
        <f t="shared" si="1"/>
        <v>350</v>
      </c>
      <c r="E13" s="135">
        <v>43754</v>
      </c>
      <c r="F13" s="89">
        <f t="shared" si="0"/>
        <v>350</v>
      </c>
      <c r="G13" s="90" t="s">
        <v>284</v>
      </c>
      <c r="H13" s="91">
        <v>34</v>
      </c>
      <c r="I13" s="396">
        <f t="shared" si="2"/>
        <v>2000</v>
      </c>
      <c r="J13" s="188">
        <f t="shared" si="3"/>
        <v>200</v>
      </c>
    </row>
    <row r="14" spans="1:10" x14ac:dyDescent="0.25">
      <c r="A14" s="121"/>
      <c r="B14" s="125">
        <v>10</v>
      </c>
      <c r="C14" s="16">
        <v>20</v>
      </c>
      <c r="D14" s="236">
        <f t="shared" si="1"/>
        <v>200</v>
      </c>
      <c r="E14" s="119">
        <v>43759</v>
      </c>
      <c r="F14" s="89">
        <f t="shared" si="0"/>
        <v>200</v>
      </c>
      <c r="G14" s="90" t="s">
        <v>319</v>
      </c>
      <c r="H14" s="91">
        <v>34</v>
      </c>
      <c r="I14" s="396">
        <f t="shared" si="2"/>
        <v>1800</v>
      </c>
      <c r="J14" s="188">
        <f t="shared" si="3"/>
        <v>180</v>
      </c>
    </row>
    <row r="15" spans="1:10" x14ac:dyDescent="0.25">
      <c r="A15" s="125"/>
      <c r="B15" s="125">
        <v>10</v>
      </c>
      <c r="C15" s="16">
        <v>12</v>
      </c>
      <c r="D15" s="236">
        <f t="shared" si="1"/>
        <v>120</v>
      </c>
      <c r="E15" s="135">
        <v>43762</v>
      </c>
      <c r="F15" s="89">
        <f t="shared" si="0"/>
        <v>120</v>
      </c>
      <c r="G15" s="90" t="s">
        <v>372</v>
      </c>
      <c r="H15" s="91">
        <v>34</v>
      </c>
      <c r="I15" s="396">
        <f t="shared" si="2"/>
        <v>1680</v>
      </c>
      <c r="J15" s="188">
        <f t="shared" si="3"/>
        <v>168</v>
      </c>
    </row>
    <row r="16" spans="1:10" x14ac:dyDescent="0.25">
      <c r="A16" s="2"/>
      <c r="B16" s="125">
        <v>10</v>
      </c>
      <c r="C16" s="16">
        <v>5</v>
      </c>
      <c r="D16" s="236">
        <f t="shared" si="1"/>
        <v>50</v>
      </c>
      <c r="E16" s="135">
        <v>43762</v>
      </c>
      <c r="F16" s="89">
        <f t="shared" si="0"/>
        <v>50</v>
      </c>
      <c r="G16" s="360" t="s">
        <v>375</v>
      </c>
      <c r="H16" s="91">
        <v>34</v>
      </c>
      <c r="I16" s="396">
        <f t="shared" si="2"/>
        <v>1630</v>
      </c>
      <c r="J16" s="188">
        <f t="shared" si="3"/>
        <v>163</v>
      </c>
    </row>
    <row r="17" spans="1:11" x14ac:dyDescent="0.25">
      <c r="A17" s="2"/>
      <c r="B17" s="125">
        <v>10</v>
      </c>
      <c r="C17" s="62">
        <v>10</v>
      </c>
      <c r="D17" s="236">
        <f t="shared" si="1"/>
        <v>100</v>
      </c>
      <c r="E17" s="135">
        <v>43764</v>
      </c>
      <c r="F17" s="89">
        <f t="shared" si="0"/>
        <v>100</v>
      </c>
      <c r="G17" s="90" t="s">
        <v>384</v>
      </c>
      <c r="H17" s="91">
        <v>34</v>
      </c>
      <c r="I17" s="396">
        <f t="shared" si="2"/>
        <v>1530</v>
      </c>
      <c r="J17" s="188">
        <f t="shared" si="3"/>
        <v>153</v>
      </c>
    </row>
    <row r="18" spans="1:11" x14ac:dyDescent="0.25">
      <c r="A18" s="2"/>
      <c r="B18" s="125">
        <v>10</v>
      </c>
      <c r="C18" s="16">
        <v>10</v>
      </c>
      <c r="D18" s="236">
        <f t="shared" si="1"/>
        <v>100</v>
      </c>
      <c r="E18" s="119">
        <v>43768</v>
      </c>
      <c r="F18" s="89">
        <f t="shared" si="0"/>
        <v>100</v>
      </c>
      <c r="G18" s="90" t="s">
        <v>388</v>
      </c>
      <c r="H18" s="91">
        <v>34</v>
      </c>
      <c r="I18" s="396">
        <f t="shared" si="2"/>
        <v>1430</v>
      </c>
      <c r="J18" s="188">
        <f t="shared" si="3"/>
        <v>143</v>
      </c>
    </row>
    <row r="19" spans="1:11" x14ac:dyDescent="0.25">
      <c r="A19" s="2"/>
      <c r="B19" s="125">
        <v>10</v>
      </c>
      <c r="C19" s="16">
        <v>5</v>
      </c>
      <c r="D19" s="236">
        <f t="shared" si="1"/>
        <v>50</v>
      </c>
      <c r="E19" s="119">
        <v>43769</v>
      </c>
      <c r="F19" s="89">
        <f t="shared" si="0"/>
        <v>50</v>
      </c>
      <c r="G19" s="90" t="s">
        <v>403</v>
      </c>
      <c r="H19" s="91">
        <v>34</v>
      </c>
      <c r="I19" s="396">
        <f t="shared" si="2"/>
        <v>1380</v>
      </c>
      <c r="J19" s="188">
        <f t="shared" si="3"/>
        <v>138</v>
      </c>
    </row>
    <row r="20" spans="1:11" x14ac:dyDescent="0.25">
      <c r="A20" s="2"/>
      <c r="B20" s="125">
        <v>10</v>
      </c>
      <c r="C20" s="16">
        <v>12</v>
      </c>
      <c r="D20" s="236">
        <f t="shared" si="1"/>
        <v>120</v>
      </c>
      <c r="E20" s="119">
        <v>43773</v>
      </c>
      <c r="F20" s="89">
        <f t="shared" si="0"/>
        <v>120</v>
      </c>
      <c r="G20" s="90" t="s">
        <v>424</v>
      </c>
      <c r="H20" s="91">
        <v>34</v>
      </c>
      <c r="I20" s="396">
        <f t="shared" si="2"/>
        <v>1260</v>
      </c>
      <c r="J20" s="188">
        <f t="shared" si="3"/>
        <v>126</v>
      </c>
    </row>
    <row r="21" spans="1:11" x14ac:dyDescent="0.25">
      <c r="A21" s="2"/>
      <c r="B21" s="125">
        <v>10</v>
      </c>
      <c r="C21" s="16"/>
      <c r="D21" s="236">
        <f t="shared" si="1"/>
        <v>0</v>
      </c>
      <c r="E21" s="135"/>
      <c r="F21" s="89">
        <f t="shared" si="0"/>
        <v>0</v>
      </c>
      <c r="G21" s="90"/>
      <c r="H21" s="91"/>
      <c r="I21" s="396">
        <f t="shared" si="2"/>
        <v>1260</v>
      </c>
      <c r="J21" s="188">
        <f t="shared" si="3"/>
        <v>126</v>
      </c>
    </row>
    <row r="22" spans="1:11" x14ac:dyDescent="0.25">
      <c r="A22" s="2"/>
      <c r="B22" s="125">
        <v>10</v>
      </c>
      <c r="C22" s="16"/>
      <c r="D22" s="236">
        <f t="shared" si="1"/>
        <v>0</v>
      </c>
      <c r="E22" s="135"/>
      <c r="F22" s="89">
        <f t="shared" si="0"/>
        <v>0</v>
      </c>
      <c r="G22" s="90"/>
      <c r="H22" s="91"/>
      <c r="I22" s="396">
        <f t="shared" si="2"/>
        <v>1260</v>
      </c>
      <c r="J22" s="188">
        <f t="shared" si="3"/>
        <v>126</v>
      </c>
    </row>
    <row r="23" spans="1:11" x14ac:dyDescent="0.25">
      <c r="A23" s="2"/>
      <c r="B23" s="125">
        <v>10</v>
      </c>
      <c r="C23" s="16"/>
      <c r="D23" s="236">
        <f t="shared" si="1"/>
        <v>0</v>
      </c>
      <c r="E23" s="135"/>
      <c r="F23" s="89">
        <f t="shared" si="0"/>
        <v>0</v>
      </c>
      <c r="G23" s="485"/>
      <c r="H23" s="486"/>
      <c r="I23" s="487">
        <f t="shared" si="2"/>
        <v>1260</v>
      </c>
      <c r="J23" s="488">
        <f t="shared" si="3"/>
        <v>126</v>
      </c>
      <c r="K23" s="438"/>
    </row>
    <row r="24" spans="1:11" x14ac:dyDescent="0.25">
      <c r="A24" s="2"/>
      <c r="B24" s="125">
        <v>10</v>
      </c>
      <c r="C24" s="16"/>
      <c r="D24" s="236">
        <f t="shared" si="1"/>
        <v>0</v>
      </c>
      <c r="E24" s="135"/>
      <c r="F24" s="89">
        <f t="shared" si="0"/>
        <v>0</v>
      </c>
      <c r="G24" s="485"/>
      <c r="H24" s="486"/>
      <c r="I24" s="487">
        <f t="shared" si="2"/>
        <v>1260</v>
      </c>
      <c r="J24" s="488">
        <f t="shared" si="3"/>
        <v>126</v>
      </c>
      <c r="K24" s="438"/>
    </row>
    <row r="25" spans="1:11" x14ac:dyDescent="0.25">
      <c r="A25" s="2"/>
      <c r="B25" s="125">
        <v>10</v>
      </c>
      <c r="C25" s="16"/>
      <c r="D25" s="236">
        <f t="shared" si="1"/>
        <v>0</v>
      </c>
      <c r="E25" s="119"/>
      <c r="F25" s="89">
        <f t="shared" si="0"/>
        <v>0</v>
      </c>
      <c r="G25" s="485"/>
      <c r="H25" s="486"/>
      <c r="I25" s="487">
        <f t="shared" si="2"/>
        <v>1260</v>
      </c>
      <c r="J25" s="488">
        <f t="shared" si="3"/>
        <v>126</v>
      </c>
      <c r="K25" s="438"/>
    </row>
    <row r="26" spans="1:11" x14ac:dyDescent="0.25">
      <c r="A26" s="2"/>
      <c r="B26" s="125">
        <v>10</v>
      </c>
      <c r="C26" s="16"/>
      <c r="D26" s="236">
        <f t="shared" si="1"/>
        <v>0</v>
      </c>
      <c r="E26" s="119"/>
      <c r="F26" s="89">
        <f t="shared" ref="F26:F61" si="4">D26</f>
        <v>0</v>
      </c>
      <c r="G26" s="485"/>
      <c r="H26" s="486"/>
      <c r="I26" s="487">
        <f t="shared" si="2"/>
        <v>1260</v>
      </c>
      <c r="J26" s="488">
        <f t="shared" si="3"/>
        <v>126</v>
      </c>
      <c r="K26" s="438"/>
    </row>
    <row r="27" spans="1:11" x14ac:dyDescent="0.25">
      <c r="A27" s="2"/>
      <c r="B27" s="125">
        <v>10</v>
      </c>
      <c r="C27" s="16"/>
      <c r="D27" s="236">
        <f t="shared" si="1"/>
        <v>0</v>
      </c>
      <c r="E27" s="119"/>
      <c r="F27" s="89">
        <f t="shared" si="4"/>
        <v>0</v>
      </c>
      <c r="G27" s="485"/>
      <c r="H27" s="486"/>
      <c r="I27" s="487">
        <f t="shared" si="2"/>
        <v>1260</v>
      </c>
      <c r="J27" s="488">
        <f t="shared" si="3"/>
        <v>126</v>
      </c>
      <c r="K27" s="438"/>
    </row>
    <row r="28" spans="1:11" x14ac:dyDescent="0.25">
      <c r="A28" s="2"/>
      <c r="B28" s="125">
        <v>10</v>
      </c>
      <c r="C28" s="16"/>
      <c r="D28" s="236">
        <f t="shared" si="1"/>
        <v>0</v>
      </c>
      <c r="E28" s="119"/>
      <c r="F28" s="89">
        <f t="shared" si="4"/>
        <v>0</v>
      </c>
      <c r="G28" s="485"/>
      <c r="H28" s="486"/>
      <c r="I28" s="487">
        <f t="shared" si="2"/>
        <v>1260</v>
      </c>
      <c r="J28" s="488">
        <f t="shared" si="3"/>
        <v>126</v>
      </c>
      <c r="K28" s="438"/>
    </row>
    <row r="29" spans="1:11" x14ac:dyDescent="0.25">
      <c r="A29" s="2"/>
      <c r="B29" s="125">
        <v>10</v>
      </c>
      <c r="C29" s="16"/>
      <c r="D29" s="236">
        <f t="shared" si="1"/>
        <v>0</v>
      </c>
      <c r="E29" s="119"/>
      <c r="F29" s="89">
        <f t="shared" si="4"/>
        <v>0</v>
      </c>
      <c r="G29" s="485"/>
      <c r="H29" s="486"/>
      <c r="I29" s="487">
        <f t="shared" si="2"/>
        <v>1260</v>
      </c>
      <c r="J29" s="488">
        <f t="shared" si="3"/>
        <v>126</v>
      </c>
      <c r="K29" s="438"/>
    </row>
    <row r="30" spans="1:11" x14ac:dyDescent="0.25">
      <c r="A30" s="2"/>
      <c r="B30" s="125">
        <v>10</v>
      </c>
      <c r="C30" s="16"/>
      <c r="D30" s="236">
        <f t="shared" si="1"/>
        <v>0</v>
      </c>
      <c r="E30" s="119"/>
      <c r="F30" s="89">
        <f t="shared" si="4"/>
        <v>0</v>
      </c>
      <c r="G30" s="485"/>
      <c r="H30" s="486"/>
      <c r="I30" s="487">
        <f t="shared" si="2"/>
        <v>1260</v>
      </c>
      <c r="J30" s="488">
        <f t="shared" si="3"/>
        <v>126</v>
      </c>
      <c r="K30" s="438"/>
    </row>
    <row r="31" spans="1:11" x14ac:dyDescent="0.25">
      <c r="A31" s="2"/>
      <c r="B31" s="125">
        <v>10</v>
      </c>
      <c r="C31" s="16"/>
      <c r="D31" s="236">
        <f t="shared" si="1"/>
        <v>0</v>
      </c>
      <c r="E31" s="119"/>
      <c r="F31" s="89">
        <f t="shared" si="4"/>
        <v>0</v>
      </c>
      <c r="G31" s="90"/>
      <c r="H31" s="486"/>
      <c r="I31" s="487">
        <f t="shared" si="2"/>
        <v>1260</v>
      </c>
      <c r="J31" s="488">
        <f t="shared" si="3"/>
        <v>126</v>
      </c>
      <c r="K31" s="438"/>
    </row>
    <row r="32" spans="1:11" x14ac:dyDescent="0.25">
      <c r="A32" s="2"/>
      <c r="B32" s="125">
        <v>10</v>
      </c>
      <c r="C32" s="16"/>
      <c r="D32" s="236">
        <f t="shared" si="1"/>
        <v>0</v>
      </c>
      <c r="E32" s="126"/>
      <c r="F32" s="89">
        <f t="shared" si="4"/>
        <v>0</v>
      </c>
      <c r="G32" s="90"/>
      <c r="H32" s="486"/>
      <c r="I32" s="487">
        <f t="shared" si="2"/>
        <v>1260</v>
      </c>
      <c r="J32" s="488">
        <f t="shared" si="3"/>
        <v>126</v>
      </c>
      <c r="K32" s="438"/>
    </row>
    <row r="33" spans="1:10" x14ac:dyDescent="0.25">
      <c r="A33" s="2"/>
      <c r="B33" s="125">
        <v>10</v>
      </c>
      <c r="C33" s="16"/>
      <c r="D33" s="236">
        <f t="shared" si="1"/>
        <v>0</v>
      </c>
      <c r="E33" s="126"/>
      <c r="F33" s="89">
        <f t="shared" si="4"/>
        <v>0</v>
      </c>
      <c r="G33" s="90"/>
      <c r="H33" s="91"/>
      <c r="I33" s="396">
        <f t="shared" si="2"/>
        <v>1260</v>
      </c>
      <c r="J33" s="188">
        <f t="shared" si="3"/>
        <v>126</v>
      </c>
    </row>
    <row r="34" spans="1:10" x14ac:dyDescent="0.25">
      <c r="A34" s="2"/>
      <c r="B34" s="125">
        <v>10</v>
      </c>
      <c r="C34" s="16"/>
      <c r="D34" s="236">
        <f t="shared" si="1"/>
        <v>0</v>
      </c>
      <c r="E34" s="126"/>
      <c r="F34" s="89">
        <f t="shared" si="4"/>
        <v>0</v>
      </c>
      <c r="G34" s="90"/>
      <c r="H34" s="91"/>
      <c r="I34" s="396">
        <f t="shared" si="2"/>
        <v>1260</v>
      </c>
      <c r="J34" s="188">
        <f t="shared" si="3"/>
        <v>126</v>
      </c>
    </row>
    <row r="35" spans="1:10" x14ac:dyDescent="0.25">
      <c r="A35" s="2"/>
      <c r="B35" s="125">
        <v>10</v>
      </c>
      <c r="C35" s="16"/>
      <c r="D35" s="236">
        <f t="shared" si="1"/>
        <v>0</v>
      </c>
      <c r="E35" s="126"/>
      <c r="F35" s="89">
        <f t="shared" si="4"/>
        <v>0</v>
      </c>
      <c r="G35" s="90"/>
      <c r="H35" s="91"/>
      <c r="I35" s="396">
        <f t="shared" si="2"/>
        <v>1260</v>
      </c>
      <c r="J35" s="188">
        <f t="shared" si="3"/>
        <v>126</v>
      </c>
    </row>
    <row r="36" spans="1:10" x14ac:dyDescent="0.25">
      <c r="A36" s="2"/>
      <c r="B36" s="125">
        <v>10</v>
      </c>
      <c r="C36" s="16"/>
      <c r="D36" s="236">
        <f t="shared" si="1"/>
        <v>0</v>
      </c>
      <c r="E36" s="126"/>
      <c r="F36" s="89">
        <f t="shared" si="4"/>
        <v>0</v>
      </c>
      <c r="G36" s="90"/>
      <c r="H36" s="91"/>
      <c r="I36" s="396">
        <f t="shared" si="2"/>
        <v>1260</v>
      </c>
      <c r="J36" s="188">
        <f t="shared" si="3"/>
        <v>126</v>
      </c>
    </row>
    <row r="37" spans="1:10" x14ac:dyDescent="0.25">
      <c r="A37" s="2"/>
      <c r="B37" s="125">
        <v>10</v>
      </c>
      <c r="C37" s="16"/>
      <c r="D37" s="236">
        <f t="shared" si="1"/>
        <v>0</v>
      </c>
      <c r="E37" s="126"/>
      <c r="F37" s="89">
        <f t="shared" si="4"/>
        <v>0</v>
      </c>
      <c r="G37" s="90"/>
      <c r="H37" s="91"/>
      <c r="I37" s="396">
        <f t="shared" si="2"/>
        <v>1260</v>
      </c>
      <c r="J37" s="188">
        <f t="shared" si="3"/>
        <v>126</v>
      </c>
    </row>
    <row r="38" spans="1:10" x14ac:dyDescent="0.25">
      <c r="A38" s="2"/>
      <c r="B38" s="125">
        <v>10</v>
      </c>
      <c r="C38" s="16"/>
      <c r="D38" s="236">
        <f t="shared" si="1"/>
        <v>0</v>
      </c>
      <c r="E38" s="126"/>
      <c r="F38" s="89">
        <f t="shared" si="4"/>
        <v>0</v>
      </c>
      <c r="G38" s="90"/>
      <c r="H38" s="91"/>
      <c r="I38" s="396">
        <f t="shared" si="2"/>
        <v>1260</v>
      </c>
      <c r="J38" s="188">
        <f t="shared" si="3"/>
        <v>126</v>
      </c>
    </row>
    <row r="39" spans="1:10" x14ac:dyDescent="0.25">
      <c r="A39" s="2"/>
      <c r="B39" s="125">
        <v>10</v>
      </c>
      <c r="C39" s="16"/>
      <c r="D39" s="236">
        <f t="shared" si="1"/>
        <v>0</v>
      </c>
      <c r="E39" s="126"/>
      <c r="F39" s="89">
        <f t="shared" si="4"/>
        <v>0</v>
      </c>
      <c r="G39" s="90"/>
      <c r="H39" s="91"/>
      <c r="I39" s="396">
        <f t="shared" si="2"/>
        <v>1260</v>
      </c>
      <c r="J39" s="188">
        <f t="shared" si="3"/>
        <v>126</v>
      </c>
    </row>
    <row r="40" spans="1:10" x14ac:dyDescent="0.25">
      <c r="A40" s="2"/>
      <c r="B40" s="125">
        <v>10</v>
      </c>
      <c r="C40" s="16"/>
      <c r="D40" s="236">
        <f t="shared" si="1"/>
        <v>0</v>
      </c>
      <c r="E40" s="126"/>
      <c r="F40" s="89">
        <f t="shared" si="4"/>
        <v>0</v>
      </c>
      <c r="G40" s="90"/>
      <c r="H40" s="91"/>
      <c r="I40" s="396">
        <f t="shared" si="2"/>
        <v>1260</v>
      </c>
      <c r="J40" s="188">
        <f t="shared" si="3"/>
        <v>126</v>
      </c>
    </row>
    <row r="41" spans="1:10" x14ac:dyDescent="0.25">
      <c r="A41" s="2"/>
      <c r="B41" s="125">
        <v>10</v>
      </c>
      <c r="C41" s="16"/>
      <c r="D41" s="236">
        <f t="shared" si="1"/>
        <v>0</v>
      </c>
      <c r="E41" s="126"/>
      <c r="F41" s="89">
        <f t="shared" si="4"/>
        <v>0</v>
      </c>
      <c r="G41" s="90"/>
      <c r="H41" s="91"/>
      <c r="I41" s="396">
        <f t="shared" si="2"/>
        <v>1260</v>
      </c>
      <c r="J41" s="188">
        <f t="shared" si="3"/>
        <v>126</v>
      </c>
    </row>
    <row r="42" spans="1:10" x14ac:dyDescent="0.25">
      <c r="A42" s="2"/>
      <c r="B42" s="125">
        <v>10</v>
      </c>
      <c r="C42" s="16"/>
      <c r="D42" s="236">
        <f t="shared" si="1"/>
        <v>0</v>
      </c>
      <c r="E42" s="126"/>
      <c r="F42" s="89">
        <f t="shared" si="4"/>
        <v>0</v>
      </c>
      <c r="G42" s="90"/>
      <c r="H42" s="91"/>
      <c r="I42" s="396">
        <f t="shared" si="2"/>
        <v>1260</v>
      </c>
      <c r="J42" s="188">
        <f t="shared" si="3"/>
        <v>126</v>
      </c>
    </row>
    <row r="43" spans="1:10" x14ac:dyDescent="0.25">
      <c r="A43" s="2"/>
      <c r="B43" s="125">
        <v>10</v>
      </c>
      <c r="C43" s="16"/>
      <c r="D43" s="236">
        <f t="shared" si="1"/>
        <v>0</v>
      </c>
      <c r="E43" s="126"/>
      <c r="F43" s="89">
        <f t="shared" si="4"/>
        <v>0</v>
      </c>
      <c r="G43" s="90"/>
      <c r="H43" s="91"/>
      <c r="I43" s="396">
        <f t="shared" si="2"/>
        <v>1260</v>
      </c>
      <c r="J43" s="188">
        <f t="shared" si="3"/>
        <v>126</v>
      </c>
    </row>
    <row r="44" spans="1:10" x14ac:dyDescent="0.25">
      <c r="A44" s="2"/>
      <c r="B44" s="125">
        <v>10</v>
      </c>
      <c r="C44" s="16"/>
      <c r="D44" s="236">
        <f t="shared" si="1"/>
        <v>0</v>
      </c>
      <c r="E44" s="126"/>
      <c r="F44" s="89">
        <f t="shared" si="4"/>
        <v>0</v>
      </c>
      <c r="G44" s="90"/>
      <c r="H44" s="91"/>
      <c r="I44" s="396">
        <f t="shared" si="2"/>
        <v>1260</v>
      </c>
      <c r="J44" s="188">
        <f t="shared" si="3"/>
        <v>126</v>
      </c>
    </row>
    <row r="45" spans="1:10" x14ac:dyDescent="0.25">
      <c r="A45" s="2"/>
      <c r="B45" s="125">
        <v>10</v>
      </c>
      <c r="C45" s="16"/>
      <c r="D45" s="236">
        <f t="shared" si="1"/>
        <v>0</v>
      </c>
      <c r="E45" s="126"/>
      <c r="F45" s="89">
        <f t="shared" si="4"/>
        <v>0</v>
      </c>
      <c r="G45" s="90"/>
      <c r="H45" s="91"/>
      <c r="I45" s="396">
        <f t="shared" si="2"/>
        <v>1260</v>
      </c>
      <c r="J45" s="188">
        <f t="shared" si="3"/>
        <v>126</v>
      </c>
    </row>
    <row r="46" spans="1:10" x14ac:dyDescent="0.25">
      <c r="A46" s="2"/>
      <c r="B46" s="125">
        <v>10</v>
      </c>
      <c r="C46" s="16"/>
      <c r="D46" s="236">
        <f t="shared" si="1"/>
        <v>0</v>
      </c>
      <c r="E46" s="126"/>
      <c r="F46" s="89">
        <f t="shared" si="4"/>
        <v>0</v>
      </c>
      <c r="G46" s="90"/>
      <c r="H46" s="91"/>
      <c r="I46" s="396">
        <f t="shared" si="2"/>
        <v>1260</v>
      </c>
      <c r="J46" s="188">
        <f t="shared" si="3"/>
        <v>126</v>
      </c>
    </row>
    <row r="47" spans="1:10" x14ac:dyDescent="0.25">
      <c r="A47" s="2"/>
      <c r="B47" s="125">
        <v>10</v>
      </c>
      <c r="C47" s="16"/>
      <c r="D47" s="236">
        <f t="shared" si="1"/>
        <v>0</v>
      </c>
      <c r="E47" s="126"/>
      <c r="F47" s="89">
        <f t="shared" si="4"/>
        <v>0</v>
      </c>
      <c r="G47" s="90"/>
      <c r="H47" s="91"/>
      <c r="I47" s="396">
        <f t="shared" si="2"/>
        <v>1260</v>
      </c>
      <c r="J47" s="188">
        <f t="shared" si="3"/>
        <v>126</v>
      </c>
    </row>
    <row r="48" spans="1:10" x14ac:dyDescent="0.25">
      <c r="A48" s="2"/>
      <c r="B48" s="125">
        <v>10</v>
      </c>
      <c r="C48" s="16"/>
      <c r="D48" s="236">
        <f t="shared" si="1"/>
        <v>0</v>
      </c>
      <c r="E48" s="126"/>
      <c r="F48" s="89">
        <f t="shared" si="4"/>
        <v>0</v>
      </c>
      <c r="G48" s="90"/>
      <c r="H48" s="91"/>
      <c r="I48" s="396">
        <f t="shared" si="2"/>
        <v>1260</v>
      </c>
      <c r="J48" s="188">
        <f t="shared" si="3"/>
        <v>126</v>
      </c>
    </row>
    <row r="49" spans="1:10" x14ac:dyDescent="0.25">
      <c r="A49" s="2"/>
      <c r="B49" s="125">
        <v>10</v>
      </c>
      <c r="C49" s="16"/>
      <c r="D49" s="236">
        <f t="shared" si="1"/>
        <v>0</v>
      </c>
      <c r="E49" s="126"/>
      <c r="F49" s="89">
        <f t="shared" si="4"/>
        <v>0</v>
      </c>
      <c r="G49" s="90"/>
      <c r="H49" s="91"/>
      <c r="I49" s="396">
        <f t="shared" si="2"/>
        <v>1260</v>
      </c>
      <c r="J49" s="188">
        <f t="shared" si="3"/>
        <v>126</v>
      </c>
    </row>
    <row r="50" spans="1:10" x14ac:dyDescent="0.25">
      <c r="A50" s="2"/>
      <c r="B50" s="125">
        <v>10</v>
      </c>
      <c r="C50" s="16"/>
      <c r="D50" s="236">
        <f t="shared" si="1"/>
        <v>0</v>
      </c>
      <c r="E50" s="126"/>
      <c r="F50" s="89">
        <f t="shared" si="4"/>
        <v>0</v>
      </c>
      <c r="G50" s="90"/>
      <c r="H50" s="91"/>
      <c r="I50" s="396">
        <f t="shared" si="2"/>
        <v>1260</v>
      </c>
      <c r="J50" s="188">
        <f t="shared" si="3"/>
        <v>126</v>
      </c>
    </row>
    <row r="51" spans="1:10" x14ac:dyDescent="0.25">
      <c r="A51" s="2"/>
      <c r="B51" s="125">
        <v>10</v>
      </c>
      <c r="C51" s="16"/>
      <c r="D51" s="236">
        <f t="shared" si="1"/>
        <v>0</v>
      </c>
      <c r="E51" s="126"/>
      <c r="F51" s="89">
        <f t="shared" si="4"/>
        <v>0</v>
      </c>
      <c r="G51" s="90"/>
      <c r="H51" s="91"/>
      <c r="I51" s="396">
        <f t="shared" si="2"/>
        <v>1260</v>
      </c>
      <c r="J51" s="188">
        <f t="shared" si="3"/>
        <v>126</v>
      </c>
    </row>
    <row r="52" spans="1:10" x14ac:dyDescent="0.25">
      <c r="A52" s="2"/>
      <c r="B52" s="125">
        <v>10</v>
      </c>
      <c r="C52" s="16"/>
      <c r="D52" s="236">
        <f t="shared" si="1"/>
        <v>0</v>
      </c>
      <c r="E52" s="126"/>
      <c r="F52" s="89">
        <f t="shared" si="4"/>
        <v>0</v>
      </c>
      <c r="G52" s="90"/>
      <c r="H52" s="91"/>
      <c r="I52" s="79"/>
    </row>
    <row r="53" spans="1:10" x14ac:dyDescent="0.25">
      <c r="A53" s="2"/>
      <c r="B53" s="125">
        <v>10</v>
      </c>
      <c r="C53" s="16"/>
      <c r="D53" s="236">
        <f t="shared" si="1"/>
        <v>0</v>
      </c>
      <c r="E53" s="126"/>
      <c r="F53" s="89">
        <f t="shared" si="4"/>
        <v>0</v>
      </c>
      <c r="G53" s="90"/>
      <c r="H53" s="91"/>
      <c r="I53" s="79"/>
    </row>
    <row r="54" spans="1:10" x14ac:dyDescent="0.25">
      <c r="A54" s="2"/>
      <c r="B54" s="125">
        <v>10</v>
      </c>
      <c r="C54" s="16"/>
      <c r="D54" s="236">
        <f t="shared" si="1"/>
        <v>0</v>
      </c>
      <c r="E54" s="126"/>
      <c r="F54" s="89">
        <f t="shared" si="4"/>
        <v>0</v>
      </c>
      <c r="G54" s="90"/>
      <c r="H54" s="91"/>
      <c r="I54" s="79"/>
    </row>
    <row r="55" spans="1:10" x14ac:dyDescent="0.25">
      <c r="A55" s="2"/>
      <c r="B55" s="125">
        <v>10</v>
      </c>
      <c r="C55" s="16"/>
      <c r="D55" s="236">
        <f t="shared" si="1"/>
        <v>0</v>
      </c>
      <c r="E55" s="126"/>
      <c r="F55" s="89">
        <f t="shared" si="4"/>
        <v>0</v>
      </c>
      <c r="G55" s="90"/>
      <c r="H55" s="91"/>
      <c r="I55" s="79"/>
    </row>
    <row r="56" spans="1:10" x14ac:dyDescent="0.25">
      <c r="A56" s="2"/>
      <c r="B56" s="125">
        <v>10</v>
      </c>
      <c r="C56" s="16"/>
      <c r="D56" s="236">
        <f t="shared" si="1"/>
        <v>0</v>
      </c>
      <c r="E56" s="126"/>
      <c r="F56" s="89">
        <f t="shared" si="4"/>
        <v>0</v>
      </c>
      <c r="G56" s="90"/>
      <c r="H56" s="91"/>
      <c r="I56" s="79"/>
    </row>
    <row r="57" spans="1:10" x14ac:dyDescent="0.25">
      <c r="A57" s="2"/>
      <c r="B57" s="125">
        <v>10</v>
      </c>
      <c r="C57" s="16"/>
      <c r="D57" s="236">
        <f t="shared" si="1"/>
        <v>0</v>
      </c>
      <c r="E57" s="126"/>
      <c r="F57" s="89">
        <f t="shared" si="4"/>
        <v>0</v>
      </c>
      <c r="G57" s="90"/>
      <c r="H57" s="91"/>
    </row>
    <row r="58" spans="1:10" x14ac:dyDescent="0.25">
      <c r="A58" s="2"/>
      <c r="B58" s="125">
        <v>10</v>
      </c>
      <c r="C58" s="16"/>
      <c r="D58" s="236">
        <f t="shared" si="1"/>
        <v>0</v>
      </c>
      <c r="E58" s="126"/>
      <c r="F58" s="89">
        <f t="shared" si="4"/>
        <v>0</v>
      </c>
      <c r="G58" s="90"/>
      <c r="H58" s="91"/>
    </row>
    <row r="59" spans="1:10" x14ac:dyDescent="0.25">
      <c r="A59" s="2"/>
      <c r="B59" s="125">
        <v>10</v>
      </c>
      <c r="C59" s="16"/>
      <c r="D59" s="236">
        <f t="shared" si="1"/>
        <v>0</v>
      </c>
      <c r="E59" s="126"/>
      <c r="F59" s="89">
        <f t="shared" si="4"/>
        <v>0</v>
      </c>
      <c r="G59" s="90"/>
      <c r="H59" s="91"/>
    </row>
    <row r="60" spans="1:10" x14ac:dyDescent="0.25">
      <c r="A60" s="2"/>
      <c r="B60" s="125"/>
      <c r="C60" s="16"/>
      <c r="D60" s="236">
        <f t="shared" si="1"/>
        <v>0</v>
      </c>
      <c r="E60" s="126"/>
      <c r="F60" s="89">
        <f t="shared" si="4"/>
        <v>0</v>
      </c>
      <c r="G60" s="90"/>
      <c r="H60" s="91"/>
    </row>
    <row r="61" spans="1:10" ht="15.75" thickBot="1" x14ac:dyDescent="0.3">
      <c r="A61" s="4"/>
      <c r="B61" s="125"/>
      <c r="C61" s="40"/>
      <c r="D61" s="345">
        <f>C61*B30</f>
        <v>0</v>
      </c>
      <c r="E61" s="248"/>
      <c r="F61" s="235">
        <f t="shared" si="4"/>
        <v>0</v>
      </c>
      <c r="G61" s="209"/>
      <c r="H61" s="91"/>
    </row>
    <row r="62" spans="1:10" ht="16.5" thickTop="1" thickBot="1" x14ac:dyDescent="0.3">
      <c r="C62" s="132">
        <f>SUM(C8:C61)</f>
        <v>174</v>
      </c>
      <c r="D62" s="52">
        <f>SUM(D8:D61)</f>
        <v>1740</v>
      </c>
      <c r="E62" s="41"/>
      <c r="F62" s="6">
        <f>SUM(F8:F61)</f>
        <v>1740</v>
      </c>
    </row>
    <row r="63" spans="1:10" ht="15.75" thickBot="1" x14ac:dyDescent="0.3">
      <c r="A63" s="58"/>
      <c r="D63" s="163" t="s">
        <v>4</v>
      </c>
      <c r="E63" s="88">
        <f>F4+F5+F6-+C62</f>
        <v>126</v>
      </c>
      <c r="F63" s="6"/>
    </row>
    <row r="64" spans="1:10" ht="15.75" thickBot="1" x14ac:dyDescent="0.3">
      <c r="A64" s="174"/>
      <c r="D64" s="51"/>
      <c r="F64" s="6"/>
    </row>
    <row r="65" spans="1:6" ht="16.5" thickTop="1" thickBot="1" x14ac:dyDescent="0.3">
      <c r="A65" s="51"/>
      <c r="C65" s="778" t="s">
        <v>11</v>
      </c>
      <c r="D65" s="779"/>
      <c r="E65" s="217">
        <f>E5+E4+E6+-F62</f>
        <v>1260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93" t="s">
        <v>62</v>
      </c>
      <c r="B1" s="793"/>
      <c r="C1" s="793"/>
      <c r="D1" s="793"/>
      <c r="E1" s="793"/>
      <c r="F1" s="793"/>
      <c r="G1" s="793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6"/>
    </row>
    <row r="5" spans="1:9" x14ac:dyDescent="0.25">
      <c r="B5" s="13"/>
      <c r="C5" s="102"/>
      <c r="D5" s="102"/>
      <c r="E5" s="335">
        <v>846.65</v>
      </c>
      <c r="F5" s="97">
        <v>35</v>
      </c>
      <c r="G5" s="89"/>
    </row>
    <row r="6" spans="1:9" ht="15" customHeight="1" x14ac:dyDescent="0.25">
      <c r="A6" s="794" t="s">
        <v>44</v>
      </c>
      <c r="B6" s="97" t="s">
        <v>45</v>
      </c>
      <c r="C6" s="18">
        <v>62</v>
      </c>
      <c r="D6" s="249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94"/>
      <c r="B7" s="334" t="s">
        <v>46</v>
      </c>
      <c r="C7" s="18">
        <v>70</v>
      </c>
      <c r="D7" s="249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9">
        <v>96.16</v>
      </c>
      <c r="E9" s="135">
        <v>42320</v>
      </c>
      <c r="F9" s="89">
        <f t="shared" ref="F9:F20" si="0">D9</f>
        <v>96.16</v>
      </c>
      <c r="G9" s="90" t="s">
        <v>47</v>
      </c>
      <c r="H9" s="91">
        <v>62</v>
      </c>
    </row>
    <row r="10" spans="1:9" x14ac:dyDescent="0.25">
      <c r="B10" s="2"/>
      <c r="C10" s="16">
        <v>50</v>
      </c>
      <c r="D10" s="289">
        <v>301.77999999999997</v>
      </c>
      <c r="E10" s="135">
        <v>42325</v>
      </c>
      <c r="F10" s="89">
        <f t="shared" si="0"/>
        <v>301.77999999999997</v>
      </c>
      <c r="G10" s="90" t="s">
        <v>48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89">
        <v>5.7</v>
      </c>
      <c r="E11" s="135">
        <v>42328</v>
      </c>
      <c r="F11" s="89">
        <f t="shared" si="0"/>
        <v>5.7</v>
      </c>
      <c r="G11" s="90" t="s">
        <v>49</v>
      </c>
      <c r="H11" s="91">
        <v>70</v>
      </c>
    </row>
    <row r="12" spans="1:9" x14ac:dyDescent="0.25">
      <c r="A12" s="127"/>
      <c r="B12" s="2"/>
      <c r="C12" s="16">
        <v>5</v>
      </c>
      <c r="D12" s="289">
        <v>71.08</v>
      </c>
      <c r="E12" s="135">
        <v>42328</v>
      </c>
      <c r="F12" s="89">
        <f t="shared" si="0"/>
        <v>71.08</v>
      </c>
      <c r="G12" s="90" t="s">
        <v>49</v>
      </c>
      <c r="H12" s="91">
        <v>70</v>
      </c>
      <c r="I12" t="s">
        <v>51</v>
      </c>
    </row>
    <row r="13" spans="1:9" x14ac:dyDescent="0.25">
      <c r="B13" s="2"/>
      <c r="C13" s="16">
        <v>2</v>
      </c>
      <c r="D13" s="289">
        <v>24.73</v>
      </c>
      <c r="E13" s="135">
        <v>42334</v>
      </c>
      <c r="F13" s="89">
        <f t="shared" si="0"/>
        <v>24.73</v>
      </c>
      <c r="G13" s="90" t="s">
        <v>50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89">
        <v>26.56</v>
      </c>
      <c r="E14" s="135">
        <v>42334</v>
      </c>
      <c r="F14" s="89">
        <f t="shared" si="0"/>
        <v>26.56</v>
      </c>
      <c r="G14" s="90" t="s">
        <v>50</v>
      </c>
      <c r="H14" s="91">
        <v>70</v>
      </c>
    </row>
    <row r="15" spans="1:9" x14ac:dyDescent="0.25">
      <c r="B15" s="2"/>
      <c r="C15" s="16">
        <v>10</v>
      </c>
      <c r="D15" s="289">
        <v>54.44</v>
      </c>
      <c r="E15" s="135">
        <v>42338</v>
      </c>
      <c r="F15" s="89">
        <f t="shared" si="0"/>
        <v>54.44</v>
      </c>
      <c r="G15" s="90" t="s">
        <v>52</v>
      </c>
      <c r="H15" s="91">
        <v>70</v>
      </c>
    </row>
    <row r="16" spans="1:9" x14ac:dyDescent="0.25">
      <c r="B16" s="2"/>
      <c r="C16" s="16">
        <v>116</v>
      </c>
      <c r="D16" s="252">
        <v>629.05999999999995</v>
      </c>
      <c r="E16" s="253">
        <v>42349</v>
      </c>
      <c r="F16" s="77">
        <f t="shared" si="0"/>
        <v>629.05999999999995</v>
      </c>
      <c r="G16" s="86" t="s">
        <v>55</v>
      </c>
      <c r="H16" s="78">
        <v>70</v>
      </c>
    </row>
    <row r="17" spans="2:8" x14ac:dyDescent="0.25">
      <c r="B17" s="2"/>
      <c r="C17" s="16">
        <v>50</v>
      </c>
      <c r="D17" s="252">
        <v>267.66000000000003</v>
      </c>
      <c r="E17" s="253">
        <v>42352</v>
      </c>
      <c r="F17" s="77">
        <f t="shared" si="0"/>
        <v>267.66000000000003</v>
      </c>
      <c r="G17" s="86" t="s">
        <v>56</v>
      </c>
      <c r="H17" s="78">
        <v>70</v>
      </c>
    </row>
    <row r="18" spans="2:8" x14ac:dyDescent="0.25">
      <c r="B18" s="2"/>
      <c r="C18" s="16">
        <v>10</v>
      </c>
      <c r="D18" s="252">
        <v>54.04</v>
      </c>
      <c r="E18" s="253">
        <v>42353</v>
      </c>
      <c r="F18" s="77">
        <f t="shared" si="0"/>
        <v>54.04</v>
      </c>
      <c r="G18" s="86" t="s">
        <v>57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3">
        <v>42355</v>
      </c>
      <c r="F19" s="77">
        <f t="shared" si="0"/>
        <v>164.86</v>
      </c>
      <c r="G19" s="86" t="s">
        <v>58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3">
        <v>42357</v>
      </c>
      <c r="F20" s="77">
        <f t="shared" si="0"/>
        <v>54.16</v>
      </c>
      <c r="G20" s="86" t="s">
        <v>59</v>
      </c>
      <c r="H20" s="78">
        <v>70</v>
      </c>
    </row>
    <row r="21" spans="2:8" x14ac:dyDescent="0.25">
      <c r="B21" s="2"/>
      <c r="C21" s="16">
        <v>59</v>
      </c>
      <c r="D21" s="252">
        <v>322.2</v>
      </c>
      <c r="E21" s="253">
        <v>42360</v>
      </c>
      <c r="F21" s="77">
        <f t="shared" ref="F21:F32" si="1">D21</f>
        <v>322.2</v>
      </c>
      <c r="G21" s="86" t="s">
        <v>60</v>
      </c>
      <c r="H21" s="78">
        <v>70</v>
      </c>
    </row>
    <row r="22" spans="2:8" x14ac:dyDescent="0.25">
      <c r="B22" s="2"/>
      <c r="C22" s="16"/>
      <c r="D22" s="252"/>
      <c r="E22" s="253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2">
        <v>591.30999999999995</v>
      </c>
      <c r="E23" s="253" t="s">
        <v>63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2"/>
      <c r="E24" s="253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3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3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3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3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3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3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3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3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4"/>
      <c r="F33" s="149"/>
      <c r="G33" s="150"/>
      <c r="H33" s="290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80" t="s">
        <v>19</v>
      </c>
      <c r="D37" s="781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HA1" zoomScaleNormal="100" workbookViewId="0">
      <selection activeCell="HA6" sqref="HA6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4" max="114" width="13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60" t="s">
        <v>144</v>
      </c>
      <c r="L1" s="760"/>
      <c r="M1" s="760"/>
      <c r="N1" s="760"/>
      <c r="O1" s="760"/>
      <c r="P1" s="760"/>
      <c r="Q1" s="760"/>
      <c r="R1" s="12">
        <f>I1+1</f>
        <v>1</v>
      </c>
      <c r="T1" s="760" t="str">
        <f>K1</f>
        <v>ENTRADA DEL MES DE OCTUBRE 2019</v>
      </c>
      <c r="U1" s="760"/>
      <c r="V1" s="760"/>
      <c r="W1" s="760"/>
      <c r="X1" s="760"/>
      <c r="Y1" s="760"/>
      <c r="Z1" s="760"/>
      <c r="AA1" s="12">
        <f>R1+1</f>
        <v>2</v>
      </c>
      <c r="AC1" s="760" t="s">
        <v>144</v>
      </c>
      <c r="AD1" s="760"/>
      <c r="AE1" s="760"/>
      <c r="AF1" s="760"/>
      <c r="AG1" s="760"/>
      <c r="AH1" s="760"/>
      <c r="AI1" s="760"/>
      <c r="AJ1" s="12">
        <f>AA1+1</f>
        <v>3</v>
      </c>
      <c r="AL1" s="760" t="str">
        <f>AC1</f>
        <v>ENTRADA DEL MES DE OCTUBRE 2019</v>
      </c>
      <c r="AM1" s="760"/>
      <c r="AN1" s="760"/>
      <c r="AO1" s="760"/>
      <c r="AP1" s="760"/>
      <c r="AQ1" s="760"/>
      <c r="AR1" s="760"/>
      <c r="AS1" s="12">
        <f>AJ1+1</f>
        <v>4</v>
      </c>
      <c r="AU1" s="760" t="str">
        <f>AL1</f>
        <v>ENTRADA DEL MES DE OCTUBRE 2019</v>
      </c>
      <c r="AV1" s="760"/>
      <c r="AW1" s="760"/>
      <c r="AX1" s="760"/>
      <c r="AY1" s="760"/>
      <c r="AZ1" s="760"/>
      <c r="BA1" s="760"/>
      <c r="BB1" s="12">
        <f>AS1+1</f>
        <v>5</v>
      </c>
      <c r="BD1" s="760" t="str">
        <f>AU1</f>
        <v>ENTRADA DEL MES DE OCTUBRE 2019</v>
      </c>
      <c r="BE1" s="760"/>
      <c r="BF1" s="760"/>
      <c r="BG1" s="760"/>
      <c r="BH1" s="760"/>
      <c r="BI1" s="760"/>
      <c r="BJ1" s="760"/>
      <c r="BK1" s="12">
        <f>BB1+1</f>
        <v>6</v>
      </c>
      <c r="BM1" s="760" t="str">
        <f>BD1</f>
        <v>ENTRADA DEL MES DE OCTUBRE 2019</v>
      </c>
      <c r="BN1" s="760"/>
      <c r="BO1" s="760"/>
      <c r="BP1" s="760"/>
      <c r="BQ1" s="760"/>
      <c r="BR1" s="760"/>
      <c r="BS1" s="760"/>
      <c r="BT1" s="12">
        <f>BK1+1</f>
        <v>7</v>
      </c>
      <c r="BV1" s="760" t="str">
        <f>BM1</f>
        <v>ENTRADA DEL MES DE OCTUBRE 2019</v>
      </c>
      <c r="BW1" s="760"/>
      <c r="BX1" s="760"/>
      <c r="BY1" s="760"/>
      <c r="BZ1" s="760"/>
      <c r="CA1" s="760"/>
      <c r="CB1" s="760"/>
      <c r="CC1" s="12">
        <f>BT1+1</f>
        <v>8</v>
      </c>
      <c r="CE1" s="760" t="str">
        <f>BV1</f>
        <v>ENTRADA DEL MES DE OCTUBRE 2019</v>
      </c>
      <c r="CF1" s="760"/>
      <c r="CG1" s="760"/>
      <c r="CH1" s="760"/>
      <c r="CI1" s="760"/>
      <c r="CJ1" s="760"/>
      <c r="CK1" s="760"/>
      <c r="CL1" s="12">
        <f>CC1+1</f>
        <v>9</v>
      </c>
      <c r="CN1" s="760" t="str">
        <f>CE1</f>
        <v>ENTRADA DEL MES DE OCTUBRE 2019</v>
      </c>
      <c r="CO1" s="760"/>
      <c r="CP1" s="760"/>
      <c r="CQ1" s="760"/>
      <c r="CR1" s="760"/>
      <c r="CS1" s="760"/>
      <c r="CT1" s="760"/>
      <c r="CU1" s="12">
        <f>CL1+1</f>
        <v>10</v>
      </c>
      <c r="CW1" s="760" t="str">
        <f>CN1</f>
        <v>ENTRADA DEL MES DE OCTUBRE 2019</v>
      </c>
      <c r="CX1" s="760"/>
      <c r="CY1" s="760"/>
      <c r="CZ1" s="760"/>
      <c r="DA1" s="760"/>
      <c r="DB1" s="760"/>
      <c r="DC1" s="760"/>
      <c r="DD1" s="12">
        <f>CU1+1</f>
        <v>11</v>
      </c>
      <c r="DF1" s="760" t="str">
        <f>CW1</f>
        <v>ENTRADA DEL MES DE OCTUBRE 2019</v>
      </c>
      <c r="DG1" s="760"/>
      <c r="DH1" s="760"/>
      <c r="DI1" s="760"/>
      <c r="DJ1" s="760"/>
      <c r="DK1" s="760"/>
      <c r="DL1" s="760"/>
      <c r="DM1" s="12">
        <f>DD1+1</f>
        <v>12</v>
      </c>
      <c r="DO1" s="760" t="str">
        <f>DF1</f>
        <v>ENTRADA DEL MES DE OCTUBRE 2019</v>
      </c>
      <c r="DP1" s="760"/>
      <c r="DQ1" s="760"/>
      <c r="DR1" s="760"/>
      <c r="DS1" s="760"/>
      <c r="DT1" s="760"/>
      <c r="DU1" s="760"/>
      <c r="DV1" s="12">
        <f>DM1+1</f>
        <v>13</v>
      </c>
      <c r="DX1" s="760" t="str">
        <f>DO1</f>
        <v>ENTRADA DEL MES DE OCTUBRE 2019</v>
      </c>
      <c r="DY1" s="760"/>
      <c r="DZ1" s="760"/>
      <c r="EA1" s="760"/>
      <c r="EB1" s="760"/>
      <c r="EC1" s="760"/>
      <c r="ED1" s="760"/>
      <c r="EE1" s="12">
        <f>DV1+1</f>
        <v>14</v>
      </c>
      <c r="EG1" s="760" t="str">
        <f>DX1</f>
        <v>ENTRADA DEL MES DE OCTUBRE 2019</v>
      </c>
      <c r="EH1" s="760"/>
      <c r="EI1" s="760"/>
      <c r="EJ1" s="760"/>
      <c r="EK1" s="760"/>
      <c r="EL1" s="760"/>
      <c r="EM1" s="760"/>
      <c r="EN1" s="12">
        <f>EE1+1</f>
        <v>15</v>
      </c>
      <c r="EP1" s="760" t="str">
        <f>EG1</f>
        <v>ENTRADA DEL MES DE OCTUBRE 2019</v>
      </c>
      <c r="EQ1" s="760"/>
      <c r="ER1" s="760"/>
      <c r="ES1" s="760"/>
      <c r="ET1" s="760"/>
      <c r="EU1" s="760"/>
      <c r="EV1" s="760"/>
      <c r="EW1" s="12">
        <f>EN1+1</f>
        <v>16</v>
      </c>
      <c r="EY1" s="760" t="str">
        <f>EP1</f>
        <v>ENTRADA DEL MES DE OCTUBRE 2019</v>
      </c>
      <c r="EZ1" s="760"/>
      <c r="FA1" s="760"/>
      <c r="FB1" s="760"/>
      <c r="FC1" s="760"/>
      <c r="FD1" s="760"/>
      <c r="FE1" s="760"/>
      <c r="FF1" s="12">
        <f>EW1+1</f>
        <v>17</v>
      </c>
      <c r="FH1" s="760" t="str">
        <f>EY1</f>
        <v>ENTRADA DEL MES DE OCTUBRE 2019</v>
      </c>
      <c r="FI1" s="760"/>
      <c r="FJ1" s="760"/>
      <c r="FK1" s="760"/>
      <c r="FL1" s="760"/>
      <c r="FM1" s="760"/>
      <c r="FN1" s="760"/>
      <c r="FO1" s="12">
        <f>FF1+1</f>
        <v>18</v>
      </c>
      <c r="FP1" t="s">
        <v>37</v>
      </c>
      <c r="FQ1" s="760" t="str">
        <f>FH1</f>
        <v>ENTRADA DEL MES DE OCTUBRE 2019</v>
      </c>
      <c r="FR1" s="760"/>
      <c r="FS1" s="760"/>
      <c r="FT1" s="760"/>
      <c r="FU1" s="760"/>
      <c r="FV1" s="760"/>
      <c r="FW1" s="760"/>
      <c r="FX1" s="12">
        <f>FO1+1</f>
        <v>19</v>
      </c>
      <c r="FZ1" s="760" t="str">
        <f>FQ1</f>
        <v>ENTRADA DEL MES DE OCTUBRE 2019</v>
      </c>
      <c r="GA1" s="760"/>
      <c r="GB1" s="760"/>
      <c r="GC1" s="760"/>
      <c r="GD1" s="760"/>
      <c r="GE1" s="760"/>
      <c r="GF1" s="760"/>
      <c r="GG1" s="12">
        <f>FX1+1</f>
        <v>20</v>
      </c>
      <c r="GI1" s="760" t="str">
        <f>FZ1</f>
        <v>ENTRADA DEL MES DE OCTUBRE 2019</v>
      </c>
      <c r="GJ1" s="760"/>
      <c r="GK1" s="760"/>
      <c r="GL1" s="760"/>
      <c r="GM1" s="760"/>
      <c r="GN1" s="760"/>
      <c r="GO1" s="760"/>
      <c r="GP1" s="12">
        <f>GG1+1</f>
        <v>21</v>
      </c>
      <c r="GR1" s="760" t="str">
        <f>GI1</f>
        <v>ENTRADA DEL MES DE OCTUBRE 2019</v>
      </c>
      <c r="GS1" s="760"/>
      <c r="GT1" s="760"/>
      <c r="GU1" s="760"/>
      <c r="GV1" s="760"/>
      <c r="GW1" s="760"/>
      <c r="GX1" s="760"/>
      <c r="GY1" s="12">
        <f>GP1+1</f>
        <v>22</v>
      </c>
      <c r="HA1" s="760" t="str">
        <f>GR1</f>
        <v>ENTRADA DEL MES DE OCTUBRE 2019</v>
      </c>
      <c r="HB1" s="760"/>
      <c r="HC1" s="760"/>
      <c r="HD1" s="760"/>
      <c r="HE1" s="760"/>
      <c r="HF1" s="760"/>
      <c r="HG1" s="760"/>
      <c r="HH1" s="12">
        <f>GY1+1</f>
        <v>23</v>
      </c>
      <c r="HJ1" s="760" t="str">
        <f>HA1</f>
        <v>ENTRADA DEL MES DE OCTUBRE 2019</v>
      </c>
      <c r="HK1" s="760"/>
      <c r="HL1" s="760"/>
      <c r="HM1" s="760"/>
      <c r="HN1" s="760"/>
      <c r="HO1" s="760"/>
      <c r="HP1" s="760"/>
      <c r="HQ1" s="12">
        <f>HH1+1</f>
        <v>24</v>
      </c>
      <c r="HS1" s="760" t="str">
        <f>HJ1</f>
        <v>ENTRADA DEL MES DE OCTUBRE 2019</v>
      </c>
      <c r="HT1" s="760"/>
      <c r="HU1" s="760"/>
      <c r="HV1" s="760"/>
      <c r="HW1" s="760"/>
      <c r="HX1" s="760"/>
      <c r="HY1" s="760"/>
      <c r="HZ1" s="12">
        <f>HQ1+1</f>
        <v>25</v>
      </c>
      <c r="IB1" s="760" t="str">
        <f>HS1</f>
        <v>ENTRADA DEL MES DE OCTUBRE 2019</v>
      </c>
      <c r="IC1" s="760"/>
      <c r="ID1" s="760"/>
      <c r="IE1" s="760"/>
      <c r="IF1" s="760"/>
      <c r="IG1" s="760"/>
      <c r="IH1" s="760"/>
      <c r="II1" s="12">
        <f>HZ1+1</f>
        <v>26</v>
      </c>
      <c r="IK1" s="760" t="str">
        <f>IB1</f>
        <v>ENTRADA DEL MES DE OCTUBRE 2019</v>
      </c>
      <c r="IL1" s="760"/>
      <c r="IM1" s="760"/>
      <c r="IN1" s="760"/>
      <c r="IO1" s="760"/>
      <c r="IP1" s="760"/>
      <c r="IQ1" s="760"/>
      <c r="IR1" s="12">
        <f>II1+1</f>
        <v>27</v>
      </c>
      <c r="IT1" s="760" t="str">
        <f>IK1</f>
        <v>ENTRADA DEL MES DE OCTUBRE 2019</v>
      </c>
      <c r="IU1" s="760"/>
      <c r="IV1" s="760"/>
      <c r="IW1" s="760"/>
      <c r="IX1" s="760"/>
      <c r="IY1" s="760"/>
      <c r="IZ1" s="760"/>
      <c r="JA1" s="12">
        <f>IR1+1</f>
        <v>28</v>
      </c>
      <c r="JC1" s="760" t="str">
        <f>IT1</f>
        <v>ENTRADA DEL MES DE OCTUBRE 2019</v>
      </c>
      <c r="JD1" s="760"/>
      <c r="JE1" s="760"/>
      <c r="JF1" s="760"/>
      <c r="JG1" s="760"/>
      <c r="JH1" s="760"/>
      <c r="JI1" s="760"/>
      <c r="JJ1" s="12">
        <f>JA1+1</f>
        <v>29</v>
      </c>
      <c r="JL1" s="760" t="str">
        <f>JC1</f>
        <v>ENTRADA DEL MES DE OCTUBRE 2019</v>
      </c>
      <c r="JM1" s="760"/>
      <c r="JN1" s="760"/>
      <c r="JO1" s="760"/>
      <c r="JP1" s="760"/>
      <c r="JQ1" s="760"/>
      <c r="JR1" s="760"/>
      <c r="JS1" s="12">
        <f>JJ1+1</f>
        <v>30</v>
      </c>
      <c r="JU1" s="760" t="str">
        <f>JL1</f>
        <v>ENTRADA DEL MES DE OCTUBRE 2019</v>
      </c>
      <c r="JV1" s="760"/>
      <c r="JW1" s="760"/>
      <c r="JX1" s="760"/>
      <c r="JY1" s="760"/>
      <c r="JZ1" s="760"/>
      <c r="KA1" s="760"/>
      <c r="KB1" s="12">
        <f>JS1+1</f>
        <v>31</v>
      </c>
      <c r="KD1" s="760" t="str">
        <f>JU1</f>
        <v>ENTRADA DEL MES DE OCTUBRE 2019</v>
      </c>
      <c r="KE1" s="760"/>
      <c r="KF1" s="760"/>
      <c r="KG1" s="760"/>
      <c r="KH1" s="760"/>
      <c r="KI1" s="760"/>
      <c r="KJ1" s="760"/>
      <c r="KK1" s="12">
        <f>KB1+1</f>
        <v>32</v>
      </c>
      <c r="KM1" s="760" t="str">
        <f>KD1</f>
        <v>ENTRADA DEL MES DE OCTUBRE 2019</v>
      </c>
      <c r="KN1" s="760"/>
      <c r="KO1" s="760"/>
      <c r="KP1" s="760"/>
      <c r="KQ1" s="760"/>
      <c r="KR1" s="760"/>
      <c r="KS1" s="760"/>
      <c r="KT1" s="12">
        <f>KK1+1</f>
        <v>33</v>
      </c>
      <c r="KV1" s="760" t="str">
        <f>KM1</f>
        <v>ENTRADA DEL MES DE OCTUBRE 2019</v>
      </c>
      <c r="KW1" s="760"/>
      <c r="KX1" s="760"/>
      <c r="KY1" s="760"/>
      <c r="KZ1" s="760"/>
      <c r="LA1" s="760"/>
      <c r="LB1" s="760"/>
      <c r="LC1" s="12">
        <f>KT1+1</f>
        <v>34</v>
      </c>
      <c r="LE1" s="760" t="str">
        <f>KV1</f>
        <v>ENTRADA DEL MES DE OCTUBRE 2019</v>
      </c>
      <c r="LF1" s="760"/>
      <c r="LG1" s="760"/>
      <c r="LH1" s="760"/>
      <c r="LI1" s="760"/>
      <c r="LJ1" s="760"/>
      <c r="LK1" s="760"/>
      <c r="LL1" s="12">
        <f>LC1+1</f>
        <v>35</v>
      </c>
      <c r="LN1" s="760" t="str">
        <f>LE1</f>
        <v>ENTRADA DEL MES DE OCTUBRE 2019</v>
      </c>
      <c r="LO1" s="760"/>
      <c r="LP1" s="760"/>
      <c r="LQ1" s="760"/>
      <c r="LR1" s="760"/>
      <c r="LS1" s="760"/>
      <c r="LT1" s="760"/>
      <c r="LU1" s="12">
        <f>LL1+1</f>
        <v>36</v>
      </c>
      <c r="LW1" s="760" t="str">
        <f>LN1</f>
        <v>ENTRADA DEL MES DE OCTUBRE 2019</v>
      </c>
      <c r="LX1" s="760"/>
      <c r="LY1" s="760"/>
      <c r="LZ1" s="760"/>
      <c r="MA1" s="760"/>
      <c r="MB1" s="760"/>
      <c r="MC1" s="760"/>
      <c r="MD1" s="12">
        <f>LU1+1</f>
        <v>37</v>
      </c>
      <c r="MF1" s="760" t="str">
        <f>LW1</f>
        <v>ENTRADA DEL MES DE OCTUBRE 2019</v>
      </c>
      <c r="MG1" s="760"/>
      <c r="MH1" s="760"/>
      <c r="MI1" s="760"/>
      <c r="MJ1" s="760"/>
      <c r="MK1" s="760"/>
      <c r="ML1" s="760"/>
      <c r="MM1" s="12">
        <f>MD1+1</f>
        <v>38</v>
      </c>
      <c r="MO1" s="760" t="str">
        <f>MF1</f>
        <v>ENTRADA DEL MES DE OCTUBRE 2019</v>
      </c>
      <c r="MP1" s="760"/>
      <c r="MQ1" s="760"/>
      <c r="MR1" s="760"/>
      <c r="MS1" s="760"/>
      <c r="MT1" s="760"/>
      <c r="MU1" s="760"/>
      <c r="MV1" s="12">
        <f>MM1+1</f>
        <v>39</v>
      </c>
      <c r="MX1" s="760" t="str">
        <f>MO1</f>
        <v>ENTRADA DEL MES DE OCTUBRE 2019</v>
      </c>
      <c r="MY1" s="760"/>
      <c r="MZ1" s="760"/>
      <c r="NA1" s="760"/>
      <c r="NB1" s="760"/>
      <c r="NC1" s="760"/>
      <c r="ND1" s="760"/>
      <c r="NE1" s="12">
        <f>MV1+1</f>
        <v>40</v>
      </c>
      <c r="NG1" s="760" t="str">
        <f>MX1</f>
        <v>ENTRADA DEL MES DE OCTUBRE 2019</v>
      </c>
      <c r="NH1" s="760"/>
      <c r="NI1" s="760"/>
      <c r="NJ1" s="760"/>
      <c r="NK1" s="760"/>
      <c r="NL1" s="760"/>
      <c r="NM1" s="760"/>
      <c r="NN1" s="12">
        <f>NE1+1</f>
        <v>41</v>
      </c>
      <c r="NP1" s="760" t="str">
        <f>NG1</f>
        <v>ENTRADA DEL MES DE OCTUBRE 2019</v>
      </c>
      <c r="NQ1" s="760"/>
      <c r="NR1" s="760"/>
      <c r="NS1" s="760"/>
      <c r="NT1" s="760"/>
      <c r="NU1" s="760"/>
      <c r="NV1" s="760"/>
      <c r="NW1" s="12">
        <f>NN1+1</f>
        <v>42</v>
      </c>
      <c r="NY1" s="760" t="str">
        <f>NP1</f>
        <v>ENTRADA DEL MES DE OCTUBRE 2019</v>
      </c>
      <c r="NZ1" s="760"/>
      <c r="OA1" s="760"/>
      <c r="OB1" s="760"/>
      <c r="OC1" s="760"/>
      <c r="OD1" s="760"/>
      <c r="OE1" s="760"/>
      <c r="OF1" s="12">
        <f>NW1+1</f>
        <v>43</v>
      </c>
      <c r="OH1" s="760" t="str">
        <f>NY1</f>
        <v>ENTRADA DEL MES DE OCTUBRE 2019</v>
      </c>
      <c r="OI1" s="760"/>
      <c r="OJ1" s="760"/>
      <c r="OK1" s="760"/>
      <c r="OL1" s="760"/>
      <c r="OM1" s="760"/>
      <c r="ON1" s="760"/>
      <c r="OO1" s="12">
        <f>OF1+1</f>
        <v>44</v>
      </c>
      <c r="OQ1" s="760" t="str">
        <f>OH1</f>
        <v>ENTRADA DEL MES DE OCTUBRE 2019</v>
      </c>
      <c r="OR1" s="760"/>
      <c r="OS1" s="760"/>
      <c r="OT1" s="760"/>
      <c r="OU1" s="760"/>
      <c r="OV1" s="760"/>
      <c r="OW1" s="760"/>
      <c r="OX1" s="12">
        <f>OO1+1</f>
        <v>45</v>
      </c>
      <c r="OZ1" s="760" t="str">
        <f>OQ1</f>
        <v>ENTRADA DEL MES DE OCTUBRE 2019</v>
      </c>
      <c r="PA1" s="760"/>
      <c r="PB1" s="760"/>
      <c r="PC1" s="760"/>
      <c r="PD1" s="760"/>
      <c r="PE1" s="760"/>
      <c r="PF1" s="760"/>
      <c r="PG1" s="12">
        <f>OX1+1</f>
        <v>46</v>
      </c>
      <c r="PI1" s="760" t="str">
        <f>OZ1</f>
        <v>ENTRADA DEL MES DE OCTUBRE 2019</v>
      </c>
      <c r="PJ1" s="760"/>
      <c r="PK1" s="760"/>
      <c r="PL1" s="760"/>
      <c r="PM1" s="760"/>
      <c r="PN1" s="760"/>
      <c r="PO1" s="760"/>
      <c r="PP1" s="12">
        <f>PG1+1</f>
        <v>47</v>
      </c>
      <c r="PR1" s="760" t="str">
        <f>PI1</f>
        <v>ENTRADA DEL MES DE OCTUBRE 2019</v>
      </c>
      <c r="PS1" s="760"/>
      <c r="PT1" s="760"/>
      <c r="PU1" s="760"/>
      <c r="PV1" s="760"/>
      <c r="PW1" s="760"/>
      <c r="PX1" s="760"/>
      <c r="PY1" s="12">
        <f>PP1+1</f>
        <v>48</v>
      </c>
      <c r="QA1" s="760" t="str">
        <f>PR1</f>
        <v>ENTRADA DEL MES DE OCTUBRE 2019</v>
      </c>
      <c r="QB1" s="760"/>
      <c r="QC1" s="760"/>
      <c r="QD1" s="760"/>
      <c r="QE1" s="760"/>
      <c r="QF1" s="760"/>
      <c r="QG1" s="760"/>
      <c r="QH1" s="12">
        <f>PY1+1</f>
        <v>49</v>
      </c>
      <c r="QJ1" s="760" t="str">
        <f>QA1</f>
        <v>ENTRADA DEL MES DE OCTUBRE 2019</v>
      </c>
      <c r="QK1" s="760"/>
      <c r="QL1" s="760"/>
      <c r="QM1" s="760"/>
      <c r="QN1" s="760"/>
      <c r="QO1" s="760"/>
      <c r="QP1" s="760"/>
      <c r="QQ1" s="12">
        <f>QH1+1</f>
        <v>50</v>
      </c>
      <c r="QS1" s="760" t="str">
        <f>QJ1</f>
        <v>ENTRADA DEL MES DE OCTUBRE 2019</v>
      </c>
      <c r="QT1" s="760"/>
      <c r="QU1" s="760"/>
      <c r="QV1" s="760"/>
      <c r="QW1" s="760"/>
      <c r="QX1" s="760"/>
      <c r="QY1" s="760"/>
      <c r="QZ1" s="12">
        <f>QQ1+1</f>
        <v>51</v>
      </c>
      <c r="RB1" s="760" t="str">
        <f>QS1</f>
        <v>ENTRADA DEL MES DE OCTUBRE 2019</v>
      </c>
      <c r="RC1" s="760"/>
      <c r="RD1" s="760"/>
      <c r="RE1" s="760"/>
      <c r="RF1" s="760"/>
      <c r="RG1" s="760"/>
      <c r="RH1" s="760"/>
      <c r="RI1" s="12">
        <f>QZ1+1</f>
        <v>52</v>
      </c>
      <c r="RK1" s="760" t="str">
        <f>RB1</f>
        <v>ENTRADA DEL MES DE OCTUBRE 2019</v>
      </c>
      <c r="RL1" s="760"/>
      <c r="RM1" s="760"/>
      <c r="RN1" s="760"/>
      <c r="RO1" s="760"/>
      <c r="RP1" s="760"/>
      <c r="RQ1" s="760"/>
      <c r="RR1" s="12">
        <f>RI1+1</f>
        <v>53</v>
      </c>
      <c r="RT1" s="760" t="str">
        <f>RK1</f>
        <v>ENTRADA DEL MES DE OCTUBRE 2019</v>
      </c>
      <c r="RU1" s="760"/>
      <c r="RV1" s="760"/>
      <c r="RW1" s="760"/>
      <c r="RX1" s="760"/>
      <c r="RY1" s="760"/>
      <c r="RZ1" s="760"/>
      <c r="SA1" s="12">
        <f>RR1+1</f>
        <v>54</v>
      </c>
      <c r="SC1" s="760" t="str">
        <f>RT1</f>
        <v>ENTRADA DEL MES DE OCTUBRE 2019</v>
      </c>
      <c r="SD1" s="760"/>
      <c r="SE1" s="760"/>
      <c r="SF1" s="760"/>
      <c r="SG1" s="760"/>
      <c r="SH1" s="760"/>
      <c r="SI1" s="760"/>
      <c r="SJ1" s="12">
        <f>SA1+1</f>
        <v>55</v>
      </c>
      <c r="SL1" s="760" t="str">
        <f>SC1</f>
        <v>ENTRADA DEL MES DE OCTUBRE 2019</v>
      </c>
      <c r="SM1" s="760"/>
      <c r="SN1" s="760"/>
      <c r="SO1" s="760"/>
      <c r="SP1" s="760"/>
      <c r="SQ1" s="760"/>
      <c r="SR1" s="760"/>
      <c r="SS1" s="12">
        <f>SJ1+1</f>
        <v>56</v>
      </c>
      <c r="SU1" s="760" t="str">
        <f>SL1</f>
        <v>ENTRADA DEL MES DE OCTUBRE 2019</v>
      </c>
      <c r="SV1" s="760"/>
      <c r="SW1" s="760"/>
      <c r="SX1" s="760"/>
      <c r="SY1" s="760"/>
      <c r="SZ1" s="760"/>
      <c r="TA1" s="760"/>
      <c r="TB1" s="12">
        <f>SS1+1</f>
        <v>57</v>
      </c>
      <c r="TD1" s="760" t="str">
        <f>SU1</f>
        <v>ENTRADA DEL MES DE OCTUBRE 2019</v>
      </c>
      <c r="TE1" s="760"/>
      <c r="TF1" s="760"/>
      <c r="TG1" s="760"/>
      <c r="TH1" s="760"/>
      <c r="TI1" s="760"/>
      <c r="TJ1" s="760"/>
      <c r="TK1" s="12">
        <f>TB1+1</f>
        <v>58</v>
      </c>
      <c r="TM1" s="760" t="str">
        <f>TD1</f>
        <v>ENTRADA DEL MES DE OCTUBRE 2019</v>
      </c>
      <c r="TN1" s="760"/>
      <c r="TO1" s="760"/>
      <c r="TP1" s="760"/>
      <c r="TQ1" s="760"/>
      <c r="TR1" s="760"/>
      <c r="TS1" s="760"/>
      <c r="TT1" s="12">
        <f>TK1+1</f>
        <v>59</v>
      </c>
      <c r="TV1" s="760" t="str">
        <f>TM1</f>
        <v>ENTRADA DEL MES DE OCTUBRE 2019</v>
      </c>
      <c r="TW1" s="760"/>
      <c r="TX1" s="760"/>
      <c r="TY1" s="760"/>
      <c r="TZ1" s="760"/>
      <c r="UA1" s="760"/>
      <c r="UB1" s="760"/>
      <c r="UC1" s="12">
        <f>TT1+1</f>
        <v>60</v>
      </c>
      <c r="UE1" s="760" t="str">
        <f>TV1</f>
        <v>ENTRADA DEL MES DE OCTUBRE 2019</v>
      </c>
      <c r="UF1" s="760"/>
      <c r="UG1" s="760"/>
      <c r="UH1" s="760"/>
      <c r="UI1" s="760"/>
      <c r="UJ1" s="760"/>
      <c r="UK1" s="760"/>
      <c r="UL1" s="12">
        <f>UC1+1</f>
        <v>61</v>
      </c>
      <c r="UN1" s="760" t="str">
        <f>UE1</f>
        <v>ENTRADA DEL MES DE OCTUBRE 2019</v>
      </c>
      <c r="UO1" s="760"/>
      <c r="UP1" s="760"/>
      <c r="UQ1" s="760"/>
      <c r="UR1" s="760"/>
      <c r="US1" s="760"/>
      <c r="UT1" s="760"/>
      <c r="UU1" s="12">
        <f>UL1+1</f>
        <v>62</v>
      </c>
      <c r="UW1" s="760" t="str">
        <f>UN1</f>
        <v>ENTRADA DEL MES DE OCTUBRE 2019</v>
      </c>
      <c r="UX1" s="760"/>
      <c r="UY1" s="760"/>
      <c r="UZ1" s="760"/>
      <c r="VA1" s="760"/>
      <c r="VB1" s="760"/>
      <c r="VC1" s="760"/>
      <c r="VD1" s="12">
        <f>UU1+1</f>
        <v>63</v>
      </c>
      <c r="VF1" s="760" t="str">
        <f>UW1</f>
        <v>ENTRADA DEL MES DE OCTUBRE 2019</v>
      </c>
      <c r="VG1" s="760"/>
      <c r="VH1" s="760"/>
      <c r="VI1" s="760"/>
      <c r="VJ1" s="760"/>
      <c r="VK1" s="760"/>
      <c r="VL1" s="760"/>
      <c r="VM1" s="12">
        <f>VD1+1</f>
        <v>64</v>
      </c>
      <c r="VO1" s="760" t="str">
        <f>VF1</f>
        <v>ENTRADA DEL MES DE OCTUBRE 2019</v>
      </c>
      <c r="VP1" s="760"/>
      <c r="VQ1" s="760"/>
      <c r="VR1" s="760"/>
      <c r="VS1" s="760"/>
      <c r="VT1" s="760"/>
      <c r="VU1" s="760"/>
      <c r="VV1" s="12">
        <f>VM1+1</f>
        <v>65</v>
      </c>
      <c r="VX1" s="760" t="str">
        <f>VO1</f>
        <v>ENTRADA DEL MES DE OCTUBRE 2019</v>
      </c>
      <c r="VY1" s="760"/>
      <c r="VZ1" s="760"/>
      <c r="WA1" s="760"/>
      <c r="WB1" s="760"/>
      <c r="WC1" s="760"/>
      <c r="WD1" s="760"/>
      <c r="WE1" s="12">
        <f>VV1+1</f>
        <v>66</v>
      </c>
      <c r="WG1" s="760" t="str">
        <f>VX1</f>
        <v>ENTRADA DEL MES DE OCTUBRE 2019</v>
      </c>
      <c r="WH1" s="760"/>
      <c r="WI1" s="760"/>
      <c r="WJ1" s="760"/>
      <c r="WK1" s="760"/>
      <c r="WL1" s="760"/>
      <c r="WM1" s="760"/>
      <c r="WN1" s="12">
        <f>WE1+1</f>
        <v>67</v>
      </c>
      <c r="WP1" s="760" t="str">
        <f>WG1</f>
        <v>ENTRADA DEL MES DE OCTUBRE 2019</v>
      </c>
      <c r="WQ1" s="760"/>
      <c r="WR1" s="760"/>
      <c r="WS1" s="760"/>
      <c r="WT1" s="760"/>
      <c r="WU1" s="760"/>
      <c r="WV1" s="760"/>
      <c r="WW1" s="12">
        <f>WN1+1</f>
        <v>68</v>
      </c>
      <c r="WY1" s="760" t="str">
        <f>WP1</f>
        <v>ENTRADA DEL MES DE OCTUBRE 2019</v>
      </c>
      <c r="WZ1" s="760"/>
      <c r="XA1" s="760"/>
      <c r="XB1" s="760"/>
      <c r="XC1" s="760"/>
      <c r="XD1" s="760"/>
      <c r="XE1" s="760"/>
      <c r="XF1" s="12">
        <f>WW1+1</f>
        <v>69</v>
      </c>
      <c r="XH1" s="760" t="str">
        <f>WY1</f>
        <v>ENTRADA DEL MES DE OCTUBRE 2019</v>
      </c>
      <c r="XI1" s="760"/>
      <c r="XJ1" s="760"/>
      <c r="XK1" s="760"/>
      <c r="XL1" s="760"/>
      <c r="XM1" s="760"/>
      <c r="XN1" s="760"/>
      <c r="XO1" s="12">
        <f>XF1+1</f>
        <v>70</v>
      </c>
      <c r="XQ1" s="760" t="str">
        <f>XH1</f>
        <v>ENTRADA DEL MES DE OCTUBRE 2019</v>
      </c>
      <c r="XR1" s="760"/>
      <c r="XS1" s="760"/>
      <c r="XT1" s="760"/>
      <c r="XU1" s="760"/>
      <c r="XV1" s="760"/>
      <c r="XW1" s="760"/>
      <c r="XX1" s="12">
        <f>XO1+1</f>
        <v>71</v>
      </c>
      <c r="XZ1" s="760" t="str">
        <f>XQ1</f>
        <v>ENTRADA DEL MES DE OCTUBRE 2019</v>
      </c>
      <c r="YA1" s="760"/>
      <c r="YB1" s="760"/>
      <c r="YC1" s="760"/>
      <c r="YD1" s="760"/>
      <c r="YE1" s="760"/>
      <c r="YF1" s="760"/>
      <c r="YG1" s="12">
        <f>XX1+1</f>
        <v>72</v>
      </c>
      <c r="YI1" s="760" t="str">
        <f>XZ1</f>
        <v>ENTRADA DEL MES DE OCTUBRE 2019</v>
      </c>
      <c r="YJ1" s="760"/>
      <c r="YK1" s="760"/>
      <c r="YL1" s="760"/>
      <c r="YM1" s="760"/>
      <c r="YN1" s="760"/>
      <c r="YO1" s="760"/>
      <c r="YP1" s="12">
        <f>YG1+1</f>
        <v>73</v>
      </c>
      <c r="YR1" s="760" t="str">
        <f>YI1</f>
        <v>ENTRADA DEL MES DE OCTUBRE 2019</v>
      </c>
      <c r="YS1" s="760"/>
      <c r="YT1" s="760"/>
      <c r="YU1" s="760"/>
      <c r="YV1" s="760"/>
      <c r="YW1" s="760"/>
      <c r="YX1" s="760"/>
      <c r="YY1" s="12">
        <f>YP1+1</f>
        <v>74</v>
      </c>
      <c r="ZA1" s="760" t="str">
        <f>YR1</f>
        <v>ENTRADA DEL MES DE OCTUBRE 2019</v>
      </c>
      <c r="ZB1" s="760"/>
      <c r="ZC1" s="760"/>
      <c r="ZD1" s="760"/>
      <c r="ZE1" s="760"/>
      <c r="ZF1" s="760"/>
      <c r="ZG1" s="760"/>
      <c r="ZH1" s="12">
        <f>YY1+1</f>
        <v>75</v>
      </c>
      <c r="ZJ1" s="760" t="str">
        <f>ZA1</f>
        <v>ENTRADA DEL MES DE OCTUBRE 2019</v>
      </c>
      <c r="ZK1" s="760"/>
      <c r="ZL1" s="760"/>
      <c r="ZM1" s="760"/>
      <c r="ZN1" s="760"/>
      <c r="ZO1" s="760"/>
      <c r="ZP1" s="760"/>
      <c r="ZQ1" s="12">
        <f>ZH1+1</f>
        <v>76</v>
      </c>
      <c r="ZS1" s="760" t="str">
        <f>ZJ1</f>
        <v>ENTRADA DEL MES DE OCTUBRE 2019</v>
      </c>
      <c r="ZT1" s="760"/>
      <c r="ZU1" s="760"/>
      <c r="ZV1" s="760"/>
      <c r="ZW1" s="760"/>
      <c r="ZX1" s="760"/>
      <c r="ZY1" s="760"/>
      <c r="ZZ1" s="12">
        <f>ZQ1+1</f>
        <v>77</v>
      </c>
      <c r="AAB1" s="760" t="str">
        <f>ZS1</f>
        <v>ENTRADA DEL MES DE OCTUBRE 2019</v>
      </c>
      <c r="AAC1" s="760"/>
      <c r="AAD1" s="760"/>
      <c r="AAE1" s="760"/>
      <c r="AAF1" s="760"/>
      <c r="AAG1" s="760"/>
      <c r="AAH1" s="760"/>
      <c r="AAI1" s="12">
        <f>ZZ1+1</f>
        <v>78</v>
      </c>
      <c r="AAK1" s="760" t="str">
        <f>AAB1</f>
        <v>ENTRADA DEL MES DE OCTUBRE 2019</v>
      </c>
      <c r="AAL1" s="760"/>
      <c r="AAM1" s="760"/>
      <c r="AAN1" s="760"/>
      <c r="AAO1" s="760"/>
      <c r="AAP1" s="760"/>
      <c r="AAQ1" s="760"/>
      <c r="AAR1" s="12">
        <f>AAI1+1</f>
        <v>79</v>
      </c>
      <c r="AAT1" s="760" t="str">
        <f>AAK1</f>
        <v>ENTRADA DEL MES DE OCTUBRE 2019</v>
      </c>
      <c r="AAU1" s="760"/>
      <c r="AAV1" s="760"/>
      <c r="AAW1" s="760"/>
      <c r="AAX1" s="760"/>
      <c r="AAY1" s="760"/>
      <c r="AAZ1" s="760"/>
      <c r="ABA1" s="12">
        <f>AAR1+1</f>
        <v>80</v>
      </c>
      <c r="ABC1" s="760" t="str">
        <f>AAT1</f>
        <v>ENTRADA DEL MES DE OCTUBRE 2019</v>
      </c>
      <c r="ABD1" s="760"/>
      <c r="ABE1" s="760"/>
      <c r="ABF1" s="760"/>
      <c r="ABG1" s="760"/>
      <c r="ABH1" s="760"/>
      <c r="ABI1" s="760"/>
      <c r="ABJ1" s="12">
        <f>ABA1+1</f>
        <v>81</v>
      </c>
      <c r="ABL1" s="760" t="str">
        <f>ABC1</f>
        <v>ENTRADA DEL MES DE OCTUBRE 2019</v>
      </c>
      <c r="ABM1" s="760"/>
      <c r="ABN1" s="760"/>
      <c r="ABO1" s="760"/>
      <c r="ABP1" s="760"/>
      <c r="ABQ1" s="760"/>
      <c r="ABR1" s="760"/>
      <c r="ABS1" s="12">
        <f>ABJ1+1</f>
        <v>82</v>
      </c>
      <c r="ABU1" s="760" t="str">
        <f>ABL1</f>
        <v>ENTRADA DEL MES DE OCTUBRE 2019</v>
      </c>
      <c r="ABV1" s="760"/>
      <c r="ABW1" s="760"/>
      <c r="ABX1" s="760"/>
      <c r="ABY1" s="760"/>
      <c r="ABZ1" s="760"/>
      <c r="ACA1" s="760"/>
      <c r="ACB1" s="12">
        <f>ABS1+1</f>
        <v>83</v>
      </c>
      <c r="ACD1" s="760" t="str">
        <f>ABU1</f>
        <v>ENTRADA DEL MES DE OCTUBRE 2019</v>
      </c>
      <c r="ACE1" s="760"/>
      <c r="ACF1" s="760"/>
      <c r="ACG1" s="760"/>
      <c r="ACH1" s="760"/>
      <c r="ACI1" s="760"/>
      <c r="ACJ1" s="760"/>
      <c r="ACK1" s="12">
        <f>ACB1+1</f>
        <v>84</v>
      </c>
      <c r="ACM1" s="760" t="str">
        <f>ACD1</f>
        <v>ENTRADA DEL MES DE OCTUBRE 2019</v>
      </c>
      <c r="ACN1" s="760"/>
      <c r="ACO1" s="760"/>
      <c r="ACP1" s="760"/>
      <c r="ACQ1" s="760"/>
      <c r="ACR1" s="760"/>
      <c r="ACS1" s="760"/>
      <c r="ACT1" s="12">
        <f>ACK1+1</f>
        <v>85</v>
      </c>
      <c r="ACV1" s="760" t="str">
        <f>ACM1</f>
        <v>ENTRADA DEL MES DE OCTUBRE 2019</v>
      </c>
      <c r="ACW1" s="760"/>
      <c r="ACX1" s="760"/>
      <c r="ACY1" s="760"/>
      <c r="ACZ1" s="760"/>
      <c r="ADA1" s="760"/>
      <c r="ADB1" s="760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SMITHFIELD FARMLAND</v>
      </c>
      <c r="C4" s="438" t="str">
        <f t="shared" ref="C4:I4" si="0">L5</f>
        <v>Smithfield</v>
      </c>
      <c r="D4" s="640" t="str">
        <f t="shared" si="0"/>
        <v>PED. 43121642</v>
      </c>
      <c r="E4" s="124">
        <f t="shared" si="0"/>
        <v>43746</v>
      </c>
      <c r="F4" s="58">
        <f t="shared" si="0"/>
        <v>19123.919999999998</v>
      </c>
      <c r="G4" s="13">
        <f t="shared" si="0"/>
        <v>20</v>
      </c>
      <c r="H4" s="52">
        <f t="shared" si="0"/>
        <v>18880.75</v>
      </c>
      <c r="I4" s="6">
        <f t="shared" si="0"/>
        <v>243.16999999999825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85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639"/>
      <c r="IU4" t="s">
        <v>23</v>
      </c>
      <c r="IX4" t="s">
        <v>89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50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50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SMITHFIED FARMLAND</v>
      </c>
      <c r="C5" s="102" t="str">
        <f t="shared" si="1"/>
        <v>Smithfield</v>
      </c>
      <c r="D5" s="148" t="str">
        <f t="shared" si="1"/>
        <v>PED. 43121643</v>
      </c>
      <c r="E5" s="204">
        <f t="shared" si="1"/>
        <v>43746</v>
      </c>
      <c r="F5" s="128">
        <f t="shared" si="1"/>
        <v>19024.23</v>
      </c>
      <c r="G5" s="97">
        <f t="shared" si="1"/>
        <v>20</v>
      </c>
      <c r="H5" s="52">
        <f t="shared" si="1"/>
        <v>19125.64</v>
      </c>
      <c r="I5" s="154">
        <f t="shared" si="1"/>
        <v>-101.40999999999985</v>
      </c>
      <c r="K5" s="440" t="s">
        <v>170</v>
      </c>
      <c r="L5" s="676" t="s">
        <v>171</v>
      </c>
      <c r="M5" s="442" t="s">
        <v>172</v>
      </c>
      <c r="N5" s="443">
        <v>43746</v>
      </c>
      <c r="O5" s="444">
        <v>19123.919999999998</v>
      </c>
      <c r="P5" s="441">
        <v>20</v>
      </c>
      <c r="Q5" s="682">
        <v>18880.75</v>
      </c>
      <c r="R5" s="208">
        <f>O5-Q5</f>
        <v>243.16999999999825</v>
      </c>
      <c r="T5" s="440" t="s">
        <v>173</v>
      </c>
      <c r="U5" s="676" t="s">
        <v>171</v>
      </c>
      <c r="V5" s="442" t="s">
        <v>174</v>
      </c>
      <c r="W5" s="443">
        <v>43746</v>
      </c>
      <c r="X5" s="444">
        <v>19024.23</v>
      </c>
      <c r="Y5" s="441">
        <v>20</v>
      </c>
      <c r="Z5" s="682">
        <v>19125.64</v>
      </c>
      <c r="AA5" s="208">
        <f>X5-Z5</f>
        <v>-101.40999999999985</v>
      </c>
      <c r="AB5" s="440"/>
      <c r="AC5" s="440" t="s">
        <v>175</v>
      </c>
      <c r="AD5" s="677" t="s">
        <v>176</v>
      </c>
      <c r="AE5" s="445" t="s">
        <v>177</v>
      </c>
      <c r="AF5" s="443">
        <v>43746</v>
      </c>
      <c r="AG5" s="444">
        <v>17894.46</v>
      </c>
      <c r="AH5" s="441">
        <v>20</v>
      </c>
      <c r="AI5" s="682">
        <v>17968</v>
      </c>
      <c r="AJ5" s="208">
        <f>AG5-AI5</f>
        <v>-73.540000000000873</v>
      </c>
      <c r="AK5" s="440"/>
      <c r="AL5" s="440" t="s">
        <v>175</v>
      </c>
      <c r="AM5" s="677" t="s">
        <v>176</v>
      </c>
      <c r="AN5" s="445" t="s">
        <v>190</v>
      </c>
      <c r="AO5" s="443">
        <v>43748</v>
      </c>
      <c r="AP5" s="444">
        <v>17197.560000000001</v>
      </c>
      <c r="AQ5" s="441">
        <v>20</v>
      </c>
      <c r="AR5" s="682">
        <v>17253.5</v>
      </c>
      <c r="AS5" s="208">
        <f>AP5-AR5</f>
        <v>-55.93999999999869</v>
      </c>
      <c r="AT5" s="440"/>
      <c r="AU5" s="440" t="s">
        <v>191</v>
      </c>
      <c r="AV5" s="678" t="s">
        <v>192</v>
      </c>
      <c r="AW5" s="442" t="s">
        <v>193</v>
      </c>
      <c r="AX5" s="443">
        <v>43750</v>
      </c>
      <c r="AY5" s="444">
        <v>18838.68</v>
      </c>
      <c r="AZ5" s="441">
        <v>20</v>
      </c>
      <c r="BA5" s="682">
        <v>19011.349999999999</v>
      </c>
      <c r="BB5" s="208">
        <f>AY5-BA5</f>
        <v>-172.66999999999825</v>
      </c>
      <c r="BC5" s="440"/>
      <c r="BD5" s="440" t="s">
        <v>175</v>
      </c>
      <c r="BE5" s="414" t="s">
        <v>194</v>
      </c>
      <c r="BF5" s="442" t="s">
        <v>195</v>
      </c>
      <c r="BG5" s="443">
        <v>43750</v>
      </c>
      <c r="BH5" s="444">
        <v>18869.02</v>
      </c>
      <c r="BI5" s="441">
        <v>22</v>
      </c>
      <c r="BJ5" s="682">
        <v>18953</v>
      </c>
      <c r="BK5" s="208">
        <f>BH5-BJ5</f>
        <v>-83.979999999999563</v>
      </c>
      <c r="BL5" s="440"/>
      <c r="BM5" s="440" t="s">
        <v>233</v>
      </c>
      <c r="BN5" s="697" t="s">
        <v>176</v>
      </c>
      <c r="BO5" s="445">
        <v>43350375</v>
      </c>
      <c r="BP5" s="446">
        <v>43753</v>
      </c>
      <c r="BQ5" s="444">
        <v>18684.87</v>
      </c>
      <c r="BR5" s="441">
        <v>21</v>
      </c>
      <c r="BS5" s="682">
        <v>18768.5</v>
      </c>
      <c r="BT5" s="208">
        <f>BQ5-BS5</f>
        <v>-83.630000000001019</v>
      </c>
      <c r="BU5" s="440"/>
      <c r="BV5" s="440" t="s">
        <v>233</v>
      </c>
      <c r="BW5" s="697" t="s">
        <v>176</v>
      </c>
      <c r="BX5" s="442" t="s">
        <v>234</v>
      </c>
      <c r="BY5" s="446">
        <v>43753</v>
      </c>
      <c r="BZ5" s="444">
        <v>18825.27</v>
      </c>
      <c r="CA5" s="441">
        <v>21</v>
      </c>
      <c r="CB5" s="682">
        <v>18871</v>
      </c>
      <c r="CC5" s="208">
        <f>BZ5-CB5</f>
        <v>-45.729999999999563</v>
      </c>
      <c r="CD5" s="440"/>
      <c r="CE5" s="440" t="s">
        <v>191</v>
      </c>
      <c r="CF5" s="678" t="s">
        <v>171</v>
      </c>
      <c r="CG5" s="442" t="s">
        <v>235</v>
      </c>
      <c r="CH5" s="446">
        <v>43753</v>
      </c>
      <c r="CI5" s="444">
        <v>19225.849999999999</v>
      </c>
      <c r="CJ5" s="441">
        <v>20</v>
      </c>
      <c r="CK5" s="682">
        <v>18918.830000000002</v>
      </c>
      <c r="CL5" s="698">
        <f>CI5-CK5</f>
        <v>307.0199999999968</v>
      </c>
      <c r="CM5" s="440"/>
      <c r="CN5" s="440" t="s">
        <v>236</v>
      </c>
      <c r="CO5" s="699" t="s">
        <v>237</v>
      </c>
      <c r="CP5" s="442" t="s">
        <v>238</v>
      </c>
      <c r="CQ5" s="446">
        <v>43754</v>
      </c>
      <c r="CR5" s="444">
        <v>18566.64</v>
      </c>
      <c r="CS5" s="441">
        <v>20</v>
      </c>
      <c r="CT5" s="682">
        <v>18632.099999999999</v>
      </c>
      <c r="CU5" s="208">
        <f>CR5-CT5</f>
        <v>-65.459999999999127</v>
      </c>
      <c r="CV5" s="440"/>
      <c r="CW5" s="440" t="s">
        <v>191</v>
      </c>
      <c r="CX5" s="678" t="s">
        <v>239</v>
      </c>
      <c r="CY5" s="445" t="s">
        <v>240</v>
      </c>
      <c r="CZ5" s="446">
        <v>43754</v>
      </c>
      <c r="DA5" s="444">
        <v>18852.13</v>
      </c>
      <c r="DB5" s="441">
        <v>20</v>
      </c>
      <c r="DC5" s="682">
        <v>18817.25</v>
      </c>
      <c r="DD5" s="208">
        <f>DA5-DC5</f>
        <v>34.880000000001019</v>
      </c>
      <c r="DE5" s="440"/>
      <c r="DF5" s="440" t="s">
        <v>233</v>
      </c>
      <c r="DG5" s="697" t="s">
        <v>176</v>
      </c>
      <c r="DH5" s="445" t="s">
        <v>241</v>
      </c>
      <c r="DI5" s="446">
        <v>43755</v>
      </c>
      <c r="DJ5" s="444">
        <v>18686.27</v>
      </c>
      <c r="DK5" s="441">
        <v>21</v>
      </c>
      <c r="DL5" s="682">
        <v>18774.5</v>
      </c>
      <c r="DM5" s="208">
        <f>DJ5-DL5</f>
        <v>-88.229999999999563</v>
      </c>
      <c r="DN5" s="440"/>
      <c r="DO5" s="440" t="s">
        <v>191</v>
      </c>
      <c r="DP5" s="676" t="s">
        <v>171</v>
      </c>
      <c r="DQ5" s="445" t="s">
        <v>266</v>
      </c>
      <c r="DR5" s="446">
        <v>43760</v>
      </c>
      <c r="DS5" s="444">
        <v>19210.04</v>
      </c>
      <c r="DT5" s="441">
        <v>20</v>
      </c>
      <c r="DU5" s="682">
        <v>19125.61</v>
      </c>
      <c r="DV5" s="208">
        <f>DS5-DU5</f>
        <v>84.430000000000291</v>
      </c>
      <c r="DW5" s="440"/>
      <c r="DX5" s="440" t="s">
        <v>236</v>
      </c>
      <c r="DY5" s="700" t="s">
        <v>237</v>
      </c>
      <c r="DZ5" s="445" t="s">
        <v>267</v>
      </c>
      <c r="EA5" s="446">
        <v>43761</v>
      </c>
      <c r="EB5" s="444">
        <v>18658.66</v>
      </c>
      <c r="EC5" s="441">
        <v>20</v>
      </c>
      <c r="ED5" s="721">
        <v>18723.29</v>
      </c>
      <c r="EE5" s="208">
        <f>EB5-ED5</f>
        <v>-64.630000000001019</v>
      </c>
      <c r="EF5" s="440"/>
      <c r="EG5" s="440" t="s">
        <v>236</v>
      </c>
      <c r="EH5" s="700" t="s">
        <v>237</v>
      </c>
      <c r="EI5" s="445" t="s">
        <v>268</v>
      </c>
      <c r="EJ5" s="446">
        <v>43761</v>
      </c>
      <c r="EK5" s="444">
        <v>18630.439999999999</v>
      </c>
      <c r="EL5" s="441">
        <v>20</v>
      </c>
      <c r="EM5" s="724">
        <v>18731.45</v>
      </c>
      <c r="EN5" s="208">
        <f>EK5-EM5</f>
        <v>-101.01000000000204</v>
      </c>
      <c r="EO5" s="440"/>
      <c r="EP5" s="440" t="s">
        <v>233</v>
      </c>
      <c r="EQ5" s="677" t="s">
        <v>176</v>
      </c>
      <c r="ER5" s="445" t="s">
        <v>269</v>
      </c>
      <c r="ES5" s="446">
        <v>43761</v>
      </c>
      <c r="ET5" s="444">
        <v>18719.27</v>
      </c>
      <c r="EU5" s="441">
        <v>21</v>
      </c>
      <c r="EV5" s="716">
        <v>18760</v>
      </c>
      <c r="EW5" s="208">
        <f>ET5-EV5</f>
        <v>-40.729999999999563</v>
      </c>
      <c r="EX5" s="440"/>
      <c r="EY5" s="440" t="s">
        <v>233</v>
      </c>
      <c r="EZ5" s="677" t="s">
        <v>176</v>
      </c>
      <c r="FA5" s="445" t="s">
        <v>330</v>
      </c>
      <c r="FB5" s="446">
        <v>43767</v>
      </c>
      <c r="FC5" s="444">
        <v>18701.87</v>
      </c>
      <c r="FD5" s="441">
        <v>21</v>
      </c>
      <c r="FE5" s="721">
        <v>18752</v>
      </c>
      <c r="FF5" s="208">
        <f>FC5-FE5</f>
        <v>-50.130000000001019</v>
      </c>
      <c r="FG5" s="440"/>
      <c r="FH5" s="440" t="s">
        <v>191</v>
      </c>
      <c r="FI5" s="676" t="s">
        <v>171</v>
      </c>
      <c r="FJ5" s="447" t="s">
        <v>331</v>
      </c>
      <c r="FK5" s="446">
        <v>43768</v>
      </c>
      <c r="FL5" s="444">
        <v>17483.150000000001</v>
      </c>
      <c r="FM5" s="441">
        <v>19</v>
      </c>
      <c r="FN5" s="721">
        <v>17573.689999999999</v>
      </c>
      <c r="FO5" s="208">
        <f>FL5-FN5</f>
        <v>-90.539999999997235</v>
      </c>
      <c r="FP5" s="440"/>
      <c r="FQ5" s="440" t="s">
        <v>353</v>
      </c>
      <c r="FR5" s="717" t="s">
        <v>332</v>
      </c>
      <c r="FS5" s="445" t="s">
        <v>333</v>
      </c>
      <c r="FT5" s="443">
        <v>43768</v>
      </c>
      <c r="FU5" s="444">
        <v>18165.41</v>
      </c>
      <c r="FV5" s="441">
        <v>20</v>
      </c>
      <c r="FW5" s="682">
        <v>18315.5</v>
      </c>
      <c r="FX5" s="208">
        <f>FU5-FW5</f>
        <v>-150.09000000000015</v>
      </c>
      <c r="FY5" s="440"/>
      <c r="FZ5" s="440" t="s">
        <v>236</v>
      </c>
      <c r="GA5" s="700" t="s">
        <v>237</v>
      </c>
      <c r="GB5" s="441" t="s">
        <v>334</v>
      </c>
      <c r="GC5" s="443">
        <v>43768</v>
      </c>
      <c r="GD5" s="444">
        <v>18549.7</v>
      </c>
      <c r="GE5" s="441">
        <v>20</v>
      </c>
      <c r="GF5" s="682">
        <v>18679.259999999998</v>
      </c>
      <c r="GG5" s="208">
        <f>GD5-GF5</f>
        <v>-129.55999999999767</v>
      </c>
      <c r="GH5" s="440"/>
      <c r="GI5" s="440" t="s">
        <v>236</v>
      </c>
      <c r="GJ5" s="700" t="s">
        <v>237</v>
      </c>
      <c r="GK5" s="445" t="s">
        <v>335</v>
      </c>
      <c r="GL5" s="443">
        <v>43768</v>
      </c>
      <c r="GM5" s="444">
        <v>18605.59</v>
      </c>
      <c r="GN5" s="441">
        <v>20</v>
      </c>
      <c r="GO5" s="721">
        <v>18693.78</v>
      </c>
      <c r="GP5" s="208">
        <f>GM5-GO5</f>
        <v>-88.18999999999869</v>
      </c>
      <c r="GQ5" s="440"/>
      <c r="GR5" s="440" t="s">
        <v>358</v>
      </c>
      <c r="GS5" s="718" t="s">
        <v>336</v>
      </c>
      <c r="GT5" s="445" t="s">
        <v>337</v>
      </c>
      <c r="GU5" s="446">
        <v>43769</v>
      </c>
      <c r="GV5" s="444">
        <v>19010.080000000002</v>
      </c>
      <c r="GW5" s="441">
        <v>21</v>
      </c>
      <c r="GX5" s="716">
        <v>19080.419999999998</v>
      </c>
      <c r="GY5" s="208">
        <f>GV5-GX5</f>
        <v>-70.339999999996508</v>
      </c>
      <c r="GZ5" s="440"/>
      <c r="HA5" s="440" t="s">
        <v>438</v>
      </c>
      <c r="HB5" s="718" t="s">
        <v>336</v>
      </c>
      <c r="HC5" s="445" t="s">
        <v>338</v>
      </c>
      <c r="HD5" s="446">
        <v>43769</v>
      </c>
      <c r="HE5" s="444">
        <v>18592.689999999999</v>
      </c>
      <c r="HF5" s="441">
        <v>21</v>
      </c>
      <c r="HG5" s="682">
        <v>18720.400000000001</v>
      </c>
      <c r="HH5" s="208">
        <f>HE5-HG5</f>
        <v>-127.71000000000276</v>
      </c>
      <c r="HI5" s="440"/>
      <c r="HJ5" s="441" t="s">
        <v>233</v>
      </c>
      <c r="HK5" s="677" t="s">
        <v>176</v>
      </c>
      <c r="HL5" s="447" t="s">
        <v>406</v>
      </c>
      <c r="HM5" s="443">
        <v>43770</v>
      </c>
      <c r="HN5" s="444">
        <v>18777.87</v>
      </c>
      <c r="HO5" s="441">
        <v>21</v>
      </c>
      <c r="HP5" s="682">
        <v>18871.5</v>
      </c>
      <c r="HQ5" s="208">
        <f>HN5-HP5</f>
        <v>-93.630000000001019</v>
      </c>
      <c r="HR5" s="440"/>
      <c r="HS5" s="440" t="s">
        <v>191</v>
      </c>
      <c r="HT5" s="676" t="s">
        <v>171</v>
      </c>
      <c r="HU5" s="447" t="s">
        <v>428</v>
      </c>
      <c r="HV5" s="446">
        <v>43774</v>
      </c>
      <c r="HW5" s="444">
        <v>17763.86</v>
      </c>
      <c r="HX5" s="441">
        <v>19</v>
      </c>
      <c r="HY5" s="439">
        <v>17904.77</v>
      </c>
      <c r="HZ5" s="208">
        <f>HW5-HY5</f>
        <v>-140.90999999999985</v>
      </c>
      <c r="IA5" s="440"/>
      <c r="IB5" s="440" t="s">
        <v>175</v>
      </c>
      <c r="IC5" s="735" t="s">
        <v>176</v>
      </c>
      <c r="ID5" s="445" t="s">
        <v>429</v>
      </c>
      <c r="IE5" s="446">
        <v>43774</v>
      </c>
      <c r="IF5" s="444">
        <v>17790.259999999998</v>
      </c>
      <c r="IG5" s="441">
        <v>20</v>
      </c>
      <c r="IH5" s="716">
        <v>17897.5</v>
      </c>
      <c r="II5" s="208">
        <f>IF5-IH5</f>
        <v>-107.2400000000016</v>
      </c>
      <c r="IJ5" s="440"/>
      <c r="IK5" s="440"/>
      <c r="IL5" s="441"/>
      <c r="IM5" s="447"/>
      <c r="IN5" s="446"/>
      <c r="IO5" s="444"/>
      <c r="IP5" s="441"/>
      <c r="IQ5" s="439"/>
      <c r="IR5" s="208">
        <f>IO5-IQ5</f>
        <v>0</v>
      </c>
      <c r="IS5" s="440"/>
      <c r="IT5" s="440"/>
      <c r="IU5" s="441"/>
      <c r="IV5" s="442"/>
      <c r="IW5" s="443"/>
      <c r="IX5" s="444"/>
      <c r="IY5" s="441"/>
      <c r="IZ5" s="439"/>
      <c r="JA5" s="208">
        <f>IX5-IZ5</f>
        <v>0</v>
      </c>
      <c r="JB5" s="440"/>
      <c r="JC5" s="440"/>
      <c r="JD5" s="441"/>
      <c r="JE5" s="445"/>
      <c r="JF5" s="443"/>
      <c r="JG5" s="444"/>
      <c r="JH5" s="441"/>
      <c r="JI5" s="439"/>
      <c r="JJ5" s="208">
        <f>JG5-JI5</f>
        <v>0</v>
      </c>
      <c r="JK5" s="440"/>
      <c r="JL5" s="449"/>
      <c r="JM5" s="441"/>
      <c r="JN5" s="442"/>
      <c r="JO5" s="443"/>
      <c r="JP5" s="444"/>
      <c r="JQ5" s="441"/>
      <c r="JR5" s="439"/>
      <c r="JS5" s="208">
        <f>JP5-JR5</f>
        <v>0</v>
      </c>
      <c r="JT5" s="440"/>
      <c r="JU5" s="440"/>
      <c r="JV5" s="441"/>
      <c r="JW5" s="445"/>
      <c r="JX5" s="446"/>
      <c r="JY5" s="444"/>
      <c r="JZ5" s="441"/>
      <c r="KA5" s="439"/>
      <c r="KB5" s="208">
        <f>JY5-KA5</f>
        <v>0</v>
      </c>
      <c r="KD5" s="440"/>
      <c r="KE5" s="441"/>
      <c r="KF5" s="442"/>
      <c r="KG5" s="446"/>
      <c r="KH5" s="444"/>
      <c r="KI5" s="441"/>
      <c r="KJ5" s="439"/>
      <c r="KK5" s="208">
        <f>KH5-KJ5</f>
        <v>0</v>
      </c>
      <c r="KL5" s="102" t="s">
        <v>41</v>
      </c>
      <c r="KM5" s="440"/>
      <c r="KN5" s="441"/>
      <c r="KO5" s="442"/>
      <c r="KP5" s="443"/>
      <c r="KQ5" s="444"/>
      <c r="KR5" s="441"/>
      <c r="KS5" s="439"/>
      <c r="KT5" s="208">
        <f>KQ5-KS5</f>
        <v>0</v>
      </c>
      <c r="KV5" s="440"/>
      <c r="KW5" s="441"/>
      <c r="KX5" s="442"/>
      <c r="KY5" s="443"/>
      <c r="KZ5" s="444"/>
      <c r="LA5" s="441"/>
      <c r="LB5" s="439"/>
      <c r="LC5" s="208">
        <f>KZ5-LB5</f>
        <v>0</v>
      </c>
      <c r="LE5" s="440"/>
      <c r="LF5" s="441"/>
      <c r="LG5" s="445"/>
      <c r="LH5" s="443"/>
      <c r="LI5" s="444"/>
      <c r="LJ5" s="441"/>
      <c r="LK5" s="439"/>
      <c r="LL5" s="208">
        <f>LI5-LK5</f>
        <v>0</v>
      </c>
      <c r="LN5" s="440"/>
      <c r="LO5" s="441"/>
      <c r="LP5" s="445"/>
      <c r="LQ5" s="443"/>
      <c r="LR5" s="444"/>
      <c r="LS5" s="441"/>
      <c r="LT5" s="439"/>
      <c r="LU5" s="208">
        <f>LR5-LT5</f>
        <v>0</v>
      </c>
      <c r="LW5" s="440"/>
      <c r="LX5" s="441"/>
      <c r="LY5" s="442"/>
      <c r="LZ5" s="443"/>
      <c r="MA5" s="444"/>
      <c r="MB5" s="441"/>
      <c r="MC5" s="439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0"/>
      <c r="QC5" s="148"/>
      <c r="QD5" s="204"/>
      <c r="QE5" s="128"/>
      <c r="QF5" s="97"/>
      <c r="QG5" s="52"/>
      <c r="QH5" s="208">
        <f>QE5-QG5</f>
        <v>0</v>
      </c>
      <c r="QK5" s="310"/>
      <c r="QL5" s="148"/>
      <c r="QM5" s="203"/>
      <c r="QN5" s="128"/>
      <c r="QO5" s="97"/>
      <c r="QP5" s="52"/>
      <c r="QQ5" s="208">
        <f>QN5-QP5</f>
        <v>0</v>
      </c>
      <c r="QS5" s="193"/>
      <c r="QT5" s="310"/>
      <c r="QU5" s="148"/>
      <c r="QV5" s="203"/>
      <c r="QW5" s="128"/>
      <c r="QX5" s="97"/>
      <c r="QY5" s="52"/>
      <c r="QZ5" s="208">
        <f>QW5-QY5</f>
        <v>0</v>
      </c>
      <c r="RB5" s="193"/>
      <c r="RC5" s="414"/>
      <c r="RD5" s="148"/>
      <c r="RE5" s="203"/>
      <c r="RF5" s="128"/>
      <c r="RG5" s="97"/>
      <c r="RH5" s="52"/>
      <c r="RI5" s="208">
        <f>RF5-RH5</f>
        <v>0</v>
      </c>
      <c r="RK5" s="193"/>
      <c r="RL5" s="310"/>
      <c r="RM5" s="148"/>
      <c r="RN5" s="204"/>
      <c r="RO5" s="128"/>
      <c r="RP5" s="97"/>
      <c r="RQ5" s="52"/>
      <c r="RR5" s="208">
        <f>RO5-RQ5</f>
        <v>0</v>
      </c>
      <c r="RU5" s="310"/>
      <c r="RV5" s="148"/>
      <c r="RW5" s="203"/>
      <c r="RX5" s="128"/>
      <c r="RY5" s="97"/>
      <c r="RZ5" s="52"/>
      <c r="SA5" s="208">
        <f>RX5-RZ5</f>
        <v>0</v>
      </c>
      <c r="SD5" s="273"/>
      <c r="SE5" s="148"/>
      <c r="SF5" s="204"/>
      <c r="SG5" s="128"/>
      <c r="SH5" s="97"/>
      <c r="SI5" s="52"/>
      <c r="SJ5" s="208">
        <f>SG5-SI5</f>
        <v>0</v>
      </c>
      <c r="SM5" s="310"/>
      <c r="SN5" s="148"/>
      <c r="SO5" s="203"/>
      <c r="SP5" s="128"/>
      <c r="SQ5" s="97"/>
      <c r="SR5" s="52"/>
      <c r="SS5" s="208">
        <f>SP5-SR5</f>
        <v>0</v>
      </c>
      <c r="SV5" s="273"/>
      <c r="SW5" s="148"/>
      <c r="SX5" s="204"/>
      <c r="SY5" s="128"/>
      <c r="SZ5" s="97"/>
      <c r="TA5" s="52"/>
      <c r="TB5" s="208">
        <f>SY5-TA5</f>
        <v>0</v>
      </c>
      <c r="TD5" s="193"/>
      <c r="TE5" s="273"/>
      <c r="TF5" s="148"/>
      <c r="TG5" s="203"/>
      <c r="TH5" s="128"/>
      <c r="TI5" s="97"/>
      <c r="TJ5" s="52"/>
      <c r="TK5" s="208">
        <f>TH5-TJ5</f>
        <v>0</v>
      </c>
      <c r="TN5" s="273"/>
      <c r="TO5" s="148"/>
      <c r="TP5" s="203"/>
      <c r="TQ5" s="128"/>
      <c r="TR5" s="97"/>
      <c r="TS5" s="52"/>
      <c r="TT5" s="208">
        <f>TQ5-TS5</f>
        <v>0</v>
      </c>
      <c r="TW5" s="273"/>
      <c r="TX5" s="148"/>
      <c r="TY5" s="203"/>
      <c r="TZ5" s="128"/>
      <c r="UA5" s="97"/>
      <c r="UB5" s="52"/>
      <c r="UC5" s="208">
        <f>TZ5-UB5</f>
        <v>0</v>
      </c>
      <c r="UF5" s="273"/>
      <c r="UG5" s="148"/>
      <c r="UH5" s="203"/>
      <c r="UI5" s="128"/>
      <c r="UJ5" s="97"/>
      <c r="UK5" s="52"/>
      <c r="UL5" s="208">
        <f>UI5-UK5</f>
        <v>0</v>
      </c>
      <c r="UO5" s="273"/>
      <c r="UP5" s="148"/>
      <c r="UQ5" s="203"/>
      <c r="UR5" s="128"/>
      <c r="US5" s="97"/>
      <c r="UT5" s="52"/>
      <c r="UU5" s="208">
        <f>UR5-UT5</f>
        <v>0</v>
      </c>
      <c r="UX5" s="273"/>
      <c r="UY5" s="148"/>
      <c r="UZ5" s="203"/>
      <c r="VA5" s="128"/>
      <c r="VB5" s="97"/>
      <c r="VC5" s="52"/>
      <c r="VD5" s="208">
        <f>VA5-VC5</f>
        <v>0</v>
      </c>
      <c r="VF5" s="193"/>
      <c r="VG5" s="273"/>
      <c r="VH5" s="148"/>
      <c r="VI5" s="203"/>
      <c r="VJ5" s="128"/>
      <c r="VK5" s="97"/>
      <c r="VL5" s="52"/>
      <c r="VM5" s="208">
        <f>VJ5-VL5</f>
        <v>0</v>
      </c>
      <c r="VP5" s="273"/>
      <c r="VQ5" s="148"/>
      <c r="VR5" s="203"/>
      <c r="VS5" s="128"/>
      <c r="VT5" s="97"/>
      <c r="VU5" s="52"/>
      <c r="VV5" s="208">
        <f>VS5-VU5</f>
        <v>0</v>
      </c>
      <c r="VY5" s="273"/>
      <c r="VZ5" s="148"/>
      <c r="WA5" s="203"/>
      <c r="WB5" s="128"/>
      <c r="WC5" s="97"/>
      <c r="WD5" s="52"/>
      <c r="WE5" s="208">
        <f>WB5-WD5</f>
        <v>0</v>
      </c>
      <c r="WH5" s="273"/>
      <c r="WI5" s="148"/>
      <c r="WJ5" s="203"/>
      <c r="WK5" s="128"/>
      <c r="WL5" s="97"/>
      <c r="WM5" s="52"/>
      <c r="WN5" s="208">
        <f>WK5-WM5</f>
        <v>0</v>
      </c>
      <c r="WP5" s="192"/>
      <c r="WQ5" s="310"/>
      <c r="WR5" s="148"/>
      <c r="WS5" s="203"/>
      <c r="WT5" s="128"/>
      <c r="WU5" s="97"/>
      <c r="WV5" s="52"/>
      <c r="WW5" s="208">
        <f>WT5-WV5</f>
        <v>0</v>
      </c>
      <c r="WZ5" s="273"/>
      <c r="XA5" s="148"/>
      <c r="XB5" s="203"/>
      <c r="XC5" s="128"/>
      <c r="XD5" s="97"/>
      <c r="XE5" s="52"/>
      <c r="XF5" s="208">
        <f>XC5-XE5</f>
        <v>0</v>
      </c>
      <c r="XI5" s="273"/>
      <c r="XJ5" s="148"/>
      <c r="XK5" s="203"/>
      <c r="XL5" s="128"/>
      <c r="XM5" s="97"/>
      <c r="XN5" s="52"/>
      <c r="XO5" s="208">
        <f>XL5-XN5</f>
        <v>0</v>
      </c>
      <c r="XR5" s="273"/>
      <c r="XS5" s="148"/>
      <c r="XT5" s="203"/>
      <c r="XU5" s="128"/>
      <c r="XV5" s="97"/>
      <c r="XW5" s="52"/>
      <c r="XX5" s="208">
        <f>XU5-XW5</f>
        <v>0</v>
      </c>
      <c r="YA5" s="273"/>
      <c r="YB5" s="148"/>
      <c r="YC5" s="203"/>
      <c r="YD5" s="128"/>
      <c r="YE5" s="97"/>
      <c r="YF5" s="52"/>
      <c r="YG5" s="208">
        <f>YD5-YF5</f>
        <v>0</v>
      </c>
      <c r="YI5" s="193"/>
      <c r="YJ5" s="273"/>
      <c r="YK5" s="148"/>
      <c r="YL5" s="203"/>
      <c r="YM5" s="128"/>
      <c r="YN5" s="97"/>
      <c r="YO5" s="52"/>
      <c r="YP5" s="208">
        <f>YM5-YO5</f>
        <v>0</v>
      </c>
      <c r="YS5" s="273"/>
      <c r="YT5" s="148"/>
      <c r="YU5" s="203"/>
      <c r="YV5" s="128"/>
      <c r="YW5" s="97"/>
      <c r="YX5" s="52"/>
      <c r="YY5" s="208">
        <f>YV5-YX5</f>
        <v>0</v>
      </c>
      <c r="ZB5" s="273"/>
      <c r="ZC5" s="148"/>
      <c r="ZD5" s="203"/>
      <c r="ZE5" s="128"/>
      <c r="ZF5" s="97"/>
      <c r="ZG5" s="52"/>
      <c r="ZH5" s="208">
        <f>ZE5-ZG5</f>
        <v>0</v>
      </c>
      <c r="ZK5" s="273"/>
      <c r="ZL5" s="148"/>
      <c r="ZM5" s="203"/>
      <c r="ZN5" s="128"/>
      <c r="ZO5" s="97"/>
      <c r="ZP5" s="52"/>
      <c r="ZQ5" s="208">
        <f>ZN5-ZP5</f>
        <v>0</v>
      </c>
      <c r="ZT5" s="273"/>
      <c r="ZU5" s="148"/>
      <c r="ZV5" s="203"/>
      <c r="ZW5" s="128"/>
      <c r="ZX5" s="97"/>
      <c r="ZY5" s="52"/>
      <c r="ZZ5" s="208">
        <f>ZW5-ZY5</f>
        <v>0</v>
      </c>
      <c r="AAC5" s="273"/>
      <c r="AAD5" s="148"/>
      <c r="AAE5" s="203"/>
      <c r="AAF5" s="128"/>
      <c r="AAG5" s="97"/>
      <c r="AAH5" s="52"/>
      <c r="AAI5" s="208">
        <f>AAF5-AAH5</f>
        <v>0</v>
      </c>
      <c r="AAL5" s="273"/>
      <c r="AAM5" s="148"/>
      <c r="AAN5" s="203"/>
      <c r="AAO5" s="128"/>
      <c r="AAP5" s="97"/>
      <c r="AAQ5" s="52"/>
      <c r="AAR5" s="208">
        <f>AAO5-AAQ5</f>
        <v>0</v>
      </c>
      <c r="AAU5" s="273"/>
      <c r="AAV5" s="148"/>
      <c r="AAW5" s="203"/>
      <c r="AAX5" s="128"/>
      <c r="AAY5" s="97"/>
      <c r="AAZ5" s="52"/>
      <c r="ABA5" s="208">
        <f>AAX5-AAZ5</f>
        <v>0</v>
      </c>
      <c r="ABC5" s="193"/>
      <c r="ABD5" s="273"/>
      <c r="ABE5" s="148"/>
      <c r="ABF5" s="203"/>
      <c r="ABG5" s="128"/>
      <c r="ABH5" s="97"/>
      <c r="ABI5" s="52"/>
      <c r="ABJ5" s="208">
        <f>ABG5-ABI5</f>
        <v>0</v>
      </c>
      <c r="ABL5" s="193"/>
      <c r="ABM5" s="273"/>
      <c r="ABN5" s="148"/>
      <c r="ABO5" s="203"/>
      <c r="ABP5" s="128"/>
      <c r="ABQ5" s="97"/>
      <c r="ABR5" s="52"/>
      <c r="ABS5" s="208">
        <f>ABP5-ABR5</f>
        <v>0</v>
      </c>
      <c r="ABU5" s="193"/>
      <c r="ABV5" s="273"/>
      <c r="ABW5" s="148"/>
      <c r="ABX5" s="203"/>
      <c r="ABY5" s="128"/>
      <c r="ABZ5" s="97"/>
      <c r="ACA5" s="52"/>
      <c r="ACB5" s="208">
        <f>ABY5-ACA5</f>
        <v>0</v>
      </c>
      <c r="ACD5" s="193"/>
      <c r="ACE5" s="273"/>
      <c r="ACF5" s="148"/>
      <c r="ACG5" s="203"/>
      <c r="ACH5" s="128"/>
      <c r="ACI5" s="97"/>
      <c r="ACJ5" s="52"/>
      <c r="ACK5" s="208">
        <f>ACH5-ACJ5</f>
        <v>0</v>
      </c>
      <c r="ACN5" s="273"/>
      <c r="ACO5" s="148"/>
      <c r="ACP5" s="203"/>
      <c r="ACQ5" s="128"/>
      <c r="ACR5" s="97"/>
      <c r="ACS5" s="52"/>
      <c r="ACT5" s="208">
        <f>ACQ5-ACS5</f>
        <v>0</v>
      </c>
      <c r="ACW5" s="273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IDEAL TRADING FOODS</v>
      </c>
      <c r="C6" t="str">
        <f t="shared" si="2"/>
        <v>SIOUX</v>
      </c>
      <c r="D6" s="56" t="str">
        <f t="shared" si="2"/>
        <v>PED. 43121641</v>
      </c>
      <c r="E6" s="124">
        <f t="shared" si="2"/>
        <v>43746</v>
      </c>
      <c r="F6" s="58">
        <f t="shared" si="2"/>
        <v>17894.46</v>
      </c>
      <c r="G6" s="13">
        <f t="shared" si="2"/>
        <v>20</v>
      </c>
      <c r="H6" s="52">
        <f t="shared" si="2"/>
        <v>17968</v>
      </c>
      <c r="I6" s="6">
        <f t="shared" si="2"/>
        <v>-73.540000000000873</v>
      </c>
      <c r="L6" s="17"/>
      <c r="Q6" s="97"/>
      <c r="U6" s="17"/>
      <c r="Z6" s="97"/>
      <c r="AB6" s="438"/>
      <c r="AC6" s="438"/>
      <c r="AD6" s="451"/>
      <c r="AE6" s="438"/>
      <c r="AF6" s="438"/>
      <c r="AG6" s="438"/>
      <c r="AH6" s="438"/>
      <c r="AI6" s="441"/>
      <c r="AJ6" s="438"/>
      <c r="AK6" s="438"/>
      <c r="AL6" s="438"/>
      <c r="AM6" s="450"/>
      <c r="AN6" s="438"/>
      <c r="AO6" s="438"/>
      <c r="AP6" s="438"/>
      <c r="AQ6" s="438"/>
      <c r="AR6" s="441"/>
      <c r="AS6" s="438"/>
      <c r="AT6" s="438"/>
      <c r="AU6" s="452"/>
      <c r="AV6" s="450"/>
      <c r="AW6" s="438"/>
      <c r="AX6" s="438"/>
      <c r="AY6" s="438"/>
      <c r="AZ6" s="438"/>
      <c r="BA6" s="441"/>
      <c r="BB6" s="438"/>
      <c r="BC6" s="438"/>
      <c r="BD6" s="452"/>
      <c r="BE6" s="450"/>
      <c r="BF6" s="438"/>
      <c r="BG6" s="438"/>
      <c r="BH6" s="438"/>
      <c r="BI6" s="438"/>
      <c r="BJ6" s="441"/>
      <c r="BK6" s="438"/>
      <c r="BL6" s="438"/>
      <c r="BM6" s="438"/>
      <c r="BN6" s="450"/>
      <c r="BO6" s="438"/>
      <c r="BP6" s="438"/>
      <c r="BQ6" s="438"/>
      <c r="BR6" s="438"/>
      <c r="BS6" s="441"/>
      <c r="BT6" s="438"/>
      <c r="BU6" s="438"/>
      <c r="BV6" s="453"/>
      <c r="BW6" s="450"/>
      <c r="BX6" s="438"/>
      <c r="BY6" s="438"/>
      <c r="BZ6" s="438"/>
      <c r="CA6" s="438"/>
      <c r="CB6" s="441"/>
      <c r="CC6" s="438"/>
      <c r="CD6" s="438"/>
      <c r="CE6" s="438"/>
      <c r="CF6" s="450"/>
      <c r="CG6" s="438"/>
      <c r="CH6" s="438"/>
      <c r="CI6" s="438"/>
      <c r="CJ6" s="438"/>
      <c r="CK6" s="441"/>
      <c r="CL6" s="438"/>
      <c r="CM6" s="438"/>
      <c r="CN6" s="438"/>
      <c r="CO6" s="450"/>
      <c r="CP6" s="438"/>
      <c r="CQ6" s="438"/>
      <c r="CR6" s="438"/>
      <c r="CS6" s="438"/>
      <c r="CT6" s="441"/>
      <c r="CU6" s="438"/>
      <c r="CV6" s="438"/>
      <c r="CW6" s="454"/>
      <c r="CX6" s="450"/>
      <c r="CY6" s="438"/>
      <c r="CZ6" s="438"/>
      <c r="DA6" s="438"/>
      <c r="DB6" s="438"/>
      <c r="DC6" s="441"/>
      <c r="DD6" s="438"/>
      <c r="DE6" s="438"/>
      <c r="DF6" s="454"/>
      <c r="DG6" s="450"/>
      <c r="DH6" s="438"/>
      <c r="DI6" s="438"/>
      <c r="DJ6" s="438"/>
      <c r="DK6" s="438"/>
      <c r="DL6" s="441"/>
      <c r="DM6" s="438"/>
      <c r="DN6" s="438"/>
      <c r="DO6" s="438"/>
      <c r="DP6" s="450"/>
      <c r="DQ6" s="438"/>
      <c r="DR6" s="438"/>
      <c r="DS6" s="438"/>
      <c r="DT6" s="438"/>
      <c r="DU6" s="441"/>
      <c r="DV6" s="438"/>
      <c r="DW6" s="438"/>
      <c r="DX6" s="438"/>
      <c r="DY6" s="438"/>
      <c r="DZ6" s="438"/>
      <c r="EA6" s="438"/>
      <c r="EB6" s="438"/>
      <c r="EC6" s="438"/>
      <c r="ED6" s="441"/>
      <c r="EE6" s="438"/>
      <c r="EF6" s="438"/>
      <c r="EG6" s="453"/>
      <c r="EH6" s="450"/>
      <c r="EI6" s="438"/>
      <c r="EJ6" s="438"/>
      <c r="EK6" s="438"/>
      <c r="EL6" s="438"/>
      <c r="EM6" s="441"/>
      <c r="EN6" s="438"/>
      <c r="EO6" s="438"/>
      <c r="EP6" s="438"/>
      <c r="EQ6" s="450"/>
      <c r="ER6" s="438"/>
      <c r="ES6" s="438"/>
      <c r="ET6" s="438"/>
      <c r="EU6" s="438"/>
      <c r="EV6" s="441"/>
      <c r="EW6" s="438"/>
      <c r="EX6" s="438"/>
      <c r="EY6" s="438"/>
      <c r="EZ6" s="455"/>
      <c r="FA6" s="438"/>
      <c r="FB6" s="438"/>
      <c r="FC6" s="438"/>
      <c r="FD6" s="438"/>
      <c r="FE6" s="441"/>
      <c r="FF6" s="438"/>
      <c r="FG6" s="438"/>
      <c r="FH6" s="438"/>
      <c r="FI6" s="450"/>
      <c r="FJ6" s="438"/>
      <c r="FK6" s="438"/>
      <c r="FL6" s="438"/>
      <c r="FM6" s="438"/>
      <c r="FN6" s="441"/>
      <c r="FO6" s="438"/>
      <c r="FP6" s="438"/>
      <c r="FQ6" s="438"/>
      <c r="FR6" s="450"/>
      <c r="FS6" s="438"/>
      <c r="FT6" s="438"/>
      <c r="FU6" s="438"/>
      <c r="FV6" s="438"/>
      <c r="FW6" s="441"/>
      <c r="FX6" s="438"/>
      <c r="FY6" s="438"/>
      <c r="FZ6" s="440"/>
      <c r="GA6" s="451"/>
      <c r="GB6" s="438"/>
      <c r="GC6" s="438"/>
      <c r="GD6" s="438"/>
      <c r="GE6" s="438"/>
      <c r="GF6" s="441"/>
      <c r="GG6" s="438"/>
      <c r="GH6" s="438"/>
      <c r="GI6" s="440"/>
      <c r="GJ6" s="455"/>
      <c r="GK6" s="438"/>
      <c r="GL6" s="438"/>
      <c r="GM6" s="438"/>
      <c r="GN6" s="438"/>
      <c r="GO6" s="441"/>
      <c r="GP6" s="438"/>
      <c r="GQ6" s="438"/>
      <c r="GR6" s="453"/>
      <c r="GS6" s="450"/>
      <c r="GT6" s="438"/>
      <c r="GU6" s="438"/>
      <c r="GV6" s="438"/>
      <c r="GW6" s="438"/>
      <c r="GX6" s="441"/>
      <c r="GY6" s="438"/>
      <c r="GZ6" s="438"/>
      <c r="HA6" s="440"/>
      <c r="HB6" s="438"/>
      <c r="HC6" s="438"/>
      <c r="HD6" s="438"/>
      <c r="HE6" s="438"/>
      <c r="HF6" s="438"/>
      <c r="HG6" s="441"/>
      <c r="HH6" s="438"/>
      <c r="HI6" s="438"/>
      <c r="HJ6" s="448"/>
      <c r="HK6" s="450"/>
      <c r="HL6" s="438"/>
      <c r="HM6" s="438"/>
      <c r="HN6" s="438"/>
      <c r="HO6" s="438"/>
      <c r="HP6" s="441"/>
      <c r="HQ6" s="438"/>
      <c r="HR6" s="438"/>
      <c r="HS6" s="438"/>
      <c r="HT6" s="438"/>
      <c r="HU6" s="438"/>
      <c r="HV6" s="438"/>
      <c r="HW6" s="438"/>
      <c r="HX6" s="438"/>
      <c r="HY6" s="441"/>
      <c r="HZ6" s="438"/>
      <c r="IA6" s="438"/>
      <c r="IB6" s="453"/>
      <c r="IC6" s="450"/>
      <c r="ID6" s="438"/>
      <c r="IE6" s="438"/>
      <c r="IF6" s="438"/>
      <c r="IG6" s="438"/>
      <c r="IH6" s="441"/>
      <c r="II6" s="438"/>
      <c r="IJ6" s="438"/>
      <c r="IK6" s="438"/>
      <c r="IL6" s="450"/>
      <c r="IM6" s="438"/>
      <c r="IN6" s="438"/>
      <c r="IO6" s="438"/>
      <c r="IP6" s="438"/>
      <c r="IQ6" s="441"/>
      <c r="IR6" s="438"/>
      <c r="IS6" s="438"/>
      <c r="IT6" s="438"/>
      <c r="IU6" s="456"/>
      <c r="IV6" s="438"/>
      <c r="IW6" s="438"/>
      <c r="IX6" s="438"/>
      <c r="IY6" s="438"/>
      <c r="IZ6" s="441"/>
      <c r="JA6" s="438"/>
      <c r="JB6" s="438"/>
      <c r="JC6" s="440"/>
      <c r="JD6" s="455"/>
      <c r="JE6" s="438"/>
      <c r="JF6" s="438"/>
      <c r="JG6" s="438"/>
      <c r="JH6" s="438"/>
      <c r="JI6" s="441"/>
      <c r="JJ6" s="438"/>
      <c r="JK6" s="438"/>
      <c r="JL6" s="449"/>
      <c r="JM6" s="456"/>
      <c r="JN6" s="438"/>
      <c r="JO6" s="438"/>
      <c r="JP6" s="438"/>
      <c r="JQ6" s="438"/>
      <c r="JR6" s="441"/>
      <c r="JS6" s="438"/>
      <c r="JT6" s="438"/>
      <c r="JU6" s="438"/>
      <c r="JV6" s="450"/>
      <c r="JW6" s="438"/>
      <c r="JX6" s="438"/>
      <c r="JY6" s="438"/>
      <c r="JZ6" s="438"/>
      <c r="KA6" s="441"/>
      <c r="KE6" s="17"/>
      <c r="KJ6" s="97"/>
      <c r="KN6" s="17"/>
      <c r="KS6" s="97"/>
      <c r="KW6" s="17"/>
      <c r="LB6" s="97"/>
      <c r="LF6" s="320"/>
      <c r="LK6" s="97"/>
      <c r="LO6" s="17"/>
      <c r="LT6" s="97"/>
      <c r="LX6" s="17"/>
      <c r="MC6" s="97"/>
      <c r="MF6" s="337"/>
      <c r="MG6" s="17"/>
      <c r="ML6" s="97"/>
      <c r="MP6" s="17"/>
      <c r="MU6" s="97"/>
      <c r="MX6" s="337"/>
      <c r="MY6" s="17"/>
      <c r="ND6" s="97"/>
      <c r="NG6" s="337"/>
      <c r="NH6" s="17"/>
      <c r="NM6" s="97"/>
      <c r="NV6" s="97"/>
      <c r="OH6" s="337"/>
      <c r="ON6" s="97"/>
      <c r="OR6" s="321"/>
      <c r="OW6" s="97"/>
      <c r="PA6" s="321"/>
      <c r="PF6" s="97"/>
      <c r="PI6" s="321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2" t="str">
        <f>AL5</f>
        <v>IDEAL TRADING FOODS</v>
      </c>
      <c r="C7" t="str">
        <f t="shared" ref="C7:I7" si="3">AM5</f>
        <v>SIOUX</v>
      </c>
      <c r="D7" s="56" t="str">
        <f t="shared" si="3"/>
        <v>PED. 43211450</v>
      </c>
      <c r="E7" s="124">
        <f t="shared" si="3"/>
        <v>43748</v>
      </c>
      <c r="F7" s="58">
        <f t="shared" si="3"/>
        <v>17197.560000000001</v>
      </c>
      <c r="G7" s="13">
        <f t="shared" si="3"/>
        <v>20</v>
      </c>
      <c r="H7" s="52">
        <f t="shared" si="3"/>
        <v>17253.5</v>
      </c>
      <c r="I7" s="6">
        <f t="shared" si="3"/>
        <v>-55.93999999999869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456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456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71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71" t="s">
        <v>7</v>
      </c>
      <c r="HC7" s="28" t="s">
        <v>8</v>
      </c>
      <c r="HD7" s="29" t="s">
        <v>17</v>
      </c>
      <c r="HE7" s="24" t="s">
        <v>2</v>
      </c>
      <c r="HF7" s="27" t="s">
        <v>86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71" t="s">
        <v>7</v>
      </c>
      <c r="HU7" s="28" t="s">
        <v>8</v>
      </c>
      <c r="HV7" s="29" t="s">
        <v>17</v>
      </c>
      <c r="HW7" s="24" t="s">
        <v>2</v>
      </c>
      <c r="HX7" s="27" t="s">
        <v>84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SMITHFIELD FRESH MEATS</v>
      </c>
      <c r="C8" t="str">
        <f t="shared" ref="C8:I8" si="4">AV5</f>
        <v>Smirhfield</v>
      </c>
      <c r="D8" s="56" t="str">
        <f t="shared" si="4"/>
        <v>PED. 433067736</v>
      </c>
      <c r="E8" s="124">
        <f t="shared" si="4"/>
        <v>43750</v>
      </c>
      <c r="F8" s="58">
        <f t="shared" si="4"/>
        <v>18838.68</v>
      </c>
      <c r="G8" s="13">
        <f t="shared" si="4"/>
        <v>20</v>
      </c>
      <c r="H8" s="52">
        <f t="shared" si="4"/>
        <v>19011.349999999999</v>
      </c>
      <c r="I8" s="6">
        <f t="shared" si="4"/>
        <v>-172.66999999999825</v>
      </c>
      <c r="K8" s="71"/>
      <c r="L8" s="2"/>
      <c r="M8" s="16">
        <v>1</v>
      </c>
      <c r="N8" s="151">
        <v>912.93</v>
      </c>
      <c r="O8" s="85">
        <v>43746</v>
      </c>
      <c r="P8" s="278">
        <v>912.93</v>
      </c>
      <c r="Q8" s="101" t="s">
        <v>208</v>
      </c>
      <c r="R8" s="83">
        <v>34.5</v>
      </c>
      <c r="T8" s="71"/>
      <c r="U8" s="2"/>
      <c r="V8" s="16">
        <v>1</v>
      </c>
      <c r="W8" s="151">
        <v>965.99</v>
      </c>
      <c r="X8" s="14">
        <v>43746</v>
      </c>
      <c r="Y8" s="151">
        <v>965.99</v>
      </c>
      <c r="Z8" s="32" t="s">
        <v>207</v>
      </c>
      <c r="AA8" s="18">
        <v>34.5</v>
      </c>
      <c r="AC8" s="71"/>
      <c r="AD8" s="2"/>
      <c r="AE8" s="16">
        <v>1</v>
      </c>
      <c r="AF8" s="15">
        <v>899</v>
      </c>
      <c r="AG8" s="14">
        <v>43746</v>
      </c>
      <c r="AH8" s="7">
        <v>899</v>
      </c>
      <c r="AI8" s="32" t="s">
        <v>205</v>
      </c>
      <c r="AJ8" s="18">
        <v>34.5</v>
      </c>
      <c r="AL8" s="71"/>
      <c r="AM8" s="2"/>
      <c r="AN8" s="16">
        <v>1</v>
      </c>
      <c r="AO8" s="278">
        <v>900.5</v>
      </c>
      <c r="AP8" s="119">
        <v>43748</v>
      </c>
      <c r="AQ8" s="278">
        <v>900.5</v>
      </c>
      <c r="AR8" s="137" t="s">
        <v>219</v>
      </c>
      <c r="AS8" s="91">
        <v>34.5</v>
      </c>
      <c r="AU8" s="71"/>
      <c r="AV8" s="2"/>
      <c r="AW8" s="16">
        <v>1</v>
      </c>
      <c r="AX8" s="15">
        <v>972.34</v>
      </c>
      <c r="AY8" s="85">
        <v>43749</v>
      </c>
      <c r="AZ8" s="15">
        <v>972.34</v>
      </c>
      <c r="BA8" s="101" t="s">
        <v>227</v>
      </c>
      <c r="BB8" s="312">
        <v>34.5</v>
      </c>
      <c r="BD8" s="71"/>
      <c r="BE8" s="2"/>
      <c r="BF8" s="16">
        <v>1</v>
      </c>
      <c r="BG8" s="15">
        <v>876</v>
      </c>
      <c r="BH8" s="85">
        <v>43749</v>
      </c>
      <c r="BI8" s="15">
        <v>876</v>
      </c>
      <c r="BJ8" s="101" t="s">
        <v>229</v>
      </c>
      <c r="BK8" s="312">
        <v>34.5</v>
      </c>
      <c r="BM8" s="71"/>
      <c r="BN8" s="2"/>
      <c r="BO8" s="16">
        <v>1</v>
      </c>
      <c r="BP8" s="15">
        <v>906</v>
      </c>
      <c r="BQ8" s="305">
        <v>43755</v>
      </c>
      <c r="BR8" s="7">
        <v>906</v>
      </c>
      <c r="BS8" s="359" t="s">
        <v>288</v>
      </c>
      <c r="BT8" s="308">
        <v>34.5</v>
      </c>
      <c r="BV8" s="71"/>
      <c r="BW8" s="2"/>
      <c r="BX8" s="16">
        <v>1</v>
      </c>
      <c r="BY8" s="15">
        <v>901</v>
      </c>
      <c r="BZ8" s="305">
        <v>43753</v>
      </c>
      <c r="CA8" s="15">
        <v>901</v>
      </c>
      <c r="CB8" s="359" t="s">
        <v>280</v>
      </c>
      <c r="CC8" s="308">
        <v>34.5</v>
      </c>
      <c r="CE8" s="71"/>
      <c r="CF8" s="2"/>
      <c r="CG8" s="16">
        <v>1</v>
      </c>
      <c r="CH8" s="15">
        <v>953.74</v>
      </c>
      <c r="CI8" s="305">
        <v>43753</v>
      </c>
      <c r="CJ8" s="15">
        <v>953.74</v>
      </c>
      <c r="CK8" s="359" t="s">
        <v>282</v>
      </c>
      <c r="CL8" s="308">
        <v>34.5</v>
      </c>
      <c r="CN8" s="71"/>
      <c r="CO8" s="2"/>
      <c r="CP8" s="16">
        <v>1</v>
      </c>
      <c r="CQ8" s="15">
        <v>884.5</v>
      </c>
      <c r="CR8" s="14">
        <v>43754</v>
      </c>
      <c r="CS8" s="15">
        <v>884.5</v>
      </c>
      <c r="CT8" s="32" t="s">
        <v>292</v>
      </c>
      <c r="CU8" s="18">
        <v>35</v>
      </c>
      <c r="CW8" s="71"/>
      <c r="CX8" s="2"/>
      <c r="CY8" s="16">
        <v>1</v>
      </c>
      <c r="CZ8" s="15">
        <v>996.37</v>
      </c>
      <c r="DA8" s="305">
        <v>43754</v>
      </c>
      <c r="DB8" s="15">
        <v>996.37</v>
      </c>
      <c r="DC8" s="307" t="s">
        <v>291</v>
      </c>
      <c r="DD8" s="308">
        <v>35</v>
      </c>
      <c r="DF8" s="71"/>
      <c r="DG8" s="2"/>
      <c r="DH8" s="16">
        <v>1</v>
      </c>
      <c r="DI8" s="15">
        <v>901.5</v>
      </c>
      <c r="DJ8" s="305">
        <v>43756</v>
      </c>
      <c r="DK8" s="496">
        <v>901.5</v>
      </c>
      <c r="DL8" s="307" t="s">
        <v>303</v>
      </c>
      <c r="DM8" s="308">
        <v>35</v>
      </c>
      <c r="DO8" s="71"/>
      <c r="DP8" s="2"/>
      <c r="DQ8" s="16">
        <v>1</v>
      </c>
      <c r="DR8" s="15">
        <v>955.56</v>
      </c>
      <c r="DS8" s="47">
        <v>43760</v>
      </c>
      <c r="DT8" s="7">
        <v>955.56</v>
      </c>
      <c r="DU8" s="60" t="s">
        <v>326</v>
      </c>
      <c r="DV8" s="18">
        <v>39</v>
      </c>
      <c r="DX8" s="71"/>
      <c r="DY8" s="2"/>
      <c r="DZ8" s="16">
        <v>1</v>
      </c>
      <c r="EA8" s="15">
        <v>917.61</v>
      </c>
      <c r="EB8" s="47">
        <v>43761</v>
      </c>
      <c r="EC8" s="610">
        <v>917.61</v>
      </c>
      <c r="ED8" s="611" t="s">
        <v>370</v>
      </c>
      <c r="EE8" s="18">
        <v>39</v>
      </c>
      <c r="EG8" s="71"/>
      <c r="EH8" s="2"/>
      <c r="EI8" s="16">
        <v>1</v>
      </c>
      <c r="EJ8" s="15">
        <v>913.53</v>
      </c>
      <c r="EK8" s="14">
        <v>43763</v>
      </c>
      <c r="EL8" s="15">
        <v>913.53</v>
      </c>
      <c r="EM8" s="57" t="s">
        <v>380</v>
      </c>
      <c r="EN8" s="18">
        <v>39</v>
      </c>
      <c r="EP8" s="71"/>
      <c r="EQ8" s="2"/>
      <c r="ER8" s="16">
        <v>1</v>
      </c>
      <c r="ES8" s="15">
        <v>897</v>
      </c>
      <c r="ET8" s="14">
        <v>43761</v>
      </c>
      <c r="EU8" s="313">
        <v>897</v>
      </c>
      <c r="EV8" s="35" t="s">
        <v>328</v>
      </c>
      <c r="EW8" s="18">
        <v>39</v>
      </c>
      <c r="EY8" s="71"/>
      <c r="EZ8" s="2"/>
      <c r="FA8" s="16">
        <v>1</v>
      </c>
      <c r="FB8" s="134">
        <v>899</v>
      </c>
      <c r="FC8" s="119">
        <v>43767</v>
      </c>
      <c r="FD8" s="134">
        <v>899</v>
      </c>
      <c r="FE8" s="90" t="s">
        <v>386</v>
      </c>
      <c r="FF8" s="91">
        <v>41</v>
      </c>
      <c r="FH8" s="71"/>
      <c r="FI8" s="2"/>
      <c r="FJ8" s="16">
        <v>1</v>
      </c>
      <c r="FK8" s="15">
        <v>941.95</v>
      </c>
      <c r="FL8" s="47">
        <v>43768</v>
      </c>
      <c r="FM8" s="15">
        <v>941.95</v>
      </c>
      <c r="FN8" s="60" t="s">
        <v>390</v>
      </c>
      <c r="FO8" s="18">
        <v>41</v>
      </c>
      <c r="FQ8" s="71"/>
      <c r="FR8" s="2"/>
      <c r="FS8" s="16">
        <v>1</v>
      </c>
      <c r="FT8" s="15">
        <v>926.2</v>
      </c>
      <c r="FU8" s="119">
        <v>43770</v>
      </c>
      <c r="FV8" s="134">
        <v>926.2</v>
      </c>
      <c r="FW8" s="137" t="s">
        <v>405</v>
      </c>
      <c r="FX8" s="91">
        <v>41</v>
      </c>
      <c r="FZ8" s="71"/>
      <c r="GA8" s="2"/>
      <c r="GB8" s="16">
        <v>1</v>
      </c>
      <c r="GC8" s="15">
        <v>944.37</v>
      </c>
      <c r="GD8" s="14">
        <v>43770</v>
      </c>
      <c r="GE8" s="496">
        <v>944.37</v>
      </c>
      <c r="GF8" s="32" t="s">
        <v>405</v>
      </c>
      <c r="GG8" s="18">
        <v>41</v>
      </c>
      <c r="GI8" s="71"/>
      <c r="GJ8" s="2"/>
      <c r="GK8" s="16">
        <v>1</v>
      </c>
      <c r="GL8" s="15">
        <v>923.96</v>
      </c>
      <c r="GM8" s="14">
        <v>43768</v>
      </c>
      <c r="GN8" s="15">
        <v>923.96</v>
      </c>
      <c r="GO8" s="32" t="s">
        <v>389</v>
      </c>
      <c r="GP8" s="18">
        <v>41</v>
      </c>
      <c r="GR8" s="71"/>
      <c r="GS8" s="2"/>
      <c r="GT8" s="16">
        <v>1</v>
      </c>
      <c r="GU8" s="15">
        <v>926.25</v>
      </c>
      <c r="GV8" s="14">
        <v>43771</v>
      </c>
      <c r="GW8" s="15">
        <v>926.25</v>
      </c>
      <c r="GX8" s="239" t="s">
        <v>423</v>
      </c>
      <c r="GY8" s="18">
        <v>41</v>
      </c>
      <c r="HA8" s="71"/>
      <c r="HB8" s="2"/>
      <c r="HC8" s="16">
        <v>1</v>
      </c>
      <c r="HD8" s="15">
        <v>916.3</v>
      </c>
      <c r="HE8" s="47">
        <v>43771</v>
      </c>
      <c r="HF8" s="15">
        <v>916.3</v>
      </c>
      <c r="HG8" s="408" t="s">
        <v>419</v>
      </c>
      <c r="HH8" s="18">
        <v>41</v>
      </c>
      <c r="HJ8" s="71"/>
      <c r="HK8" s="2"/>
      <c r="HL8" s="16">
        <v>1</v>
      </c>
      <c r="HM8" s="15">
        <v>903</v>
      </c>
      <c r="HN8" s="14">
        <v>43770</v>
      </c>
      <c r="HO8" s="15">
        <v>903</v>
      </c>
      <c r="HP8" s="393" t="s">
        <v>408</v>
      </c>
      <c r="HQ8" s="18">
        <v>41</v>
      </c>
      <c r="HR8" s="15"/>
      <c r="HS8" s="71"/>
      <c r="HT8" s="2"/>
      <c r="HU8" s="16">
        <v>1</v>
      </c>
      <c r="HV8" s="15">
        <v>995.01</v>
      </c>
      <c r="HW8" s="47"/>
      <c r="HX8" s="15"/>
      <c r="HY8" s="60"/>
      <c r="HZ8" s="18"/>
      <c r="IA8" s="15"/>
      <c r="IB8" s="71"/>
      <c r="IC8" s="2"/>
      <c r="ID8" s="16">
        <v>1</v>
      </c>
      <c r="IE8" s="15">
        <v>896.5</v>
      </c>
      <c r="IF8" s="14">
        <v>43774</v>
      </c>
      <c r="IG8" s="15">
        <v>896.5</v>
      </c>
      <c r="IH8" s="35" t="s">
        <v>433</v>
      </c>
      <c r="II8" s="18">
        <v>42</v>
      </c>
      <c r="IK8" s="71"/>
      <c r="IL8" s="2"/>
      <c r="IM8" s="16"/>
      <c r="IN8" s="313"/>
      <c r="IO8" s="400"/>
      <c r="IP8" s="638"/>
      <c r="IQ8" s="60"/>
      <c r="IR8" s="18"/>
      <c r="IT8" s="71"/>
      <c r="IU8" s="2"/>
      <c r="IV8" s="16"/>
      <c r="IW8" s="15"/>
      <c r="IX8" s="14"/>
      <c r="IY8" s="15"/>
      <c r="IZ8" s="32"/>
      <c r="JA8" s="18"/>
      <c r="JC8" s="71"/>
      <c r="JD8" s="2"/>
      <c r="JE8" s="16"/>
      <c r="JF8" s="15"/>
      <c r="JG8" s="14"/>
      <c r="JH8" s="15"/>
      <c r="JI8" s="32"/>
      <c r="JJ8" s="18"/>
      <c r="JL8" s="71"/>
      <c r="JM8" s="2"/>
      <c r="JN8" s="16"/>
      <c r="JO8" s="15"/>
      <c r="JP8" s="14"/>
      <c r="JQ8" s="15"/>
      <c r="JR8" s="32"/>
      <c r="JS8" s="18"/>
      <c r="JU8" s="71"/>
      <c r="JV8" s="2"/>
      <c r="JW8" s="16"/>
      <c r="JX8" s="15"/>
      <c r="JY8" s="14"/>
      <c r="JZ8" s="15"/>
      <c r="KA8" s="32"/>
      <c r="KB8" s="18"/>
      <c r="KD8" s="71"/>
      <c r="KE8" s="2"/>
      <c r="KF8" s="16"/>
      <c r="KG8" s="15"/>
      <c r="KH8" s="14"/>
      <c r="KI8" s="15"/>
      <c r="KJ8" s="32"/>
      <c r="KK8" s="18"/>
      <c r="KM8" s="71"/>
      <c r="KN8" s="2"/>
      <c r="KO8" s="16">
        <v>1</v>
      </c>
      <c r="KP8" s="151"/>
      <c r="KQ8" s="85"/>
      <c r="KR8" s="278"/>
      <c r="KS8" s="101"/>
      <c r="KT8" s="83"/>
      <c r="KV8" s="71"/>
      <c r="KW8" s="2"/>
      <c r="KX8" s="16">
        <v>1</v>
      </c>
      <c r="KY8" s="151"/>
      <c r="KZ8" s="14"/>
      <c r="LA8" s="151"/>
      <c r="LB8" s="32"/>
      <c r="LC8" s="18"/>
      <c r="LE8" s="71"/>
      <c r="LF8" s="2"/>
      <c r="LG8" s="16"/>
      <c r="LH8" s="15"/>
      <c r="LI8" s="14"/>
      <c r="LJ8" s="15"/>
      <c r="LK8" s="32"/>
      <c r="LL8" s="18"/>
      <c r="LN8" s="71"/>
      <c r="LO8" s="2"/>
      <c r="LP8" s="16"/>
      <c r="LQ8" s="278"/>
      <c r="LR8" s="119"/>
      <c r="LS8" s="278"/>
      <c r="LT8" s="137"/>
      <c r="LU8" s="91"/>
      <c r="LW8" s="71"/>
      <c r="LX8" s="2"/>
      <c r="LY8" s="16"/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2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5"/>
      <c r="RP8" s="306"/>
      <c r="RQ8" s="307"/>
      <c r="RR8" s="308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61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IDEAL TRADING FOODS</v>
      </c>
      <c r="C9" t="str">
        <f t="shared" ref="C9:H9" si="5">BE5</f>
        <v>MAPLE</v>
      </c>
      <c r="D9" s="56" t="str">
        <f t="shared" si="5"/>
        <v>PED. 43306259</v>
      </c>
      <c r="E9" s="124">
        <f t="shared" si="5"/>
        <v>43750</v>
      </c>
      <c r="F9" s="58">
        <f t="shared" si="5"/>
        <v>18869.02</v>
      </c>
      <c r="G9" s="13">
        <f t="shared" si="5"/>
        <v>22</v>
      </c>
      <c r="H9" s="52">
        <f t="shared" si="5"/>
        <v>18953</v>
      </c>
      <c r="I9" s="6">
        <f>BK5</f>
        <v>-83.979999999999563</v>
      </c>
      <c r="K9" s="102"/>
      <c r="L9" s="136"/>
      <c r="M9" s="16">
        <v>2</v>
      </c>
      <c r="N9" s="240">
        <v>985.49</v>
      </c>
      <c r="O9" s="85">
        <v>43746</v>
      </c>
      <c r="P9" s="240">
        <v>985.49</v>
      </c>
      <c r="Q9" s="101" t="s">
        <v>208</v>
      </c>
      <c r="R9" s="83">
        <v>34.5</v>
      </c>
      <c r="T9" s="102"/>
      <c r="U9" s="136"/>
      <c r="V9" s="16">
        <v>2</v>
      </c>
      <c r="W9" s="152">
        <v>931.07</v>
      </c>
      <c r="X9" s="14">
        <v>43746</v>
      </c>
      <c r="Y9" s="152">
        <v>931.07</v>
      </c>
      <c r="Z9" s="32" t="s">
        <v>207</v>
      </c>
      <c r="AA9" s="18">
        <v>34.5</v>
      </c>
      <c r="AC9" s="102"/>
      <c r="AD9" s="136"/>
      <c r="AE9" s="16">
        <v>2</v>
      </c>
      <c r="AF9" s="15">
        <v>901</v>
      </c>
      <c r="AG9" s="14">
        <v>43746</v>
      </c>
      <c r="AH9" s="15">
        <v>901</v>
      </c>
      <c r="AI9" s="32" t="s">
        <v>205</v>
      </c>
      <c r="AJ9" s="18">
        <v>34.5</v>
      </c>
      <c r="AL9" s="102"/>
      <c r="AM9" s="136"/>
      <c r="AN9" s="16">
        <v>2</v>
      </c>
      <c r="AO9" s="152">
        <v>900.5</v>
      </c>
      <c r="AP9" s="119">
        <v>43748</v>
      </c>
      <c r="AQ9" s="152">
        <v>900.5</v>
      </c>
      <c r="AR9" s="137" t="s">
        <v>219</v>
      </c>
      <c r="AS9" s="91">
        <v>34.5</v>
      </c>
      <c r="AU9" s="102"/>
      <c r="AV9" s="136"/>
      <c r="AW9" s="16">
        <v>2</v>
      </c>
      <c r="AX9" s="15">
        <v>992.29</v>
      </c>
      <c r="AY9" s="85">
        <v>43749</v>
      </c>
      <c r="AZ9" s="15">
        <v>992.29</v>
      </c>
      <c r="BA9" s="101" t="s">
        <v>227</v>
      </c>
      <c r="BB9" s="312">
        <v>34.5</v>
      </c>
      <c r="BD9" s="102"/>
      <c r="BE9" s="136"/>
      <c r="BF9" s="16">
        <v>2</v>
      </c>
      <c r="BG9" s="15">
        <v>902.5</v>
      </c>
      <c r="BH9" s="85">
        <v>43749</v>
      </c>
      <c r="BI9" s="15">
        <v>902.5</v>
      </c>
      <c r="BJ9" s="101" t="s">
        <v>229</v>
      </c>
      <c r="BK9" s="312">
        <v>34.5</v>
      </c>
      <c r="BM9" s="102"/>
      <c r="BN9" s="136"/>
      <c r="BO9" s="16">
        <v>2</v>
      </c>
      <c r="BP9" s="15">
        <v>879.5</v>
      </c>
      <c r="BQ9" s="305">
        <v>43755</v>
      </c>
      <c r="BR9" s="15">
        <v>879.5</v>
      </c>
      <c r="BS9" s="307" t="s">
        <v>289</v>
      </c>
      <c r="BT9" s="308">
        <v>34.5</v>
      </c>
      <c r="BV9" s="102"/>
      <c r="BW9" s="136"/>
      <c r="BX9" s="16">
        <v>2</v>
      </c>
      <c r="BY9" s="15">
        <v>900</v>
      </c>
      <c r="BZ9" s="305">
        <v>43753</v>
      </c>
      <c r="CA9" s="15">
        <v>900</v>
      </c>
      <c r="CB9" s="307" t="s">
        <v>280</v>
      </c>
      <c r="CC9" s="308">
        <v>34.5</v>
      </c>
      <c r="CE9" s="102"/>
      <c r="CF9" s="136"/>
      <c r="CG9" s="16">
        <v>2</v>
      </c>
      <c r="CH9" s="15">
        <v>947.39</v>
      </c>
      <c r="CI9" s="305">
        <v>43753</v>
      </c>
      <c r="CJ9" s="15">
        <v>947.39</v>
      </c>
      <c r="CK9" s="307" t="s">
        <v>282</v>
      </c>
      <c r="CL9" s="308">
        <v>34.5</v>
      </c>
      <c r="CN9" s="102"/>
      <c r="CO9" s="136"/>
      <c r="CP9" s="16">
        <v>2</v>
      </c>
      <c r="CQ9" s="15">
        <v>944.37</v>
      </c>
      <c r="CR9" s="14">
        <v>43754</v>
      </c>
      <c r="CS9" s="15">
        <v>944.37</v>
      </c>
      <c r="CT9" s="32" t="s">
        <v>292</v>
      </c>
      <c r="CU9" s="18">
        <v>35</v>
      </c>
      <c r="CW9" s="102"/>
      <c r="CX9" s="136"/>
      <c r="CY9" s="16">
        <v>2</v>
      </c>
      <c r="CZ9" s="15">
        <v>916.1</v>
      </c>
      <c r="DA9" s="305">
        <v>43754</v>
      </c>
      <c r="DB9" s="15">
        <v>916.1</v>
      </c>
      <c r="DC9" s="307" t="s">
        <v>291</v>
      </c>
      <c r="DD9" s="308">
        <v>35</v>
      </c>
      <c r="DF9" s="102"/>
      <c r="DG9" s="136"/>
      <c r="DH9" s="16">
        <v>2</v>
      </c>
      <c r="DI9" s="15">
        <v>905</v>
      </c>
      <c r="DJ9" s="305">
        <v>43756</v>
      </c>
      <c r="DK9" s="15">
        <v>905</v>
      </c>
      <c r="DL9" s="307" t="s">
        <v>303</v>
      </c>
      <c r="DM9" s="308">
        <v>35</v>
      </c>
      <c r="DO9" s="102"/>
      <c r="DP9" s="136"/>
      <c r="DQ9" s="16">
        <v>2</v>
      </c>
      <c r="DR9" s="7">
        <v>981.41</v>
      </c>
      <c r="DS9" s="47">
        <v>43760</v>
      </c>
      <c r="DT9" s="7">
        <v>981.41</v>
      </c>
      <c r="DU9" s="60" t="s">
        <v>326</v>
      </c>
      <c r="DV9" s="18">
        <v>39</v>
      </c>
      <c r="DX9" s="102"/>
      <c r="DY9" s="136"/>
      <c r="DZ9" s="16">
        <v>2</v>
      </c>
      <c r="EA9" s="7">
        <v>957.07</v>
      </c>
      <c r="EB9" s="47">
        <v>43761</v>
      </c>
      <c r="EC9" s="7">
        <v>957.07</v>
      </c>
      <c r="ED9" s="611" t="s">
        <v>370</v>
      </c>
      <c r="EE9" s="18">
        <v>39</v>
      </c>
      <c r="EG9" s="102"/>
      <c r="EH9" s="136"/>
      <c r="EI9" s="16">
        <v>2</v>
      </c>
      <c r="EJ9" s="15">
        <v>971.59</v>
      </c>
      <c r="EK9" s="14">
        <v>43763</v>
      </c>
      <c r="EL9" s="15">
        <v>971.59</v>
      </c>
      <c r="EM9" s="35" t="s">
        <v>380</v>
      </c>
      <c r="EN9" s="18">
        <v>39</v>
      </c>
      <c r="EP9" s="102"/>
      <c r="EQ9" s="136"/>
      <c r="ER9" s="16">
        <v>2</v>
      </c>
      <c r="ES9" s="15">
        <v>886.5</v>
      </c>
      <c r="ET9" s="14">
        <v>43761</v>
      </c>
      <c r="EU9" s="15">
        <v>886.5</v>
      </c>
      <c r="EV9" s="35" t="s">
        <v>328</v>
      </c>
      <c r="EW9" s="18">
        <v>39</v>
      </c>
      <c r="EY9" s="102"/>
      <c r="EZ9" s="136"/>
      <c r="FA9" s="16">
        <v>2</v>
      </c>
      <c r="FB9" s="134">
        <v>891</v>
      </c>
      <c r="FC9" s="119">
        <v>43767</v>
      </c>
      <c r="FD9" s="134">
        <v>891</v>
      </c>
      <c r="FE9" s="90" t="s">
        <v>386</v>
      </c>
      <c r="FF9" s="91">
        <v>41</v>
      </c>
      <c r="FH9" s="102"/>
      <c r="FI9" s="136"/>
      <c r="FJ9" s="16">
        <v>2</v>
      </c>
      <c r="FK9" s="7">
        <v>941.95</v>
      </c>
      <c r="FL9" s="47">
        <v>43768</v>
      </c>
      <c r="FM9" s="7">
        <v>941.95</v>
      </c>
      <c r="FN9" s="60" t="s">
        <v>391</v>
      </c>
      <c r="FO9" s="18">
        <v>41</v>
      </c>
      <c r="FQ9" s="102"/>
      <c r="FR9" s="136"/>
      <c r="FS9" s="16">
        <v>2</v>
      </c>
      <c r="FT9" s="6">
        <v>894.9</v>
      </c>
      <c r="FU9" s="119">
        <v>43770</v>
      </c>
      <c r="FV9" s="154">
        <v>894.9</v>
      </c>
      <c r="FW9" s="137" t="s">
        <v>405</v>
      </c>
      <c r="FX9" s="91">
        <v>41</v>
      </c>
      <c r="FZ9" s="102"/>
      <c r="GA9" s="136"/>
      <c r="GB9" s="16">
        <v>2</v>
      </c>
      <c r="GC9" s="6">
        <v>903.1</v>
      </c>
      <c r="GD9" s="14">
        <v>43770</v>
      </c>
      <c r="GE9" s="479">
        <v>903.1</v>
      </c>
      <c r="GF9" s="32" t="s">
        <v>399</v>
      </c>
      <c r="GG9" s="18">
        <v>41</v>
      </c>
      <c r="GJ9" s="136"/>
      <c r="GK9" s="16">
        <v>2</v>
      </c>
      <c r="GL9" s="15">
        <v>932.58</v>
      </c>
      <c r="GM9" s="14">
        <v>43768</v>
      </c>
      <c r="GN9" s="15">
        <v>932.58</v>
      </c>
      <c r="GO9" s="32" t="s">
        <v>389</v>
      </c>
      <c r="GP9" s="18">
        <v>41</v>
      </c>
      <c r="GR9" s="102"/>
      <c r="GS9" s="136"/>
      <c r="GT9" s="16">
        <v>2</v>
      </c>
      <c r="GU9" s="15">
        <v>862.29</v>
      </c>
      <c r="GV9" s="14">
        <v>43771</v>
      </c>
      <c r="GW9" s="15">
        <v>862.29</v>
      </c>
      <c r="GX9" s="239" t="s">
        <v>423</v>
      </c>
      <c r="GY9" s="18">
        <v>41</v>
      </c>
      <c r="HA9" s="102"/>
      <c r="HB9" s="136"/>
      <c r="HC9" s="16">
        <v>2</v>
      </c>
      <c r="HD9" s="7">
        <v>885.4</v>
      </c>
      <c r="HE9" s="47">
        <v>43771</v>
      </c>
      <c r="HF9" s="7">
        <v>885.4</v>
      </c>
      <c r="HG9" s="60" t="s">
        <v>418</v>
      </c>
      <c r="HH9" s="18">
        <v>41</v>
      </c>
      <c r="HJ9" s="102"/>
      <c r="HK9" s="136"/>
      <c r="HL9" s="16">
        <v>2</v>
      </c>
      <c r="HM9" s="15">
        <v>903.5</v>
      </c>
      <c r="HN9" s="14">
        <v>43770</v>
      </c>
      <c r="HO9" s="15">
        <v>903.5</v>
      </c>
      <c r="HP9" s="393" t="s">
        <v>408</v>
      </c>
      <c r="HQ9" s="18">
        <v>41</v>
      </c>
      <c r="HR9" s="15"/>
      <c r="HS9" s="15"/>
      <c r="HT9" s="136"/>
      <c r="HU9" s="16">
        <v>2</v>
      </c>
      <c r="HV9" s="15">
        <v>885.26</v>
      </c>
      <c r="HW9" s="47"/>
      <c r="HX9" s="15"/>
      <c r="HY9" s="60"/>
      <c r="HZ9" s="18"/>
      <c r="IA9" s="7"/>
      <c r="IB9" s="102"/>
      <c r="IC9" s="136"/>
      <c r="ID9" s="16">
        <v>2</v>
      </c>
      <c r="IE9" s="15">
        <v>897</v>
      </c>
      <c r="IF9" s="14">
        <v>43774</v>
      </c>
      <c r="IG9" s="15">
        <v>897</v>
      </c>
      <c r="IH9" s="35" t="s">
        <v>433</v>
      </c>
      <c r="II9" s="18">
        <v>42</v>
      </c>
      <c r="IK9" s="102"/>
      <c r="IL9" s="136"/>
      <c r="IM9" s="16"/>
      <c r="IN9" s="7"/>
      <c r="IO9" s="400"/>
      <c r="IP9" s="610"/>
      <c r="IQ9" s="60"/>
      <c r="IR9" s="18"/>
      <c r="IT9" s="102"/>
      <c r="IU9" s="136"/>
      <c r="IV9" s="16"/>
      <c r="IW9" s="15"/>
      <c r="IX9" s="14"/>
      <c r="IY9" s="15"/>
      <c r="IZ9" s="32"/>
      <c r="JA9" s="18"/>
      <c r="JC9" s="102"/>
      <c r="JD9" s="136"/>
      <c r="JE9" s="16"/>
      <c r="JF9" s="15"/>
      <c r="JG9" s="14"/>
      <c r="JH9" s="15"/>
      <c r="JI9" s="32"/>
      <c r="JJ9" s="18"/>
      <c r="JL9" s="102"/>
      <c r="JM9" s="136"/>
      <c r="JN9" s="16"/>
      <c r="JO9" s="15"/>
      <c r="JP9" s="14"/>
      <c r="JQ9" s="15"/>
      <c r="JR9" s="32"/>
      <c r="JS9" s="18"/>
      <c r="JU9" s="102"/>
      <c r="JV9" s="136"/>
      <c r="JW9" s="16"/>
      <c r="JX9" s="15"/>
      <c r="JY9" s="14"/>
      <c r="JZ9" s="15"/>
      <c r="KA9" s="32"/>
      <c r="KB9" s="18"/>
      <c r="KD9" s="102"/>
      <c r="KE9" s="136"/>
      <c r="KF9" s="16"/>
      <c r="KG9" s="15"/>
      <c r="KH9" s="14"/>
      <c r="KI9" s="15"/>
      <c r="KJ9" s="32"/>
      <c r="KK9" s="18"/>
      <c r="KM9" s="102"/>
      <c r="KN9" s="136"/>
      <c r="KO9" s="16">
        <v>2</v>
      </c>
      <c r="KP9" s="240"/>
      <c r="KQ9" s="85"/>
      <c r="KR9" s="240"/>
      <c r="KS9" s="101"/>
      <c r="KT9" s="83"/>
      <c r="KV9" s="102"/>
      <c r="KW9" s="136"/>
      <c r="KX9" s="16">
        <v>2</v>
      </c>
      <c r="KY9" s="152"/>
      <c r="KZ9" s="14"/>
      <c r="LA9" s="152"/>
      <c r="LB9" s="32"/>
      <c r="LC9" s="18"/>
      <c r="LE9" s="102"/>
      <c r="LF9" s="136"/>
      <c r="LG9" s="16"/>
      <c r="LH9" s="15"/>
      <c r="LI9" s="14"/>
      <c r="LJ9" s="15"/>
      <c r="LK9" s="32"/>
      <c r="LL9" s="18"/>
      <c r="LN9" s="102"/>
      <c r="LO9" s="136"/>
      <c r="LP9" s="16"/>
      <c r="LQ9" s="152"/>
      <c r="LR9" s="14"/>
      <c r="LS9" s="152"/>
      <c r="LT9" s="32"/>
      <c r="LU9" s="18"/>
      <c r="LW9" s="102"/>
      <c r="LX9" s="136"/>
      <c r="LY9" s="16"/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5"/>
      <c r="RP9" s="306"/>
      <c r="RQ9" s="307"/>
      <c r="RR9" s="308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53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IDEAL TRADING</v>
      </c>
      <c r="C10" t="str">
        <f t="shared" si="6"/>
        <v>SIOUX</v>
      </c>
      <c r="D10" s="56">
        <f t="shared" si="6"/>
        <v>43350375</v>
      </c>
      <c r="E10" s="124">
        <f t="shared" si="6"/>
        <v>43753</v>
      </c>
      <c r="F10" s="58">
        <f t="shared" si="6"/>
        <v>18684.87</v>
      </c>
      <c r="G10" s="13">
        <f t="shared" si="6"/>
        <v>21</v>
      </c>
      <c r="H10" s="52">
        <f t="shared" si="6"/>
        <v>18768.5</v>
      </c>
      <c r="I10" s="6">
        <f t="shared" si="6"/>
        <v>-83.630000000001019</v>
      </c>
      <c r="L10" s="136"/>
      <c r="M10" s="16">
        <v>3</v>
      </c>
      <c r="N10" s="152">
        <v>959.18</v>
      </c>
      <c r="O10" s="85">
        <v>43746</v>
      </c>
      <c r="P10" s="152">
        <v>959.18</v>
      </c>
      <c r="Q10" s="101" t="s">
        <v>208</v>
      </c>
      <c r="R10" s="83">
        <v>34.5</v>
      </c>
      <c r="U10" s="136"/>
      <c r="V10" s="16">
        <v>3</v>
      </c>
      <c r="W10" s="152">
        <v>966.89</v>
      </c>
      <c r="X10" s="14">
        <v>43746</v>
      </c>
      <c r="Y10" s="152">
        <v>966.89</v>
      </c>
      <c r="Z10" s="32" t="s">
        <v>207</v>
      </c>
      <c r="AA10" s="18">
        <v>34.5</v>
      </c>
      <c r="AD10" s="136"/>
      <c r="AE10" s="16">
        <v>3</v>
      </c>
      <c r="AF10" s="15">
        <v>895.5</v>
      </c>
      <c r="AG10" s="14">
        <v>43746</v>
      </c>
      <c r="AH10" s="15">
        <v>895.5</v>
      </c>
      <c r="AI10" s="32" t="s">
        <v>205</v>
      </c>
      <c r="AJ10" s="18">
        <v>34.5</v>
      </c>
      <c r="AL10" s="102"/>
      <c r="AM10" s="136"/>
      <c r="AN10" s="16">
        <v>3</v>
      </c>
      <c r="AO10" s="152">
        <v>864.5</v>
      </c>
      <c r="AP10" s="119">
        <v>43748</v>
      </c>
      <c r="AQ10" s="152">
        <v>864.5</v>
      </c>
      <c r="AR10" s="137" t="s">
        <v>219</v>
      </c>
      <c r="AS10" s="91">
        <v>34.5</v>
      </c>
      <c r="AV10" s="136"/>
      <c r="AW10" s="16">
        <v>3</v>
      </c>
      <c r="AX10" s="15">
        <v>976.87</v>
      </c>
      <c r="AY10" s="85">
        <v>43749</v>
      </c>
      <c r="AZ10" s="15">
        <v>976.87</v>
      </c>
      <c r="BA10" s="101" t="s">
        <v>227</v>
      </c>
      <c r="BB10" s="312">
        <v>34.5</v>
      </c>
      <c r="BE10" s="136"/>
      <c r="BF10" s="16">
        <v>3</v>
      </c>
      <c r="BG10" s="15">
        <v>845.5</v>
      </c>
      <c r="BH10" s="85">
        <v>43749</v>
      </c>
      <c r="BI10" s="15">
        <v>845.5</v>
      </c>
      <c r="BJ10" s="101" t="s">
        <v>229</v>
      </c>
      <c r="BK10" s="312">
        <v>34.5</v>
      </c>
      <c r="BN10" s="136"/>
      <c r="BO10" s="16">
        <v>3</v>
      </c>
      <c r="BP10" s="15">
        <v>897.5</v>
      </c>
      <c r="BQ10" s="305">
        <v>43755</v>
      </c>
      <c r="BR10" s="15">
        <v>897.5</v>
      </c>
      <c r="BS10" s="307" t="s">
        <v>288</v>
      </c>
      <c r="BT10" s="308">
        <v>34.5</v>
      </c>
      <c r="BW10" s="136"/>
      <c r="BX10" s="16">
        <v>3</v>
      </c>
      <c r="BY10" s="15">
        <v>894.5</v>
      </c>
      <c r="BZ10" s="305">
        <v>43753</v>
      </c>
      <c r="CA10" s="15">
        <v>894.5</v>
      </c>
      <c r="CB10" s="307" t="s">
        <v>280</v>
      </c>
      <c r="CC10" s="308">
        <v>34.5</v>
      </c>
      <c r="CF10" s="136"/>
      <c r="CG10" s="16">
        <v>3</v>
      </c>
      <c r="CH10" s="15">
        <v>949.21</v>
      </c>
      <c r="CI10" s="305">
        <v>43753</v>
      </c>
      <c r="CJ10" s="15">
        <v>949.21</v>
      </c>
      <c r="CK10" s="307" t="s">
        <v>282</v>
      </c>
      <c r="CL10" s="308">
        <v>34.5</v>
      </c>
      <c r="CO10" s="136"/>
      <c r="CP10" s="16">
        <v>3</v>
      </c>
      <c r="CQ10" s="15">
        <v>968.41</v>
      </c>
      <c r="CR10" s="14">
        <v>43754</v>
      </c>
      <c r="CS10" s="15">
        <v>968.41</v>
      </c>
      <c r="CT10" s="32" t="s">
        <v>292</v>
      </c>
      <c r="CU10" s="18">
        <v>35</v>
      </c>
      <c r="CX10" s="136"/>
      <c r="CY10" s="16">
        <v>3</v>
      </c>
      <c r="CZ10" s="15">
        <v>907.48</v>
      </c>
      <c r="DA10" s="305">
        <v>43754</v>
      </c>
      <c r="DB10" s="15">
        <v>907.48</v>
      </c>
      <c r="DC10" s="307" t="s">
        <v>291</v>
      </c>
      <c r="DD10" s="308">
        <v>35</v>
      </c>
      <c r="DG10" s="136"/>
      <c r="DH10" s="16">
        <v>3</v>
      </c>
      <c r="DI10" s="15">
        <v>900</v>
      </c>
      <c r="DJ10" s="305">
        <v>43756</v>
      </c>
      <c r="DK10" s="15">
        <v>900</v>
      </c>
      <c r="DL10" s="307" t="s">
        <v>303</v>
      </c>
      <c r="DM10" s="308">
        <v>35</v>
      </c>
      <c r="DP10" s="136"/>
      <c r="DQ10" s="16">
        <v>3</v>
      </c>
      <c r="DR10" s="7">
        <v>985.49</v>
      </c>
      <c r="DS10" s="47">
        <v>43760</v>
      </c>
      <c r="DT10" s="7">
        <v>985.49</v>
      </c>
      <c r="DU10" s="60" t="s">
        <v>326</v>
      </c>
      <c r="DV10" s="18">
        <v>39</v>
      </c>
      <c r="DY10" s="136"/>
      <c r="DZ10" s="16">
        <v>3</v>
      </c>
      <c r="EA10" s="7">
        <v>941.2</v>
      </c>
      <c r="EB10" s="47">
        <v>43761</v>
      </c>
      <c r="EC10" s="7">
        <v>941.2</v>
      </c>
      <c r="ED10" s="611" t="s">
        <v>370</v>
      </c>
      <c r="EE10" s="18">
        <v>39</v>
      </c>
      <c r="EH10" s="136"/>
      <c r="EI10" s="16">
        <v>3</v>
      </c>
      <c r="EJ10" s="15">
        <v>928.95</v>
      </c>
      <c r="EK10" s="14">
        <v>43763</v>
      </c>
      <c r="EL10" s="15">
        <v>928.95</v>
      </c>
      <c r="EM10" s="35" t="s">
        <v>380</v>
      </c>
      <c r="EN10" s="18">
        <v>39</v>
      </c>
      <c r="EQ10" s="136"/>
      <c r="ER10" s="16">
        <v>3</v>
      </c>
      <c r="ES10" s="15">
        <v>814</v>
      </c>
      <c r="ET10" s="14">
        <v>43761</v>
      </c>
      <c r="EU10" s="15">
        <v>814</v>
      </c>
      <c r="EV10" s="35" t="s">
        <v>328</v>
      </c>
      <c r="EW10" s="18">
        <v>39</v>
      </c>
      <c r="EZ10" s="136"/>
      <c r="FA10" s="16">
        <v>3</v>
      </c>
      <c r="FB10" s="134">
        <v>905.5</v>
      </c>
      <c r="FC10" s="119">
        <v>43767</v>
      </c>
      <c r="FD10" s="134">
        <v>905.5</v>
      </c>
      <c r="FE10" s="90" t="s">
        <v>386</v>
      </c>
      <c r="FF10" s="91">
        <v>41</v>
      </c>
      <c r="FI10" s="136"/>
      <c r="FJ10" s="16">
        <v>3</v>
      </c>
      <c r="FK10" s="7">
        <v>948.75</v>
      </c>
      <c r="FL10" s="47">
        <v>43768</v>
      </c>
      <c r="FM10" s="7">
        <v>948.75</v>
      </c>
      <c r="FN10" s="60" t="s">
        <v>391</v>
      </c>
      <c r="FO10" s="18">
        <v>41</v>
      </c>
      <c r="FR10" s="136"/>
      <c r="FS10" s="16">
        <v>3</v>
      </c>
      <c r="FT10" s="15">
        <v>895.4</v>
      </c>
      <c r="FU10" s="119">
        <v>43770</v>
      </c>
      <c r="FV10" s="134">
        <v>895.4</v>
      </c>
      <c r="FW10" s="137" t="s">
        <v>405</v>
      </c>
      <c r="FX10" s="91">
        <v>41</v>
      </c>
      <c r="GA10" s="136"/>
      <c r="GB10" s="16">
        <v>3</v>
      </c>
      <c r="GC10" s="15">
        <v>923.51</v>
      </c>
      <c r="GD10" s="14">
        <v>43770</v>
      </c>
      <c r="GE10" s="496">
        <v>923.51</v>
      </c>
      <c r="GF10" s="32" t="s">
        <v>399</v>
      </c>
      <c r="GG10" s="18">
        <v>41</v>
      </c>
      <c r="GI10"/>
      <c r="GJ10" s="136"/>
      <c r="GK10" s="16">
        <v>3</v>
      </c>
      <c r="GL10" s="15">
        <v>936.21</v>
      </c>
      <c r="GM10" s="14">
        <v>43768</v>
      </c>
      <c r="GN10" s="15">
        <v>936.21</v>
      </c>
      <c r="GO10" s="32" t="s">
        <v>389</v>
      </c>
      <c r="GP10" s="18">
        <v>41</v>
      </c>
      <c r="GS10" s="136"/>
      <c r="GT10" s="16">
        <v>3</v>
      </c>
      <c r="GU10" s="15">
        <v>875.9</v>
      </c>
      <c r="GV10" s="14">
        <v>43771</v>
      </c>
      <c r="GW10" s="15">
        <v>875.9</v>
      </c>
      <c r="GX10" s="239" t="s">
        <v>423</v>
      </c>
      <c r="GY10" s="18">
        <v>41</v>
      </c>
      <c r="HB10" s="136"/>
      <c r="HC10" s="16">
        <v>3</v>
      </c>
      <c r="HD10" s="7">
        <v>870.9</v>
      </c>
      <c r="HE10" s="47">
        <v>43771</v>
      </c>
      <c r="HF10" s="7">
        <v>870.9</v>
      </c>
      <c r="HG10" s="60" t="s">
        <v>418</v>
      </c>
      <c r="HH10" s="18">
        <v>41</v>
      </c>
      <c r="HK10" s="136"/>
      <c r="HL10" s="16">
        <v>3</v>
      </c>
      <c r="HM10" s="15">
        <v>898</v>
      </c>
      <c r="HN10" s="14">
        <v>43770</v>
      </c>
      <c r="HO10" s="15">
        <v>898</v>
      </c>
      <c r="HP10" s="393" t="s">
        <v>409</v>
      </c>
      <c r="HQ10" s="18">
        <v>41</v>
      </c>
      <c r="HR10" s="15"/>
      <c r="HS10" s="7"/>
      <c r="HT10" s="136"/>
      <c r="HU10" s="16">
        <v>3</v>
      </c>
      <c r="HV10" s="15">
        <v>918.82</v>
      </c>
      <c r="HW10" s="47"/>
      <c r="HX10" s="15"/>
      <c r="HY10" s="60"/>
      <c r="HZ10" s="18"/>
      <c r="IA10" s="7"/>
      <c r="IC10" s="136"/>
      <c r="ID10" s="16">
        <v>3</v>
      </c>
      <c r="IE10" s="15">
        <v>903</v>
      </c>
      <c r="IF10" s="14">
        <v>43774</v>
      </c>
      <c r="IG10" s="15">
        <v>903</v>
      </c>
      <c r="IH10" s="35" t="s">
        <v>433</v>
      </c>
      <c r="II10" s="18">
        <v>42</v>
      </c>
      <c r="IL10" s="136"/>
      <c r="IM10" s="16"/>
      <c r="IN10" s="7"/>
      <c r="IO10" s="400"/>
      <c r="IP10" s="610"/>
      <c r="IQ10" s="60"/>
      <c r="IR10" s="18"/>
      <c r="IU10" s="136"/>
      <c r="IV10" s="16"/>
      <c r="IW10" s="15"/>
      <c r="IX10" s="14"/>
      <c r="IY10" s="15"/>
      <c r="IZ10" s="32"/>
      <c r="JA10" s="18"/>
      <c r="JD10" s="136"/>
      <c r="JE10" s="16"/>
      <c r="JF10" s="15"/>
      <c r="JG10" s="14"/>
      <c r="JH10" s="15"/>
      <c r="JI10" s="32"/>
      <c r="JJ10" s="18"/>
      <c r="JM10" s="136"/>
      <c r="JN10" s="16"/>
      <c r="JO10" s="15"/>
      <c r="JP10" s="14"/>
      <c r="JQ10" s="15"/>
      <c r="JR10" s="32"/>
      <c r="JS10" s="18"/>
      <c r="JV10" s="136"/>
      <c r="JW10" s="16"/>
      <c r="JX10" s="15"/>
      <c r="JY10" s="14"/>
      <c r="JZ10" s="15"/>
      <c r="KA10" s="32"/>
      <c r="KB10" s="18"/>
      <c r="KE10" s="136"/>
      <c r="KF10" s="16"/>
      <c r="KG10" s="15"/>
      <c r="KH10" s="14"/>
      <c r="KI10" s="15"/>
      <c r="KJ10" s="32"/>
      <c r="KK10" s="18"/>
      <c r="KN10" s="136"/>
      <c r="KO10" s="16">
        <v>3</v>
      </c>
      <c r="KP10" s="152"/>
      <c r="KQ10" s="85"/>
      <c r="KR10" s="152"/>
      <c r="KS10" s="101"/>
      <c r="KT10" s="83"/>
      <c r="KW10" s="136"/>
      <c r="KX10" s="16">
        <v>3</v>
      </c>
      <c r="KY10" s="152"/>
      <c r="KZ10" s="14"/>
      <c r="LA10" s="152"/>
      <c r="LB10" s="32"/>
      <c r="LC10" s="18"/>
      <c r="LF10" s="136"/>
      <c r="LG10" s="16"/>
      <c r="LH10" s="15"/>
      <c r="LI10" s="14"/>
      <c r="LJ10" s="15"/>
      <c r="LK10" s="32"/>
      <c r="LL10" s="18"/>
      <c r="LN10" s="102"/>
      <c r="LO10" s="136"/>
      <c r="LP10" s="16"/>
      <c r="LQ10" s="152"/>
      <c r="LR10" s="14"/>
      <c r="LS10" s="152"/>
      <c r="LT10" s="32"/>
      <c r="LU10" s="18"/>
      <c r="LW10" s="102"/>
      <c r="LX10" s="136"/>
      <c r="LY10" s="16"/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5"/>
      <c r="RP10" s="306"/>
      <c r="RQ10" s="307"/>
      <c r="RR10" s="308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IDEAL TRADING</v>
      </c>
      <c r="C11" t="str">
        <f t="shared" si="7"/>
        <v>SIOUX</v>
      </c>
      <c r="D11" s="56" t="str">
        <f t="shared" si="7"/>
        <v>PED. 43351938</v>
      </c>
      <c r="E11" s="124">
        <f t="shared" si="7"/>
        <v>43753</v>
      </c>
      <c r="F11" s="58">
        <f t="shared" si="7"/>
        <v>18825.27</v>
      </c>
      <c r="G11" s="13">
        <f t="shared" si="7"/>
        <v>21</v>
      </c>
      <c r="H11" s="52">
        <f t="shared" si="7"/>
        <v>18871</v>
      </c>
      <c r="I11" s="6">
        <f t="shared" si="7"/>
        <v>-45.729999999999563</v>
      </c>
      <c r="K11" s="71"/>
      <c r="L11" s="2"/>
      <c r="M11" s="16">
        <v>4</v>
      </c>
      <c r="N11" s="152">
        <v>951.02</v>
      </c>
      <c r="O11" s="85">
        <v>43746</v>
      </c>
      <c r="P11" s="152">
        <v>951.02</v>
      </c>
      <c r="Q11" s="101" t="s">
        <v>208</v>
      </c>
      <c r="R11" s="83">
        <v>34.5</v>
      </c>
      <c r="T11" s="71"/>
      <c r="U11" s="2"/>
      <c r="V11" s="16">
        <v>4</v>
      </c>
      <c r="W11" s="152">
        <v>947.85</v>
      </c>
      <c r="X11" s="14">
        <v>43746</v>
      </c>
      <c r="Y11" s="152">
        <v>947.85</v>
      </c>
      <c r="Z11" s="32" t="s">
        <v>207</v>
      </c>
      <c r="AA11" s="18">
        <v>34.5</v>
      </c>
      <c r="AC11" s="71"/>
      <c r="AD11" s="2"/>
      <c r="AE11" s="16">
        <v>4</v>
      </c>
      <c r="AF11" s="15">
        <v>904</v>
      </c>
      <c r="AG11" s="14">
        <v>43746</v>
      </c>
      <c r="AH11" s="15">
        <v>904</v>
      </c>
      <c r="AI11" s="32" t="s">
        <v>205</v>
      </c>
      <c r="AJ11" s="18">
        <v>34.5</v>
      </c>
      <c r="AL11" s="71"/>
      <c r="AM11" s="2"/>
      <c r="AN11" s="16">
        <v>4</v>
      </c>
      <c r="AO11" s="152">
        <v>896.5</v>
      </c>
      <c r="AP11" s="119">
        <v>43748</v>
      </c>
      <c r="AQ11" s="152">
        <v>896.5</v>
      </c>
      <c r="AR11" s="137" t="s">
        <v>219</v>
      </c>
      <c r="AS11" s="91">
        <v>34.5</v>
      </c>
      <c r="AU11" s="71"/>
      <c r="AV11" s="2"/>
      <c r="AW11" s="16">
        <v>4</v>
      </c>
      <c r="AX11" s="15">
        <v>946.49</v>
      </c>
      <c r="AY11" s="85">
        <v>43749</v>
      </c>
      <c r="AZ11" s="15">
        <v>946.49</v>
      </c>
      <c r="BA11" s="101" t="s">
        <v>227</v>
      </c>
      <c r="BB11" s="312">
        <v>34.5</v>
      </c>
      <c r="BD11" s="71"/>
      <c r="BE11" s="2"/>
      <c r="BF11" s="16">
        <v>4</v>
      </c>
      <c r="BG11" s="15">
        <v>826</v>
      </c>
      <c r="BH11" s="85">
        <v>43749</v>
      </c>
      <c r="BI11" s="15">
        <v>826</v>
      </c>
      <c r="BJ11" s="101" t="s">
        <v>229</v>
      </c>
      <c r="BK11" s="312">
        <v>34.5</v>
      </c>
      <c r="BM11" s="71"/>
      <c r="BN11" s="2"/>
      <c r="BO11" s="16">
        <v>4</v>
      </c>
      <c r="BP11" s="15">
        <v>872.5</v>
      </c>
      <c r="BQ11" s="305">
        <v>43755</v>
      </c>
      <c r="BR11" s="15">
        <v>872.5</v>
      </c>
      <c r="BS11" s="307" t="s">
        <v>288</v>
      </c>
      <c r="BT11" s="308">
        <v>34.5</v>
      </c>
      <c r="BV11" s="71"/>
      <c r="BW11" s="2"/>
      <c r="BX11" s="16">
        <v>4</v>
      </c>
      <c r="BY11" s="15">
        <v>905</v>
      </c>
      <c r="BZ11" s="305">
        <v>43753</v>
      </c>
      <c r="CA11" s="15">
        <v>905</v>
      </c>
      <c r="CB11" s="307" t="s">
        <v>280</v>
      </c>
      <c r="CC11" s="308">
        <v>34.5</v>
      </c>
      <c r="CE11" s="71"/>
      <c r="CF11" s="2"/>
      <c r="CG11" s="16">
        <v>4</v>
      </c>
      <c r="CH11" s="15">
        <v>927.44</v>
      </c>
      <c r="CI11" s="305">
        <v>43753</v>
      </c>
      <c r="CJ11" s="15">
        <v>927.44</v>
      </c>
      <c r="CK11" s="307" t="s">
        <v>282</v>
      </c>
      <c r="CL11" s="308">
        <v>34.5</v>
      </c>
      <c r="CN11" s="71"/>
      <c r="CO11" s="2"/>
      <c r="CP11" s="16">
        <v>4</v>
      </c>
      <c r="CQ11" s="15">
        <v>962.97</v>
      </c>
      <c r="CR11" s="14">
        <v>43754</v>
      </c>
      <c r="CS11" s="15">
        <v>962.97</v>
      </c>
      <c r="CT11" s="32" t="s">
        <v>292</v>
      </c>
      <c r="CU11" s="18">
        <v>35</v>
      </c>
      <c r="CW11" s="71"/>
      <c r="CX11" s="2"/>
      <c r="CY11" s="16">
        <v>4</v>
      </c>
      <c r="CZ11" s="15">
        <v>909.3</v>
      </c>
      <c r="DA11" s="305">
        <v>43754</v>
      </c>
      <c r="DB11" s="15">
        <v>909.3</v>
      </c>
      <c r="DC11" s="307" t="s">
        <v>291</v>
      </c>
      <c r="DD11" s="308">
        <v>35</v>
      </c>
      <c r="DF11" s="71"/>
      <c r="DG11" s="2"/>
      <c r="DH11" s="16">
        <v>4</v>
      </c>
      <c r="DI11" s="15">
        <v>904.5</v>
      </c>
      <c r="DJ11" s="305">
        <v>43756</v>
      </c>
      <c r="DK11" s="15">
        <v>904.5</v>
      </c>
      <c r="DL11" s="307" t="s">
        <v>303</v>
      </c>
      <c r="DM11" s="308">
        <v>35</v>
      </c>
      <c r="DO11" s="71"/>
      <c r="DP11" s="2"/>
      <c r="DQ11" s="16">
        <v>4</v>
      </c>
      <c r="DR11" s="7">
        <v>911.56</v>
      </c>
      <c r="DS11" s="47">
        <v>43760</v>
      </c>
      <c r="DT11" s="7">
        <v>911.56</v>
      </c>
      <c r="DU11" s="60" t="s">
        <v>326</v>
      </c>
      <c r="DV11" s="18">
        <v>39</v>
      </c>
      <c r="DX11" s="71"/>
      <c r="DY11" s="2"/>
      <c r="DZ11" s="16">
        <v>4</v>
      </c>
      <c r="EA11" s="7">
        <v>927.14</v>
      </c>
      <c r="EB11" s="47">
        <v>43761</v>
      </c>
      <c r="EC11" s="7">
        <v>927.14</v>
      </c>
      <c r="ED11" s="611" t="s">
        <v>370</v>
      </c>
      <c r="EE11" s="18">
        <v>39</v>
      </c>
      <c r="EG11" s="71"/>
      <c r="EH11" s="2"/>
      <c r="EI11" s="16">
        <v>4</v>
      </c>
      <c r="EJ11" s="15">
        <v>952.09</v>
      </c>
      <c r="EK11" s="14">
        <v>43763</v>
      </c>
      <c r="EL11" s="15">
        <v>952.09</v>
      </c>
      <c r="EM11" s="35" t="s">
        <v>380</v>
      </c>
      <c r="EN11" s="18">
        <v>39</v>
      </c>
      <c r="EP11" s="71"/>
      <c r="EQ11" s="2"/>
      <c r="ER11" s="16">
        <v>4</v>
      </c>
      <c r="ES11" s="15">
        <v>891</v>
      </c>
      <c r="ET11" s="14">
        <v>43761</v>
      </c>
      <c r="EU11" s="15">
        <v>891</v>
      </c>
      <c r="EV11" s="35" t="s">
        <v>328</v>
      </c>
      <c r="EW11" s="18">
        <v>39</v>
      </c>
      <c r="EY11" s="71"/>
      <c r="EZ11" s="2"/>
      <c r="FA11" s="16">
        <v>4</v>
      </c>
      <c r="FB11" s="134">
        <v>894.5</v>
      </c>
      <c r="FC11" s="119">
        <v>43767</v>
      </c>
      <c r="FD11" s="134">
        <v>894.5</v>
      </c>
      <c r="FE11" s="90" t="s">
        <v>386</v>
      </c>
      <c r="FF11" s="91">
        <v>41</v>
      </c>
      <c r="FH11" s="71"/>
      <c r="FI11" s="2"/>
      <c r="FJ11" s="16">
        <v>4</v>
      </c>
      <c r="FK11" s="7">
        <v>930.16</v>
      </c>
      <c r="FL11" s="47">
        <v>43768</v>
      </c>
      <c r="FM11" s="7">
        <v>930.16</v>
      </c>
      <c r="FN11" s="60" t="s">
        <v>391</v>
      </c>
      <c r="FO11" s="18">
        <v>41</v>
      </c>
      <c r="FQ11" s="71"/>
      <c r="FR11" s="2"/>
      <c r="FS11" s="16">
        <v>4</v>
      </c>
      <c r="FT11" s="15">
        <v>911.3</v>
      </c>
      <c r="FU11" s="119">
        <v>43770</v>
      </c>
      <c r="FV11" s="134">
        <v>911.3</v>
      </c>
      <c r="FW11" s="137" t="s">
        <v>405</v>
      </c>
      <c r="FX11" s="91">
        <v>41</v>
      </c>
      <c r="FZ11" s="71"/>
      <c r="GA11" s="2"/>
      <c r="GB11" s="16">
        <v>4</v>
      </c>
      <c r="GC11" s="15">
        <v>943.47</v>
      </c>
      <c r="GD11" s="14">
        <v>43771</v>
      </c>
      <c r="GE11" s="496">
        <v>943.47</v>
      </c>
      <c r="GF11" s="32" t="s">
        <v>415</v>
      </c>
      <c r="GG11" s="18">
        <v>41</v>
      </c>
      <c r="GI11" s="71"/>
      <c r="GJ11" s="2"/>
      <c r="GK11" s="16">
        <v>4</v>
      </c>
      <c r="GL11" s="15">
        <v>894.93</v>
      </c>
      <c r="GM11" s="14">
        <v>43768</v>
      </c>
      <c r="GN11" s="15">
        <v>894.93</v>
      </c>
      <c r="GO11" s="32" t="s">
        <v>389</v>
      </c>
      <c r="GP11" s="18">
        <v>41</v>
      </c>
      <c r="GR11" s="71"/>
      <c r="GS11" s="2"/>
      <c r="GT11" s="16">
        <v>4</v>
      </c>
      <c r="GU11" s="15">
        <v>934.41</v>
      </c>
      <c r="GV11" s="14">
        <v>43771</v>
      </c>
      <c r="GW11" s="15">
        <v>934.41</v>
      </c>
      <c r="GX11" s="239" t="s">
        <v>423</v>
      </c>
      <c r="GY11" s="18">
        <v>41</v>
      </c>
      <c r="HA11" s="71"/>
      <c r="HB11" s="2"/>
      <c r="HC11" s="16">
        <v>4</v>
      </c>
      <c r="HD11" s="7">
        <v>912.2</v>
      </c>
      <c r="HE11" s="47">
        <v>43771</v>
      </c>
      <c r="HF11" s="7">
        <v>912.2</v>
      </c>
      <c r="HG11" s="60" t="s">
        <v>419</v>
      </c>
      <c r="HH11" s="18">
        <v>41</v>
      </c>
      <c r="HJ11" s="71"/>
      <c r="HK11" s="2"/>
      <c r="HL11" s="16">
        <v>4</v>
      </c>
      <c r="HM11" s="15">
        <v>894.5</v>
      </c>
      <c r="HN11" s="14">
        <v>43770</v>
      </c>
      <c r="HO11" s="15">
        <v>894.5</v>
      </c>
      <c r="HP11" s="393" t="s">
        <v>409</v>
      </c>
      <c r="HQ11" s="18">
        <v>41</v>
      </c>
      <c r="HR11" s="15"/>
      <c r="HS11" s="7"/>
      <c r="HT11" s="2"/>
      <c r="HU11" s="16">
        <v>4</v>
      </c>
      <c r="HV11" s="15">
        <v>946.49</v>
      </c>
      <c r="HW11" s="47"/>
      <c r="HX11" s="15"/>
      <c r="HY11" s="60"/>
      <c r="HZ11" s="18"/>
      <c r="IA11" s="7"/>
      <c r="IB11" s="71"/>
      <c r="IC11" s="2"/>
      <c r="ID11" s="16">
        <v>4</v>
      </c>
      <c r="IE11" s="15">
        <v>893</v>
      </c>
      <c r="IF11" s="14">
        <v>43774</v>
      </c>
      <c r="IG11" s="15">
        <v>893</v>
      </c>
      <c r="IH11" s="35" t="s">
        <v>433</v>
      </c>
      <c r="II11" s="18">
        <v>42</v>
      </c>
      <c r="IK11" s="71"/>
      <c r="IL11" s="2"/>
      <c r="IM11" s="16"/>
      <c r="IN11" s="7"/>
      <c r="IO11" s="400"/>
      <c r="IP11" s="610"/>
      <c r="IQ11" s="60"/>
      <c r="IR11" s="18"/>
      <c r="IT11" s="71"/>
      <c r="IU11" s="2"/>
      <c r="IV11" s="16"/>
      <c r="IW11" s="15"/>
      <c r="IX11" s="14"/>
      <c r="IY11" s="15"/>
      <c r="IZ11" s="32"/>
      <c r="JA11" s="18"/>
      <c r="JC11" s="71"/>
      <c r="JD11" s="2"/>
      <c r="JE11" s="16"/>
      <c r="JF11" s="15"/>
      <c r="JG11" s="14"/>
      <c r="JH11" s="15"/>
      <c r="JI11" s="32"/>
      <c r="JJ11" s="18"/>
      <c r="JL11" s="71"/>
      <c r="JM11" s="2"/>
      <c r="JN11" s="16"/>
      <c r="JO11" s="15"/>
      <c r="JP11" s="14"/>
      <c r="JQ11" s="15"/>
      <c r="JR11" s="32"/>
      <c r="JS11" s="18"/>
      <c r="JU11" s="71"/>
      <c r="JV11" s="2"/>
      <c r="JW11" s="16"/>
      <c r="JX11" s="15"/>
      <c r="JY11" s="14"/>
      <c r="JZ11" s="15"/>
      <c r="KA11" s="32"/>
      <c r="KB11" s="18"/>
      <c r="KD11" s="71"/>
      <c r="KE11" s="2"/>
      <c r="KF11" s="16"/>
      <c r="KG11" s="15"/>
      <c r="KH11" s="14"/>
      <c r="KI11" s="15"/>
      <c r="KJ11" s="32"/>
      <c r="KK11" s="18"/>
      <c r="KM11" s="71"/>
      <c r="KN11" s="2"/>
      <c r="KO11" s="16">
        <v>4</v>
      </c>
      <c r="KP11" s="152"/>
      <c r="KQ11" s="85"/>
      <c r="KR11" s="152"/>
      <c r="KS11" s="101"/>
      <c r="KT11" s="83"/>
      <c r="KV11" s="71"/>
      <c r="KW11" s="2"/>
      <c r="KX11" s="16">
        <v>4</v>
      </c>
      <c r="KY11" s="152"/>
      <c r="KZ11" s="14"/>
      <c r="LA11" s="152"/>
      <c r="LB11" s="32"/>
      <c r="LC11" s="18"/>
      <c r="LE11" s="71"/>
      <c r="LF11" s="2"/>
      <c r="LG11" s="16"/>
      <c r="LH11" s="15"/>
      <c r="LI11" s="14"/>
      <c r="LJ11" s="15"/>
      <c r="LK11" s="32"/>
      <c r="LL11" s="18"/>
      <c r="LN11" s="71"/>
      <c r="LO11" s="2"/>
      <c r="LP11" s="16"/>
      <c r="LQ11" s="152"/>
      <c r="LR11" s="14"/>
      <c r="LS11" s="498"/>
      <c r="LT11" s="499"/>
      <c r="LU11" s="18"/>
      <c r="LW11" s="71"/>
      <c r="LX11" s="2"/>
      <c r="LY11" s="16"/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5"/>
      <c r="RP11" s="306"/>
      <c r="RQ11" s="307"/>
      <c r="RR11" s="308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61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SMITHFIELD FRESH MEATS</v>
      </c>
      <c r="C12" t="str">
        <f t="shared" si="8"/>
        <v>Smithfield</v>
      </c>
      <c r="D12" s="56" t="str">
        <f t="shared" si="8"/>
        <v>PED. 43352191</v>
      </c>
      <c r="E12" s="124">
        <f t="shared" si="8"/>
        <v>43753</v>
      </c>
      <c r="F12" s="58">
        <f t="shared" si="8"/>
        <v>19225.849999999999</v>
      </c>
      <c r="G12" s="13">
        <f t="shared" si="8"/>
        <v>20</v>
      </c>
      <c r="H12" s="52">
        <f t="shared" si="8"/>
        <v>18918.830000000002</v>
      </c>
      <c r="I12" s="6">
        <f t="shared" si="8"/>
        <v>307.0199999999968</v>
      </c>
      <c r="K12" s="102"/>
      <c r="L12" s="2"/>
      <c r="M12" s="16">
        <v>5</v>
      </c>
      <c r="N12" s="152">
        <v>970.52</v>
      </c>
      <c r="O12" s="85">
        <v>43746</v>
      </c>
      <c r="P12" s="152">
        <v>970.52</v>
      </c>
      <c r="Q12" s="101" t="s">
        <v>208</v>
      </c>
      <c r="R12" s="83">
        <v>34.5</v>
      </c>
      <c r="T12" s="102"/>
      <c r="U12" s="2"/>
      <c r="V12" s="16">
        <v>5</v>
      </c>
      <c r="W12" s="152">
        <v>972.34</v>
      </c>
      <c r="X12" s="14">
        <v>43746</v>
      </c>
      <c r="Y12" s="152">
        <v>972.34</v>
      </c>
      <c r="Z12" s="32" t="s">
        <v>207</v>
      </c>
      <c r="AA12" s="18">
        <v>34.5</v>
      </c>
      <c r="AC12" s="102"/>
      <c r="AD12" s="2"/>
      <c r="AE12" s="16">
        <v>5</v>
      </c>
      <c r="AF12" s="15">
        <v>903</v>
      </c>
      <c r="AG12" s="14">
        <v>43746</v>
      </c>
      <c r="AH12" s="15">
        <v>903</v>
      </c>
      <c r="AI12" s="32" t="s">
        <v>205</v>
      </c>
      <c r="AJ12" s="18">
        <v>34.5</v>
      </c>
      <c r="AL12" s="102"/>
      <c r="AM12" s="2"/>
      <c r="AN12" s="16">
        <v>5</v>
      </c>
      <c r="AO12" s="152">
        <v>899</v>
      </c>
      <c r="AP12" s="119">
        <v>43748</v>
      </c>
      <c r="AQ12" s="152">
        <v>899</v>
      </c>
      <c r="AR12" s="137" t="s">
        <v>219</v>
      </c>
      <c r="AS12" s="91">
        <v>34.5</v>
      </c>
      <c r="AU12" s="102"/>
      <c r="AV12" s="2"/>
      <c r="AW12" s="16">
        <v>5</v>
      </c>
      <c r="AX12" s="15">
        <v>946.49</v>
      </c>
      <c r="AY12" s="85">
        <v>43749</v>
      </c>
      <c r="AZ12" s="15">
        <v>946.49</v>
      </c>
      <c r="BA12" s="101" t="s">
        <v>227</v>
      </c>
      <c r="BB12" s="312">
        <v>34.5</v>
      </c>
      <c r="BD12" s="102"/>
      <c r="BE12" s="2"/>
      <c r="BF12" s="16">
        <v>5</v>
      </c>
      <c r="BG12" s="15">
        <v>877</v>
      </c>
      <c r="BH12" s="85">
        <v>43749</v>
      </c>
      <c r="BI12" s="15">
        <v>877</v>
      </c>
      <c r="BJ12" s="101" t="s">
        <v>229</v>
      </c>
      <c r="BK12" s="312">
        <v>34.5</v>
      </c>
      <c r="BM12" s="102"/>
      <c r="BN12" s="2"/>
      <c r="BO12" s="16">
        <v>5</v>
      </c>
      <c r="BP12" s="15">
        <v>850</v>
      </c>
      <c r="BQ12" s="305">
        <v>43755</v>
      </c>
      <c r="BR12" s="15">
        <v>850</v>
      </c>
      <c r="BS12" s="307" t="s">
        <v>288</v>
      </c>
      <c r="BT12" s="308">
        <v>34.5</v>
      </c>
      <c r="BV12" s="102"/>
      <c r="BW12" s="2"/>
      <c r="BX12" s="16">
        <v>5</v>
      </c>
      <c r="BY12" s="15">
        <v>906.5</v>
      </c>
      <c r="BZ12" s="305">
        <v>43753</v>
      </c>
      <c r="CA12" s="15">
        <v>906.5</v>
      </c>
      <c r="CB12" s="307" t="s">
        <v>280</v>
      </c>
      <c r="CC12" s="308">
        <v>34.5</v>
      </c>
      <c r="CE12" s="102"/>
      <c r="CF12" s="2"/>
      <c r="CG12" s="16">
        <v>5</v>
      </c>
      <c r="CH12" s="15">
        <v>963.27</v>
      </c>
      <c r="CI12" s="305">
        <v>43753</v>
      </c>
      <c r="CJ12" s="15">
        <v>963.27</v>
      </c>
      <c r="CK12" s="307" t="s">
        <v>282</v>
      </c>
      <c r="CL12" s="308">
        <v>34.5</v>
      </c>
      <c r="CN12" s="102"/>
      <c r="CO12" s="2"/>
      <c r="CP12" s="16">
        <v>5</v>
      </c>
      <c r="CQ12" s="15">
        <v>949.36</v>
      </c>
      <c r="CR12" s="14">
        <v>43754</v>
      </c>
      <c r="CS12" s="15">
        <v>949.36</v>
      </c>
      <c r="CT12" s="32" t="s">
        <v>292</v>
      </c>
      <c r="CU12" s="18">
        <v>35</v>
      </c>
      <c r="CW12" s="102"/>
      <c r="CX12" s="2"/>
      <c r="CY12" s="16">
        <v>5</v>
      </c>
      <c r="CZ12" s="15">
        <v>956.46</v>
      </c>
      <c r="DA12" s="305">
        <v>43754</v>
      </c>
      <c r="DB12" s="15">
        <v>956.46</v>
      </c>
      <c r="DC12" s="307" t="s">
        <v>291</v>
      </c>
      <c r="DD12" s="308">
        <v>35</v>
      </c>
      <c r="DF12" s="102"/>
      <c r="DG12" s="2"/>
      <c r="DH12" s="16">
        <v>5</v>
      </c>
      <c r="DI12" s="15">
        <v>900.5</v>
      </c>
      <c r="DJ12" s="305">
        <v>43756</v>
      </c>
      <c r="DK12" s="15">
        <v>900.5</v>
      </c>
      <c r="DL12" s="307" t="s">
        <v>303</v>
      </c>
      <c r="DM12" s="308">
        <v>35</v>
      </c>
      <c r="DO12" s="102"/>
      <c r="DP12" s="2"/>
      <c r="DQ12" s="16">
        <v>5</v>
      </c>
      <c r="DR12" s="7">
        <v>968.25</v>
      </c>
      <c r="DS12" s="47">
        <v>43760</v>
      </c>
      <c r="DT12" s="7">
        <v>968.25</v>
      </c>
      <c r="DU12" s="60" t="s">
        <v>326</v>
      </c>
      <c r="DV12" s="18">
        <v>39</v>
      </c>
      <c r="DX12" s="102"/>
      <c r="DY12" s="2"/>
      <c r="DZ12" s="16">
        <v>5</v>
      </c>
      <c r="EA12" s="7">
        <v>934.85</v>
      </c>
      <c r="EB12" s="47">
        <v>43761</v>
      </c>
      <c r="EC12" s="7">
        <v>934.85</v>
      </c>
      <c r="ED12" s="611" t="s">
        <v>370</v>
      </c>
      <c r="EE12" s="18">
        <v>39</v>
      </c>
      <c r="EG12" s="102"/>
      <c r="EH12" s="2"/>
      <c r="EI12" s="16">
        <v>5</v>
      </c>
      <c r="EJ12" s="15">
        <v>949.36</v>
      </c>
      <c r="EK12" s="14">
        <v>43763</v>
      </c>
      <c r="EL12" s="15">
        <v>949.36</v>
      </c>
      <c r="EM12" s="35" t="s">
        <v>380</v>
      </c>
      <c r="EN12" s="18">
        <v>39</v>
      </c>
      <c r="EP12" s="102"/>
      <c r="EQ12" s="2"/>
      <c r="ER12" s="16">
        <v>5</v>
      </c>
      <c r="ES12" s="15">
        <v>893</v>
      </c>
      <c r="ET12" s="14">
        <v>43761</v>
      </c>
      <c r="EU12" s="15">
        <v>893</v>
      </c>
      <c r="EV12" s="35" t="s">
        <v>328</v>
      </c>
      <c r="EW12" s="18">
        <v>39</v>
      </c>
      <c r="EY12" s="102"/>
      <c r="EZ12" s="2"/>
      <c r="FA12" s="16">
        <v>5</v>
      </c>
      <c r="FB12" s="134">
        <v>897</v>
      </c>
      <c r="FC12" s="119">
        <v>43767</v>
      </c>
      <c r="FD12" s="134">
        <v>897</v>
      </c>
      <c r="FE12" s="90" t="s">
        <v>386</v>
      </c>
      <c r="FF12" s="91">
        <v>41</v>
      </c>
      <c r="FH12" s="102"/>
      <c r="FI12" s="2"/>
      <c r="FJ12" s="16">
        <v>5</v>
      </c>
      <c r="FK12" s="7">
        <v>935.6</v>
      </c>
      <c r="FL12" s="47">
        <v>43768</v>
      </c>
      <c r="FM12" s="7">
        <v>935.6</v>
      </c>
      <c r="FN12" s="60" t="s">
        <v>391</v>
      </c>
      <c r="FO12" s="18">
        <v>41</v>
      </c>
      <c r="FQ12" s="102"/>
      <c r="FR12" s="2"/>
      <c r="FS12" s="16">
        <v>5</v>
      </c>
      <c r="FT12" s="15">
        <v>837.3</v>
      </c>
      <c r="FU12" s="119">
        <v>43769</v>
      </c>
      <c r="FV12" s="134">
        <v>837.3</v>
      </c>
      <c r="FW12" s="137" t="s">
        <v>402</v>
      </c>
      <c r="FX12" s="91">
        <v>41</v>
      </c>
      <c r="FZ12" s="102"/>
      <c r="GA12" s="2"/>
      <c r="GB12" s="16">
        <v>5</v>
      </c>
      <c r="GC12" s="15">
        <v>940.29</v>
      </c>
      <c r="GD12" s="14">
        <v>43770</v>
      </c>
      <c r="GE12" s="496">
        <v>940.29</v>
      </c>
      <c r="GF12" s="32" t="s">
        <v>399</v>
      </c>
      <c r="GG12" s="18">
        <v>41</v>
      </c>
      <c r="GJ12" s="2"/>
      <c r="GK12" s="16">
        <v>5</v>
      </c>
      <c r="GL12" s="15">
        <v>965.24</v>
      </c>
      <c r="GM12" s="14">
        <v>43768</v>
      </c>
      <c r="GN12" s="15">
        <v>965.24</v>
      </c>
      <c r="GO12" s="32" t="s">
        <v>389</v>
      </c>
      <c r="GP12" s="18">
        <v>41</v>
      </c>
      <c r="GR12" s="102"/>
      <c r="GS12" s="2"/>
      <c r="GT12" s="16">
        <v>5</v>
      </c>
      <c r="GU12" s="15">
        <v>892.68</v>
      </c>
      <c r="GV12" s="14">
        <v>43771</v>
      </c>
      <c r="GW12" s="15">
        <v>892.68</v>
      </c>
      <c r="GX12" s="239" t="s">
        <v>423</v>
      </c>
      <c r="GY12" s="18">
        <v>41</v>
      </c>
      <c r="HA12" s="102"/>
      <c r="HB12" s="2"/>
      <c r="HC12" s="16">
        <v>5</v>
      </c>
      <c r="HD12" s="7">
        <v>911.3</v>
      </c>
      <c r="HE12" s="47">
        <v>43771</v>
      </c>
      <c r="HF12" s="7">
        <v>911.3</v>
      </c>
      <c r="HG12" s="60" t="s">
        <v>418</v>
      </c>
      <c r="HH12" s="18">
        <v>41</v>
      </c>
      <c r="HJ12" s="102"/>
      <c r="HK12" s="2"/>
      <c r="HL12" s="16">
        <v>5</v>
      </c>
      <c r="HM12" s="313">
        <v>904</v>
      </c>
      <c r="HN12" s="14">
        <v>43771</v>
      </c>
      <c r="HO12" s="313">
        <v>904</v>
      </c>
      <c r="HP12" s="393" t="s">
        <v>413</v>
      </c>
      <c r="HQ12" s="18">
        <v>41</v>
      </c>
      <c r="HR12" s="313"/>
      <c r="HS12" s="7"/>
      <c r="HT12" s="2"/>
      <c r="HU12" s="16">
        <v>5</v>
      </c>
      <c r="HV12" s="313">
        <v>939.23</v>
      </c>
      <c r="HW12" s="47"/>
      <c r="HX12" s="313"/>
      <c r="HY12" s="60"/>
      <c r="HZ12" s="18"/>
      <c r="IA12" s="7"/>
      <c r="IB12" s="102"/>
      <c r="IC12" s="2"/>
      <c r="ID12" s="16">
        <v>5</v>
      </c>
      <c r="IE12" s="15">
        <v>896</v>
      </c>
      <c r="IF12" s="14">
        <v>43774</v>
      </c>
      <c r="IG12" s="15">
        <v>896</v>
      </c>
      <c r="IH12" s="35" t="s">
        <v>433</v>
      </c>
      <c r="II12" s="18">
        <v>42</v>
      </c>
      <c r="IK12" s="102"/>
      <c r="IL12" s="2"/>
      <c r="IM12" s="16"/>
      <c r="IN12" s="7"/>
      <c r="IO12" s="400"/>
      <c r="IP12" s="610"/>
      <c r="IQ12" s="60"/>
      <c r="IR12" s="18"/>
      <c r="IT12" s="102"/>
      <c r="IU12" s="2"/>
      <c r="IV12" s="16"/>
      <c r="IW12" s="15"/>
      <c r="IX12" s="14"/>
      <c r="IY12" s="15"/>
      <c r="IZ12" s="32"/>
      <c r="JA12" s="18"/>
      <c r="JC12" s="102"/>
      <c r="JD12" s="2"/>
      <c r="JE12" s="16"/>
      <c r="JF12" s="15"/>
      <c r="JG12" s="14"/>
      <c r="JH12" s="15"/>
      <c r="JI12" s="32"/>
      <c r="JJ12" s="18"/>
      <c r="JL12" s="102"/>
      <c r="JM12" s="2"/>
      <c r="JN12" s="16"/>
      <c r="JO12" s="15"/>
      <c r="JP12" s="14"/>
      <c r="JQ12" s="15"/>
      <c r="JR12" s="32"/>
      <c r="JS12" s="18"/>
      <c r="JU12" s="102"/>
      <c r="JV12" s="2"/>
      <c r="JW12" s="16"/>
      <c r="JX12" s="15"/>
      <c r="JY12" s="14"/>
      <c r="JZ12" s="15"/>
      <c r="KA12" s="32"/>
      <c r="KB12" s="18"/>
      <c r="KD12" s="102"/>
      <c r="KE12" s="2"/>
      <c r="KF12" s="16"/>
      <c r="KG12" s="15"/>
      <c r="KH12" s="14"/>
      <c r="KI12" s="15"/>
      <c r="KJ12" s="32"/>
      <c r="KK12" s="18"/>
      <c r="KM12" s="102"/>
      <c r="KN12" s="2"/>
      <c r="KO12" s="16">
        <v>5</v>
      </c>
      <c r="KP12" s="152"/>
      <c r="KQ12" s="85"/>
      <c r="KR12" s="152"/>
      <c r="KS12" s="101"/>
      <c r="KT12" s="83"/>
      <c r="KV12" s="102"/>
      <c r="KW12" s="2"/>
      <c r="KX12" s="16">
        <v>5</v>
      </c>
      <c r="KY12" s="152"/>
      <c r="KZ12" s="14"/>
      <c r="LA12" s="152"/>
      <c r="LB12" s="32"/>
      <c r="LC12" s="18"/>
      <c r="LE12" s="102"/>
      <c r="LF12" s="2"/>
      <c r="LG12" s="16"/>
      <c r="LH12" s="15"/>
      <c r="LI12" s="14"/>
      <c r="LJ12" s="15"/>
      <c r="LK12" s="32"/>
      <c r="LL12" s="18"/>
      <c r="LN12" s="102"/>
      <c r="LO12" s="2"/>
      <c r="LP12" s="16"/>
      <c r="LQ12" s="152"/>
      <c r="LR12" s="14"/>
      <c r="LS12" s="498"/>
      <c r="LT12" s="499"/>
      <c r="LU12" s="18"/>
      <c r="LW12" s="102"/>
      <c r="LX12" s="2"/>
      <c r="LY12" s="16"/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5"/>
      <c r="RP12" s="306"/>
      <c r="RQ12" s="307"/>
      <c r="RR12" s="308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54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TYSON FRESH MEATS</v>
      </c>
      <c r="C13" t="str">
        <f t="shared" si="9"/>
        <v xml:space="preserve">I B P </v>
      </c>
      <c r="D13" s="56" t="str">
        <f t="shared" si="9"/>
        <v>PED. 43397922</v>
      </c>
      <c r="E13" s="124">
        <f t="shared" si="9"/>
        <v>43754</v>
      </c>
      <c r="F13" s="58">
        <f t="shared" si="9"/>
        <v>18566.64</v>
      </c>
      <c r="G13" s="13">
        <f t="shared" si="9"/>
        <v>20</v>
      </c>
      <c r="H13" s="52">
        <f t="shared" si="9"/>
        <v>18632.099999999999</v>
      </c>
      <c r="I13" s="6">
        <f t="shared" si="9"/>
        <v>-65.459999999999127</v>
      </c>
      <c r="L13" s="2"/>
      <c r="M13" s="16">
        <v>6</v>
      </c>
      <c r="N13" s="152">
        <v>930.16</v>
      </c>
      <c r="O13" s="85">
        <v>43746</v>
      </c>
      <c r="P13" s="152">
        <v>930.16</v>
      </c>
      <c r="Q13" s="101" t="s">
        <v>208</v>
      </c>
      <c r="R13" s="83">
        <v>34.5</v>
      </c>
      <c r="U13" s="2"/>
      <c r="V13" s="16">
        <v>6</v>
      </c>
      <c r="W13" s="152">
        <v>951.93</v>
      </c>
      <c r="X13" s="14">
        <v>43746</v>
      </c>
      <c r="Y13" s="152">
        <v>951.93</v>
      </c>
      <c r="Z13" s="32" t="s">
        <v>207</v>
      </c>
      <c r="AA13" s="18">
        <v>34.5</v>
      </c>
      <c r="AD13" s="2"/>
      <c r="AE13" s="16">
        <v>6</v>
      </c>
      <c r="AF13" s="15">
        <v>895</v>
      </c>
      <c r="AG13" s="14">
        <v>43746</v>
      </c>
      <c r="AH13" s="15">
        <v>895</v>
      </c>
      <c r="AI13" s="32" t="s">
        <v>205</v>
      </c>
      <c r="AJ13" s="18">
        <v>34.5</v>
      </c>
      <c r="AL13" s="102"/>
      <c r="AM13" s="2"/>
      <c r="AN13" s="16">
        <v>6</v>
      </c>
      <c r="AO13" s="152">
        <v>907</v>
      </c>
      <c r="AP13" s="119">
        <v>43748</v>
      </c>
      <c r="AQ13" s="152">
        <v>907</v>
      </c>
      <c r="AR13" s="137" t="s">
        <v>219</v>
      </c>
      <c r="AS13" s="91">
        <v>34.5</v>
      </c>
      <c r="AV13" s="374"/>
      <c r="AW13" s="16">
        <v>6</v>
      </c>
      <c r="AX13" s="15">
        <v>977.32</v>
      </c>
      <c r="AY13" s="85">
        <v>43749</v>
      </c>
      <c r="AZ13" s="15">
        <v>977.32</v>
      </c>
      <c r="BA13" s="101" t="s">
        <v>227</v>
      </c>
      <c r="BB13" s="312">
        <v>34.5</v>
      </c>
      <c r="BE13" s="374"/>
      <c r="BF13" s="16">
        <v>6</v>
      </c>
      <c r="BG13" s="15">
        <v>825</v>
      </c>
      <c r="BH13" s="85">
        <v>43749</v>
      </c>
      <c r="BI13" s="15">
        <v>825</v>
      </c>
      <c r="BJ13" s="101" t="s">
        <v>229</v>
      </c>
      <c r="BK13" s="312">
        <v>34.5</v>
      </c>
      <c r="BN13" s="2"/>
      <c r="BO13" s="16">
        <v>6</v>
      </c>
      <c r="BP13" s="15">
        <v>854.5</v>
      </c>
      <c r="BQ13" s="305">
        <v>43755</v>
      </c>
      <c r="BR13" s="15">
        <v>854.5</v>
      </c>
      <c r="BS13" s="307" t="s">
        <v>288</v>
      </c>
      <c r="BT13" s="308">
        <v>34.5</v>
      </c>
      <c r="BW13" s="2"/>
      <c r="BX13" s="16">
        <v>6</v>
      </c>
      <c r="BY13" s="15">
        <v>897</v>
      </c>
      <c r="BZ13" s="305">
        <v>43753</v>
      </c>
      <c r="CA13" s="15">
        <v>897</v>
      </c>
      <c r="CB13" s="307" t="s">
        <v>280</v>
      </c>
      <c r="CC13" s="308">
        <v>34.5</v>
      </c>
      <c r="CF13" s="2"/>
      <c r="CG13" s="16">
        <v>6</v>
      </c>
      <c r="CH13" s="15">
        <v>964.63</v>
      </c>
      <c r="CI13" s="305">
        <v>43753</v>
      </c>
      <c r="CJ13" s="15">
        <v>964.63</v>
      </c>
      <c r="CK13" s="307" t="s">
        <v>282</v>
      </c>
      <c r="CL13" s="308">
        <v>34.5</v>
      </c>
      <c r="CO13" s="2"/>
      <c r="CP13" s="16">
        <v>6</v>
      </c>
      <c r="CQ13" s="15">
        <v>941.65</v>
      </c>
      <c r="CR13" s="14">
        <v>43754</v>
      </c>
      <c r="CS13" s="15">
        <v>941.65</v>
      </c>
      <c r="CT13" s="32" t="s">
        <v>292</v>
      </c>
      <c r="CU13" s="18">
        <v>35</v>
      </c>
      <c r="CX13" s="2"/>
      <c r="CY13" s="16">
        <v>6</v>
      </c>
      <c r="CZ13" s="15">
        <v>953.29</v>
      </c>
      <c r="DA13" s="305">
        <v>43754</v>
      </c>
      <c r="DB13" s="15">
        <v>953.29</v>
      </c>
      <c r="DC13" s="307" t="s">
        <v>291</v>
      </c>
      <c r="DD13" s="308">
        <v>35</v>
      </c>
      <c r="DG13" s="2"/>
      <c r="DH13" s="16">
        <v>6</v>
      </c>
      <c r="DI13" s="15">
        <v>895.5</v>
      </c>
      <c r="DJ13" s="305">
        <v>43756</v>
      </c>
      <c r="DK13" s="15">
        <v>895.5</v>
      </c>
      <c r="DL13" s="307" t="s">
        <v>303</v>
      </c>
      <c r="DM13" s="308">
        <v>35</v>
      </c>
      <c r="DP13" s="2"/>
      <c r="DQ13" s="16">
        <v>6</v>
      </c>
      <c r="DR13" s="7">
        <v>984.58</v>
      </c>
      <c r="DS13" s="47">
        <v>43760</v>
      </c>
      <c r="DT13" s="7">
        <v>984.58</v>
      </c>
      <c r="DU13" s="60" t="s">
        <v>326</v>
      </c>
      <c r="DV13" s="18">
        <v>39</v>
      </c>
      <c r="DY13" s="2"/>
      <c r="DZ13" s="16">
        <v>6</v>
      </c>
      <c r="EA13" s="7">
        <v>948.91</v>
      </c>
      <c r="EB13" s="47">
        <v>43761</v>
      </c>
      <c r="EC13" s="7">
        <v>948.91</v>
      </c>
      <c r="ED13" s="611" t="s">
        <v>370</v>
      </c>
      <c r="EE13" s="18">
        <v>39</v>
      </c>
      <c r="EH13" s="2"/>
      <c r="EI13" s="16">
        <v>6</v>
      </c>
      <c r="EJ13" s="15">
        <v>932.13</v>
      </c>
      <c r="EK13" s="14">
        <v>43763</v>
      </c>
      <c r="EL13" s="15">
        <v>932.13</v>
      </c>
      <c r="EM13" s="35" t="s">
        <v>380</v>
      </c>
      <c r="EN13" s="18">
        <v>39</v>
      </c>
      <c r="EQ13" s="2"/>
      <c r="ER13" s="16">
        <v>6</v>
      </c>
      <c r="ES13" s="15">
        <v>898</v>
      </c>
      <c r="ET13" s="14">
        <v>43761</v>
      </c>
      <c r="EU13" s="15">
        <v>898</v>
      </c>
      <c r="EV13" s="35" t="s">
        <v>328</v>
      </c>
      <c r="EW13" s="18">
        <v>39</v>
      </c>
      <c r="EZ13" s="2"/>
      <c r="FA13" s="16">
        <v>6</v>
      </c>
      <c r="FB13" s="134">
        <v>852</v>
      </c>
      <c r="FC13" s="119">
        <v>43767</v>
      </c>
      <c r="FD13" s="134">
        <v>852</v>
      </c>
      <c r="FE13" s="90" t="s">
        <v>386</v>
      </c>
      <c r="FF13" s="91">
        <v>41</v>
      </c>
      <c r="FI13" s="2"/>
      <c r="FJ13" s="16">
        <v>6</v>
      </c>
      <c r="FK13" s="7">
        <v>966.44</v>
      </c>
      <c r="FL13" s="47">
        <v>43768</v>
      </c>
      <c r="FM13" s="7">
        <v>966.44</v>
      </c>
      <c r="FN13" s="60" t="s">
        <v>391</v>
      </c>
      <c r="FO13" s="18">
        <v>41</v>
      </c>
      <c r="FR13" s="2"/>
      <c r="FS13" s="16">
        <v>6</v>
      </c>
      <c r="FT13" s="15">
        <v>968</v>
      </c>
      <c r="FU13" s="119">
        <v>43770</v>
      </c>
      <c r="FV13" s="134">
        <v>968</v>
      </c>
      <c r="FW13" s="137" t="s">
        <v>405</v>
      </c>
      <c r="FX13" s="91">
        <v>41</v>
      </c>
      <c r="GA13" s="2"/>
      <c r="GB13" s="16">
        <v>6</v>
      </c>
      <c r="GC13" s="15">
        <v>913.98</v>
      </c>
      <c r="GD13" s="14">
        <v>43770</v>
      </c>
      <c r="GE13" s="496">
        <v>913.98</v>
      </c>
      <c r="GF13" s="32" t="s">
        <v>405</v>
      </c>
      <c r="GG13" s="18">
        <v>41</v>
      </c>
      <c r="GI13"/>
      <c r="GJ13" s="2"/>
      <c r="GK13" s="16">
        <v>6</v>
      </c>
      <c r="GL13" s="15">
        <v>948</v>
      </c>
      <c r="GM13" s="14">
        <v>43768</v>
      </c>
      <c r="GN13" s="15">
        <v>948</v>
      </c>
      <c r="GO13" s="32" t="s">
        <v>389</v>
      </c>
      <c r="GP13" s="18">
        <v>41</v>
      </c>
      <c r="GS13" s="2"/>
      <c r="GT13" s="16">
        <v>6</v>
      </c>
      <c r="GU13" s="15">
        <v>923.98</v>
      </c>
      <c r="GV13" s="14">
        <v>43771</v>
      </c>
      <c r="GW13" s="15">
        <v>923.98</v>
      </c>
      <c r="GX13" s="239" t="s">
        <v>423</v>
      </c>
      <c r="GY13" s="18">
        <v>41</v>
      </c>
      <c r="HB13" s="2"/>
      <c r="HC13" s="16">
        <v>6</v>
      </c>
      <c r="HD13" s="7">
        <v>870</v>
      </c>
      <c r="HE13" s="47">
        <v>43771</v>
      </c>
      <c r="HF13" s="7">
        <v>870</v>
      </c>
      <c r="HG13" s="60" t="s">
        <v>418</v>
      </c>
      <c r="HH13" s="18">
        <v>41</v>
      </c>
      <c r="HK13" s="2"/>
      <c r="HL13" s="16">
        <v>6</v>
      </c>
      <c r="HM13" s="15">
        <v>888</v>
      </c>
      <c r="HN13" s="14">
        <v>43771</v>
      </c>
      <c r="HO13" s="15">
        <v>888</v>
      </c>
      <c r="HP13" s="393" t="s">
        <v>413</v>
      </c>
      <c r="HQ13" s="18">
        <v>41</v>
      </c>
      <c r="HR13" s="15"/>
      <c r="HS13" s="7"/>
      <c r="HT13" s="2"/>
      <c r="HU13" s="16">
        <v>6</v>
      </c>
      <c r="HV13" s="15">
        <v>937.41</v>
      </c>
      <c r="HW13" s="47"/>
      <c r="HX13" s="15"/>
      <c r="HY13" s="60"/>
      <c r="HZ13" s="18"/>
      <c r="IA13" s="7"/>
      <c r="IC13" s="2"/>
      <c r="ID13" s="16">
        <v>6</v>
      </c>
      <c r="IE13" s="15">
        <v>897.5</v>
      </c>
      <c r="IF13" s="14">
        <v>43774</v>
      </c>
      <c r="IG13" s="15">
        <v>897.5</v>
      </c>
      <c r="IH13" s="35" t="s">
        <v>433</v>
      </c>
      <c r="II13" s="18">
        <v>42</v>
      </c>
      <c r="IL13" s="2"/>
      <c r="IM13" s="16"/>
      <c r="IN13" s="7"/>
      <c r="IO13" s="400"/>
      <c r="IP13" s="610"/>
      <c r="IQ13" s="60"/>
      <c r="IR13" s="18"/>
      <c r="IU13" s="2"/>
      <c r="IV13" s="16"/>
      <c r="IW13" s="15"/>
      <c r="IX13" s="14"/>
      <c r="IY13" s="15"/>
      <c r="IZ13" s="32"/>
      <c r="JA13" s="18"/>
      <c r="JD13" s="2"/>
      <c r="JE13" s="16"/>
      <c r="JF13" s="15"/>
      <c r="JG13" s="14"/>
      <c r="JH13" s="15"/>
      <c r="JI13" s="32"/>
      <c r="JJ13" s="18"/>
      <c r="JM13" s="2"/>
      <c r="JN13" s="16"/>
      <c r="JO13" s="15"/>
      <c r="JP13" s="14"/>
      <c r="JQ13" s="15"/>
      <c r="JR13" s="32"/>
      <c r="JS13" s="18"/>
      <c r="JV13" s="2"/>
      <c r="JW13" s="16"/>
      <c r="JX13" s="15"/>
      <c r="JY13" s="14"/>
      <c r="JZ13" s="15"/>
      <c r="KA13" s="32"/>
      <c r="KB13" s="18"/>
      <c r="KE13" s="2"/>
      <c r="KF13" s="16"/>
      <c r="KG13" s="15"/>
      <c r="KH13" s="14"/>
      <c r="KI13" s="15"/>
      <c r="KJ13" s="32"/>
      <c r="KK13" s="18"/>
      <c r="KN13" s="2"/>
      <c r="KO13" s="16">
        <v>6</v>
      </c>
      <c r="KP13" s="152"/>
      <c r="KQ13" s="85"/>
      <c r="KR13" s="152"/>
      <c r="KS13" s="101"/>
      <c r="KT13" s="83"/>
      <c r="KW13" s="2"/>
      <c r="KX13" s="16">
        <v>6</v>
      </c>
      <c r="KY13" s="152"/>
      <c r="KZ13" s="14"/>
      <c r="LA13" s="152"/>
      <c r="LB13" s="32"/>
      <c r="LC13" s="18"/>
      <c r="LF13" s="2"/>
      <c r="LG13" s="16"/>
      <c r="LH13" s="15"/>
      <c r="LI13" s="14"/>
      <c r="LJ13" s="15"/>
      <c r="LK13" s="32"/>
      <c r="LL13" s="18"/>
      <c r="LN13" s="102"/>
      <c r="LO13" s="2"/>
      <c r="LP13" s="16"/>
      <c r="LQ13" s="152"/>
      <c r="LR13" s="14"/>
      <c r="LS13" s="498"/>
      <c r="LT13" s="499"/>
      <c r="LU13" s="18"/>
      <c r="LW13" s="102"/>
      <c r="LX13" s="2"/>
      <c r="LY13" s="16"/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5"/>
      <c r="RP13" s="306"/>
      <c r="RQ13" s="307"/>
      <c r="RR13" s="308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SMITHFIELD FRESH MEATS</v>
      </c>
      <c r="C14" t="str">
        <f t="shared" si="10"/>
        <v xml:space="preserve">Smithfield </v>
      </c>
      <c r="D14" s="56" t="str">
        <f t="shared" si="10"/>
        <v>PED. 43397923</v>
      </c>
      <c r="E14" s="124">
        <f t="shared" si="10"/>
        <v>43754</v>
      </c>
      <c r="F14" s="58">
        <f t="shared" si="10"/>
        <v>18852.13</v>
      </c>
      <c r="G14" s="13">
        <f t="shared" si="10"/>
        <v>20</v>
      </c>
      <c r="H14" s="52">
        <f t="shared" si="10"/>
        <v>18817.25</v>
      </c>
      <c r="I14" s="6">
        <f t="shared" si="10"/>
        <v>34.880000000001019</v>
      </c>
      <c r="L14" s="2"/>
      <c r="M14" s="16">
        <v>7</v>
      </c>
      <c r="N14" s="152">
        <v>934.24</v>
      </c>
      <c r="O14" s="85">
        <v>43746</v>
      </c>
      <c r="P14" s="152">
        <v>934.24</v>
      </c>
      <c r="Q14" s="101" t="s">
        <v>208</v>
      </c>
      <c r="R14" s="83">
        <v>34.5</v>
      </c>
      <c r="S14" s="237"/>
      <c r="U14" s="2"/>
      <c r="V14" s="16">
        <v>7</v>
      </c>
      <c r="W14" s="152">
        <v>967.35</v>
      </c>
      <c r="X14" s="14">
        <v>43746</v>
      </c>
      <c r="Y14" s="152">
        <v>967.35</v>
      </c>
      <c r="Z14" s="32" t="s">
        <v>207</v>
      </c>
      <c r="AA14" s="18">
        <v>34.5</v>
      </c>
      <c r="AD14" s="2"/>
      <c r="AE14" s="16">
        <v>7</v>
      </c>
      <c r="AF14" s="15">
        <v>884</v>
      </c>
      <c r="AG14" s="14">
        <v>43746</v>
      </c>
      <c r="AH14" s="15">
        <v>884</v>
      </c>
      <c r="AI14" s="32" t="s">
        <v>205</v>
      </c>
      <c r="AJ14" s="18">
        <v>34.5</v>
      </c>
      <c r="AM14" s="2"/>
      <c r="AN14" s="16">
        <v>7</v>
      </c>
      <c r="AO14" s="152">
        <v>898.5</v>
      </c>
      <c r="AP14" s="119">
        <v>43748</v>
      </c>
      <c r="AQ14" s="152">
        <v>898.5</v>
      </c>
      <c r="AR14" s="137" t="s">
        <v>219</v>
      </c>
      <c r="AS14" s="91">
        <v>34.5</v>
      </c>
      <c r="AV14" s="2"/>
      <c r="AW14" s="16">
        <v>7</v>
      </c>
      <c r="AX14" s="15">
        <v>956.92</v>
      </c>
      <c r="AY14" s="85">
        <v>43749</v>
      </c>
      <c r="AZ14" s="15">
        <v>956.92</v>
      </c>
      <c r="BA14" s="101" t="s">
        <v>227</v>
      </c>
      <c r="BB14" s="312">
        <v>34.5</v>
      </c>
      <c r="BE14" s="2"/>
      <c r="BF14" s="16">
        <v>7</v>
      </c>
      <c r="BG14" s="15">
        <v>879</v>
      </c>
      <c r="BH14" s="85">
        <v>43749</v>
      </c>
      <c r="BI14" s="15">
        <v>879</v>
      </c>
      <c r="BJ14" s="101" t="s">
        <v>229</v>
      </c>
      <c r="BK14" s="312">
        <v>34.5</v>
      </c>
      <c r="BN14" s="2"/>
      <c r="BO14" s="16">
        <v>7</v>
      </c>
      <c r="BP14" s="15">
        <v>905</v>
      </c>
      <c r="BQ14" s="305">
        <v>43755</v>
      </c>
      <c r="BR14" s="15">
        <v>905</v>
      </c>
      <c r="BS14" s="307" t="s">
        <v>288</v>
      </c>
      <c r="BT14" s="308">
        <v>34.5</v>
      </c>
      <c r="BW14" s="2"/>
      <c r="BX14" s="16">
        <v>7</v>
      </c>
      <c r="BY14" s="15">
        <v>905</v>
      </c>
      <c r="BZ14" s="305">
        <v>43753</v>
      </c>
      <c r="CA14" s="15">
        <v>905</v>
      </c>
      <c r="CB14" s="307" t="s">
        <v>280</v>
      </c>
      <c r="CC14" s="308">
        <v>34.5</v>
      </c>
      <c r="CF14" s="2"/>
      <c r="CG14" s="16">
        <v>7</v>
      </c>
      <c r="CH14" s="15">
        <v>927.89</v>
      </c>
      <c r="CI14" s="305">
        <v>43753</v>
      </c>
      <c r="CJ14" s="15">
        <v>927.89</v>
      </c>
      <c r="CK14" s="307" t="s">
        <v>282</v>
      </c>
      <c r="CL14" s="308">
        <v>34.5</v>
      </c>
      <c r="CO14" s="2"/>
      <c r="CP14" s="16">
        <v>7</v>
      </c>
      <c r="CQ14" s="15">
        <v>908.09</v>
      </c>
      <c r="CR14" s="14">
        <v>43754</v>
      </c>
      <c r="CS14" s="15">
        <v>908.09</v>
      </c>
      <c r="CT14" s="32" t="s">
        <v>292</v>
      </c>
      <c r="CU14" s="18">
        <v>35</v>
      </c>
      <c r="CX14" s="2"/>
      <c r="CY14" s="16">
        <v>7</v>
      </c>
      <c r="CZ14" s="15">
        <v>907.48</v>
      </c>
      <c r="DA14" s="305">
        <v>43754</v>
      </c>
      <c r="DB14" s="15">
        <v>907.48</v>
      </c>
      <c r="DC14" s="307" t="s">
        <v>291</v>
      </c>
      <c r="DD14" s="308">
        <v>35</v>
      </c>
      <c r="DG14" s="2"/>
      <c r="DH14" s="16">
        <v>7</v>
      </c>
      <c r="DI14" s="15">
        <v>903.5</v>
      </c>
      <c r="DJ14" s="305">
        <v>43756</v>
      </c>
      <c r="DK14" s="15">
        <v>903.5</v>
      </c>
      <c r="DL14" s="307" t="s">
        <v>303</v>
      </c>
      <c r="DM14" s="308">
        <v>35</v>
      </c>
      <c r="DP14" s="2"/>
      <c r="DQ14" s="16">
        <v>7</v>
      </c>
      <c r="DR14" s="7">
        <v>973.7</v>
      </c>
      <c r="DS14" s="47">
        <v>43760</v>
      </c>
      <c r="DT14" s="7">
        <v>973.7</v>
      </c>
      <c r="DU14" s="60" t="s">
        <v>326</v>
      </c>
      <c r="DV14" s="18">
        <v>39</v>
      </c>
      <c r="DY14" s="2"/>
      <c r="DZ14" s="16">
        <v>7</v>
      </c>
      <c r="EA14" s="7">
        <v>948.46</v>
      </c>
      <c r="EB14" s="47">
        <v>43761</v>
      </c>
      <c r="EC14" s="7">
        <v>948.46</v>
      </c>
      <c r="ED14" s="611" t="s">
        <v>370</v>
      </c>
      <c r="EE14" s="18">
        <v>39</v>
      </c>
      <c r="EH14" s="2"/>
      <c r="EI14" s="16">
        <v>7</v>
      </c>
      <c r="EJ14" s="15">
        <v>943.01</v>
      </c>
      <c r="EK14" s="14">
        <v>43763</v>
      </c>
      <c r="EL14" s="15">
        <v>943.01</v>
      </c>
      <c r="EM14" s="35" t="s">
        <v>380</v>
      </c>
      <c r="EN14" s="18">
        <v>39</v>
      </c>
      <c r="EQ14" s="2"/>
      <c r="ER14" s="16">
        <v>7</v>
      </c>
      <c r="ES14" s="15">
        <v>904.5</v>
      </c>
      <c r="ET14" s="14">
        <v>43761</v>
      </c>
      <c r="EU14" s="15">
        <v>904.5</v>
      </c>
      <c r="EV14" s="35" t="s">
        <v>328</v>
      </c>
      <c r="EW14" s="18">
        <v>39</v>
      </c>
      <c r="EZ14" s="2"/>
      <c r="FA14" s="16">
        <v>7</v>
      </c>
      <c r="FB14" s="134">
        <v>895.5</v>
      </c>
      <c r="FC14" s="119">
        <v>43767</v>
      </c>
      <c r="FD14" s="134">
        <v>895.5</v>
      </c>
      <c r="FE14" s="90" t="s">
        <v>386</v>
      </c>
      <c r="FF14" s="91">
        <v>41</v>
      </c>
      <c r="FI14" s="2"/>
      <c r="FJ14" s="16">
        <v>7</v>
      </c>
      <c r="FK14" s="7">
        <v>952.83</v>
      </c>
      <c r="FL14" s="47">
        <v>43768</v>
      </c>
      <c r="FM14" s="7">
        <v>952.83</v>
      </c>
      <c r="FN14" s="60" t="s">
        <v>391</v>
      </c>
      <c r="FO14" s="18">
        <v>41</v>
      </c>
      <c r="FR14" s="2"/>
      <c r="FS14" s="16">
        <v>7</v>
      </c>
      <c r="FT14" s="15">
        <v>867.7</v>
      </c>
      <c r="FU14" s="119">
        <v>43769</v>
      </c>
      <c r="FV14" s="134">
        <v>867.7</v>
      </c>
      <c r="FW14" s="137" t="s">
        <v>402</v>
      </c>
      <c r="FX14" s="91">
        <v>41</v>
      </c>
      <c r="GA14" s="2"/>
      <c r="GB14" s="16">
        <v>7</v>
      </c>
      <c r="GC14" s="15">
        <v>947.1</v>
      </c>
      <c r="GD14" s="14">
        <v>43770</v>
      </c>
      <c r="GE14" s="496">
        <v>947.1</v>
      </c>
      <c r="GF14" s="32" t="s">
        <v>399</v>
      </c>
      <c r="GG14" s="18">
        <v>41</v>
      </c>
      <c r="GI14"/>
      <c r="GJ14" s="2"/>
      <c r="GK14" s="16">
        <v>7</v>
      </c>
      <c r="GL14" s="15">
        <v>966.15</v>
      </c>
      <c r="GM14" s="14">
        <v>43768</v>
      </c>
      <c r="GN14" s="15">
        <v>966.15</v>
      </c>
      <c r="GO14" s="32" t="s">
        <v>389</v>
      </c>
      <c r="GP14" s="18">
        <v>41</v>
      </c>
      <c r="GS14" s="2"/>
      <c r="GT14" s="16">
        <v>7</v>
      </c>
      <c r="GU14" s="15">
        <v>933.51</v>
      </c>
      <c r="GV14" s="14">
        <v>43771</v>
      </c>
      <c r="GW14" s="15">
        <v>933.51</v>
      </c>
      <c r="GX14" s="239" t="s">
        <v>423</v>
      </c>
      <c r="GY14" s="18">
        <v>41</v>
      </c>
      <c r="HB14" s="2"/>
      <c r="HC14" s="16">
        <v>7</v>
      </c>
      <c r="HD14" s="7">
        <v>903.6</v>
      </c>
      <c r="HE14" s="47">
        <v>43771</v>
      </c>
      <c r="HF14" s="7">
        <v>903.6</v>
      </c>
      <c r="HG14" s="60" t="s">
        <v>419</v>
      </c>
      <c r="HH14" s="18">
        <v>41</v>
      </c>
      <c r="HK14" s="2"/>
      <c r="HL14" s="16">
        <v>7</v>
      </c>
      <c r="HM14" s="15">
        <v>905</v>
      </c>
      <c r="HN14" s="14">
        <v>43770</v>
      </c>
      <c r="HO14" s="15">
        <v>905</v>
      </c>
      <c r="HP14" s="393" t="s">
        <v>410</v>
      </c>
      <c r="HQ14" s="18">
        <v>41</v>
      </c>
      <c r="HR14" s="15"/>
      <c r="HS14" s="7"/>
      <c r="HT14" s="2"/>
      <c r="HU14" s="16">
        <v>7</v>
      </c>
      <c r="HV14" s="15">
        <v>908.39</v>
      </c>
      <c r="HW14" s="47"/>
      <c r="HX14" s="15"/>
      <c r="HY14" s="60"/>
      <c r="HZ14" s="18"/>
      <c r="IA14" s="7"/>
      <c r="IC14" s="2"/>
      <c r="ID14" s="16">
        <v>7</v>
      </c>
      <c r="IE14" s="15">
        <v>888</v>
      </c>
      <c r="IF14" s="14">
        <v>43774</v>
      </c>
      <c r="IG14" s="15">
        <v>888</v>
      </c>
      <c r="IH14" s="35" t="s">
        <v>433</v>
      </c>
      <c r="II14" s="18">
        <v>42</v>
      </c>
      <c r="IL14" s="2"/>
      <c r="IM14" s="16"/>
      <c r="IN14" s="7"/>
      <c r="IO14" s="400"/>
      <c r="IP14" s="610"/>
      <c r="IQ14" s="60"/>
      <c r="IR14" s="18"/>
      <c r="IU14" s="2"/>
      <c r="IV14" s="16"/>
      <c r="IW14" s="15"/>
      <c r="IX14" s="14"/>
      <c r="IY14" s="15"/>
      <c r="IZ14" s="32"/>
      <c r="JA14" s="18"/>
      <c r="JD14" s="2"/>
      <c r="JE14" s="16"/>
      <c r="JF14" s="15"/>
      <c r="JG14" s="14"/>
      <c r="JH14" s="15"/>
      <c r="JI14" s="32"/>
      <c r="JJ14" s="18"/>
      <c r="JM14" s="2"/>
      <c r="JN14" s="16"/>
      <c r="JO14" s="15"/>
      <c r="JP14" s="14"/>
      <c r="JQ14" s="15"/>
      <c r="JR14" s="32"/>
      <c r="JS14" s="18"/>
      <c r="JV14" s="2"/>
      <c r="JW14" s="16"/>
      <c r="JX14" s="15"/>
      <c r="JY14" s="14"/>
      <c r="JZ14" s="15"/>
      <c r="KA14" s="32"/>
      <c r="KB14" s="18"/>
      <c r="KE14" s="2"/>
      <c r="KF14" s="16"/>
      <c r="KG14" s="15"/>
      <c r="KH14" s="14"/>
      <c r="KI14" s="15"/>
      <c r="KJ14" s="32"/>
      <c r="KK14" s="18"/>
      <c r="KN14" s="2"/>
      <c r="KO14" s="16">
        <v>7</v>
      </c>
      <c r="KP14" s="152"/>
      <c r="KQ14" s="85"/>
      <c r="KR14" s="152"/>
      <c r="KS14" s="101"/>
      <c r="KT14" s="83"/>
      <c r="KU14" s="237"/>
      <c r="KW14" s="2"/>
      <c r="KX14" s="16">
        <v>7</v>
      </c>
      <c r="KY14" s="152"/>
      <c r="KZ14" s="14"/>
      <c r="LA14" s="152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52"/>
      <c r="LR14" s="14"/>
      <c r="LS14" s="498"/>
      <c r="LT14" s="499"/>
      <c r="LU14" s="18"/>
      <c r="LX14" s="2"/>
      <c r="LY14" s="16"/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5"/>
      <c r="RP14" s="306"/>
      <c r="RQ14" s="307"/>
      <c r="RR14" s="308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IDEAL TRADING</v>
      </c>
      <c r="C15" t="str">
        <f t="shared" si="11"/>
        <v>SIOUX</v>
      </c>
      <c r="D15" s="56" t="str">
        <f t="shared" si="11"/>
        <v>PED. 43354896</v>
      </c>
      <c r="E15" s="124">
        <f t="shared" si="11"/>
        <v>43755</v>
      </c>
      <c r="F15" s="58">
        <f t="shared" si="11"/>
        <v>18686.27</v>
      </c>
      <c r="G15" s="13">
        <f t="shared" si="11"/>
        <v>21</v>
      </c>
      <c r="H15" s="52">
        <f t="shared" si="11"/>
        <v>18774.5</v>
      </c>
      <c r="I15" s="6">
        <f t="shared" si="11"/>
        <v>-88.229999999999563</v>
      </c>
      <c r="L15" s="2"/>
      <c r="M15" s="16">
        <v>8</v>
      </c>
      <c r="N15" s="152">
        <v>950.11</v>
      </c>
      <c r="O15" s="85">
        <v>43746</v>
      </c>
      <c r="P15" s="152">
        <v>950.11</v>
      </c>
      <c r="Q15" s="101" t="s">
        <v>208</v>
      </c>
      <c r="R15" s="83">
        <v>34.5</v>
      </c>
      <c r="S15" s="237"/>
      <c r="U15" s="2"/>
      <c r="V15" s="16">
        <v>8</v>
      </c>
      <c r="W15" s="152">
        <v>935.15</v>
      </c>
      <c r="X15" s="14">
        <v>43746</v>
      </c>
      <c r="Y15" s="152">
        <v>935.15</v>
      </c>
      <c r="Z15" s="32" t="s">
        <v>207</v>
      </c>
      <c r="AA15" s="18">
        <v>34.5</v>
      </c>
      <c r="AD15" s="2"/>
      <c r="AE15" s="16">
        <v>8</v>
      </c>
      <c r="AF15" s="15">
        <v>904</v>
      </c>
      <c r="AG15" s="14">
        <v>43746</v>
      </c>
      <c r="AH15" s="15">
        <v>904</v>
      </c>
      <c r="AI15" s="32" t="s">
        <v>205</v>
      </c>
      <c r="AJ15" s="18">
        <v>34.5</v>
      </c>
      <c r="AM15" s="2"/>
      <c r="AN15" s="16">
        <v>8</v>
      </c>
      <c r="AO15" s="152">
        <v>865</v>
      </c>
      <c r="AP15" s="119">
        <v>43748</v>
      </c>
      <c r="AQ15" s="152">
        <v>865</v>
      </c>
      <c r="AR15" s="137" t="s">
        <v>219</v>
      </c>
      <c r="AS15" s="91">
        <v>34.5</v>
      </c>
      <c r="AV15" s="2"/>
      <c r="AW15" s="16">
        <v>8</v>
      </c>
      <c r="AX15" s="15">
        <v>912.02</v>
      </c>
      <c r="AY15" s="85">
        <v>43749</v>
      </c>
      <c r="AZ15" s="15">
        <v>912.02</v>
      </c>
      <c r="BA15" s="101" t="s">
        <v>227</v>
      </c>
      <c r="BB15" s="312">
        <v>34.5</v>
      </c>
      <c r="BE15" s="2"/>
      <c r="BF15" s="16">
        <v>8</v>
      </c>
      <c r="BG15" s="15">
        <v>941</v>
      </c>
      <c r="BH15" s="85">
        <v>43749</v>
      </c>
      <c r="BI15" s="15">
        <v>941</v>
      </c>
      <c r="BJ15" s="101" t="s">
        <v>229</v>
      </c>
      <c r="BK15" s="312">
        <v>34.5</v>
      </c>
      <c r="BN15" s="2"/>
      <c r="BO15" s="16">
        <v>8</v>
      </c>
      <c r="BP15" s="15">
        <v>903</v>
      </c>
      <c r="BQ15" s="305">
        <v>43754</v>
      </c>
      <c r="BR15" s="15">
        <v>903</v>
      </c>
      <c r="BS15" s="307" t="s">
        <v>286</v>
      </c>
      <c r="BT15" s="308">
        <v>34.5</v>
      </c>
      <c r="BW15" s="2"/>
      <c r="BX15" s="16">
        <v>8</v>
      </c>
      <c r="BY15" s="15">
        <v>899</v>
      </c>
      <c r="BZ15" s="305">
        <v>43753</v>
      </c>
      <c r="CA15" s="15">
        <v>899</v>
      </c>
      <c r="CB15" s="307" t="s">
        <v>280</v>
      </c>
      <c r="CC15" s="308">
        <v>34.5</v>
      </c>
      <c r="CF15" s="2"/>
      <c r="CG15" s="16">
        <v>8</v>
      </c>
      <c r="CH15" s="15">
        <v>931.07</v>
      </c>
      <c r="CI15" s="305">
        <v>43753</v>
      </c>
      <c r="CJ15" s="15">
        <v>931.07</v>
      </c>
      <c r="CK15" s="307" t="s">
        <v>282</v>
      </c>
      <c r="CL15" s="308">
        <v>34.5</v>
      </c>
      <c r="CO15" s="2"/>
      <c r="CP15" s="16">
        <v>8</v>
      </c>
      <c r="CQ15" s="15">
        <v>930.31</v>
      </c>
      <c r="CR15" s="14">
        <v>43754</v>
      </c>
      <c r="CS15" s="15">
        <v>930.31</v>
      </c>
      <c r="CT15" s="32" t="s">
        <v>292</v>
      </c>
      <c r="CU15" s="18">
        <v>35</v>
      </c>
      <c r="CX15" s="2"/>
      <c r="CY15" s="16">
        <v>8</v>
      </c>
      <c r="CZ15" s="15">
        <v>938.78</v>
      </c>
      <c r="DA15" s="305">
        <v>43754</v>
      </c>
      <c r="DB15" s="15">
        <v>938.78</v>
      </c>
      <c r="DC15" s="307" t="s">
        <v>291</v>
      </c>
      <c r="DD15" s="308">
        <v>35</v>
      </c>
      <c r="DG15" s="2"/>
      <c r="DH15" s="16">
        <v>8</v>
      </c>
      <c r="DI15" s="15">
        <v>888.5</v>
      </c>
      <c r="DJ15" s="305">
        <v>43756</v>
      </c>
      <c r="DK15" s="15">
        <v>888.5</v>
      </c>
      <c r="DL15" s="307" t="s">
        <v>300</v>
      </c>
      <c r="DM15" s="308">
        <v>35</v>
      </c>
      <c r="DP15" s="2"/>
      <c r="DQ15" s="16">
        <v>8</v>
      </c>
      <c r="DR15" s="7">
        <v>947.39</v>
      </c>
      <c r="DS15" s="47">
        <v>43760</v>
      </c>
      <c r="DT15" s="7">
        <v>947.39</v>
      </c>
      <c r="DU15" s="60" t="s">
        <v>326</v>
      </c>
      <c r="DV15" s="18">
        <v>39</v>
      </c>
      <c r="DY15" s="2"/>
      <c r="DZ15" s="16">
        <v>8</v>
      </c>
      <c r="EA15" s="7">
        <v>918.07</v>
      </c>
      <c r="EB15" s="47">
        <v>43761</v>
      </c>
      <c r="EC15" s="7">
        <v>918.07</v>
      </c>
      <c r="ED15" s="611" t="s">
        <v>370</v>
      </c>
      <c r="EE15" s="18">
        <v>39</v>
      </c>
      <c r="EH15" s="2"/>
      <c r="EI15" s="16">
        <v>8</v>
      </c>
      <c r="EJ15" s="15">
        <v>920.79</v>
      </c>
      <c r="EK15" s="14">
        <v>43762</v>
      </c>
      <c r="EL15" s="15">
        <v>920.79</v>
      </c>
      <c r="EM15" s="35" t="s">
        <v>380</v>
      </c>
      <c r="EN15" s="18">
        <v>39</v>
      </c>
      <c r="EQ15" s="2"/>
      <c r="ER15" s="16">
        <v>8</v>
      </c>
      <c r="ES15" s="15">
        <v>903.5</v>
      </c>
      <c r="ET15" s="14">
        <v>43761</v>
      </c>
      <c r="EU15" s="15">
        <v>903.5</v>
      </c>
      <c r="EV15" s="35" t="s">
        <v>328</v>
      </c>
      <c r="EW15" s="18">
        <v>39</v>
      </c>
      <c r="EZ15" s="2"/>
      <c r="FA15" s="16">
        <v>8</v>
      </c>
      <c r="FB15" s="134">
        <v>897</v>
      </c>
      <c r="FC15" s="119">
        <v>43767</v>
      </c>
      <c r="FD15" s="134">
        <v>897</v>
      </c>
      <c r="FE15" s="90" t="s">
        <v>386</v>
      </c>
      <c r="FF15" s="91">
        <v>41</v>
      </c>
      <c r="FI15" s="2"/>
      <c r="FJ15" s="16">
        <v>8</v>
      </c>
      <c r="FK15" s="7">
        <v>902.04</v>
      </c>
      <c r="FL15" s="47">
        <v>43768</v>
      </c>
      <c r="FM15" s="7">
        <v>902.04</v>
      </c>
      <c r="FN15" s="60" t="s">
        <v>391</v>
      </c>
      <c r="FO15" s="18">
        <v>41</v>
      </c>
      <c r="FR15" s="2"/>
      <c r="FS15" s="16">
        <v>8</v>
      </c>
      <c r="FT15" s="15">
        <v>952.5</v>
      </c>
      <c r="FU15" s="119">
        <v>43769</v>
      </c>
      <c r="FV15" s="134">
        <v>952.5</v>
      </c>
      <c r="FW15" s="137" t="s">
        <v>402</v>
      </c>
      <c r="FX15" s="91">
        <v>41</v>
      </c>
      <c r="GA15" s="2"/>
      <c r="GB15" s="16">
        <v>8</v>
      </c>
      <c r="GC15" s="15">
        <v>906.27</v>
      </c>
      <c r="GD15" s="14">
        <v>43770</v>
      </c>
      <c r="GE15" s="496">
        <v>906.27</v>
      </c>
      <c r="GF15" s="32" t="s">
        <v>399</v>
      </c>
      <c r="GG15" s="18">
        <v>41</v>
      </c>
      <c r="GI15"/>
      <c r="GJ15" s="2"/>
      <c r="GK15" s="16">
        <v>8</v>
      </c>
      <c r="GL15" s="15">
        <v>932.13</v>
      </c>
      <c r="GM15" s="14">
        <v>43768</v>
      </c>
      <c r="GN15" s="15">
        <v>932.13</v>
      </c>
      <c r="GO15" s="32" t="s">
        <v>389</v>
      </c>
      <c r="GP15" s="18">
        <v>41</v>
      </c>
      <c r="GS15" s="2"/>
      <c r="GT15" s="16">
        <v>8</v>
      </c>
      <c r="GU15" s="15">
        <v>886.79</v>
      </c>
      <c r="GV15" s="14">
        <v>43771</v>
      </c>
      <c r="GW15" s="15">
        <v>886.79</v>
      </c>
      <c r="GX15" s="239" t="s">
        <v>421</v>
      </c>
      <c r="GY15" s="18">
        <v>41</v>
      </c>
      <c r="HB15" s="2"/>
      <c r="HC15" s="16">
        <v>8</v>
      </c>
      <c r="HD15" s="7">
        <v>866.4</v>
      </c>
      <c r="HE15" s="47">
        <v>43771</v>
      </c>
      <c r="HF15" s="7">
        <v>866.4</v>
      </c>
      <c r="HG15" s="60" t="s">
        <v>418</v>
      </c>
      <c r="HH15" s="18">
        <v>41</v>
      </c>
      <c r="HK15" s="2"/>
      <c r="HL15" s="16">
        <v>8</v>
      </c>
      <c r="HM15" s="15">
        <v>900.5</v>
      </c>
      <c r="HN15" s="14">
        <v>43771</v>
      </c>
      <c r="HO15" s="15">
        <v>900.5</v>
      </c>
      <c r="HP15" s="393" t="s">
        <v>413</v>
      </c>
      <c r="HQ15" s="18">
        <v>41</v>
      </c>
      <c r="HR15" s="15"/>
      <c r="HS15" s="7"/>
      <c r="HT15" s="2"/>
      <c r="HU15" s="16">
        <v>8</v>
      </c>
      <c r="HV15" s="15">
        <v>917.46</v>
      </c>
      <c r="HW15" s="47"/>
      <c r="HX15" s="15"/>
      <c r="HY15" s="60"/>
      <c r="HZ15" s="18"/>
      <c r="IA15" s="7"/>
      <c r="IC15" s="2"/>
      <c r="ID15" s="16">
        <v>8</v>
      </c>
      <c r="IE15" s="15">
        <v>858.5</v>
      </c>
      <c r="IF15" s="14">
        <v>43774</v>
      </c>
      <c r="IG15" s="15">
        <v>858.5</v>
      </c>
      <c r="IH15" s="35" t="s">
        <v>433</v>
      </c>
      <c r="II15" s="18">
        <v>42</v>
      </c>
      <c r="IL15" s="2"/>
      <c r="IM15" s="16"/>
      <c r="IN15" s="7"/>
      <c r="IO15" s="400"/>
      <c r="IP15" s="610"/>
      <c r="IQ15" s="60"/>
      <c r="IR15" s="18"/>
      <c r="IU15" s="2"/>
      <c r="IV15" s="16"/>
      <c r="IW15" s="15"/>
      <c r="IX15" s="14"/>
      <c r="IY15" s="15"/>
      <c r="IZ15" s="32"/>
      <c r="JA15" s="18"/>
      <c r="JD15" s="2"/>
      <c r="JE15" s="16"/>
      <c r="JF15" s="15"/>
      <c r="JG15" s="14"/>
      <c r="JH15" s="15"/>
      <c r="JI15" s="32"/>
      <c r="JJ15" s="18"/>
      <c r="JM15" s="2"/>
      <c r="JN15" s="16"/>
      <c r="JO15" s="15"/>
      <c r="JP15" s="14"/>
      <c r="JQ15" s="15"/>
      <c r="JR15" s="32"/>
      <c r="JS15" s="18"/>
      <c r="JV15" s="2"/>
      <c r="JW15" s="16"/>
      <c r="JX15" s="15"/>
      <c r="JY15" s="14"/>
      <c r="JZ15" s="15"/>
      <c r="KA15" s="32"/>
      <c r="KB15" s="18"/>
      <c r="KE15" s="2"/>
      <c r="KF15" s="16"/>
      <c r="KG15" s="15"/>
      <c r="KH15" s="14"/>
      <c r="KI15" s="15"/>
      <c r="KJ15" s="32"/>
      <c r="KK15" s="18"/>
      <c r="KN15" s="2"/>
      <c r="KO15" s="16">
        <v>8</v>
      </c>
      <c r="KP15" s="152"/>
      <c r="KQ15" s="85"/>
      <c r="KR15" s="152"/>
      <c r="KS15" s="101"/>
      <c r="KT15" s="83"/>
      <c r="KU15" s="237"/>
      <c r="KW15" s="2"/>
      <c r="KX15" s="16">
        <v>8</v>
      </c>
      <c r="KY15" s="152"/>
      <c r="KZ15" s="14"/>
      <c r="LA15" s="152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52"/>
      <c r="LR15" s="14"/>
      <c r="LS15" s="498"/>
      <c r="LT15" s="499"/>
      <c r="LU15" s="18"/>
      <c r="LX15" s="2"/>
      <c r="LY15" s="16"/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5"/>
      <c r="RP15" s="306"/>
      <c r="RQ15" s="307"/>
      <c r="RR15" s="308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SMITHFIELD FRESH MEATS</v>
      </c>
      <c r="C16" t="str">
        <f t="shared" si="12"/>
        <v>Smithfield</v>
      </c>
      <c r="D16" s="56" t="str">
        <f t="shared" si="12"/>
        <v>PED. 43632540</v>
      </c>
      <c r="E16" s="124">
        <f t="shared" si="12"/>
        <v>43760</v>
      </c>
      <c r="F16" s="58">
        <f t="shared" si="12"/>
        <v>19210.04</v>
      </c>
      <c r="G16" s="13">
        <f t="shared" si="12"/>
        <v>20</v>
      </c>
      <c r="H16" s="52">
        <f t="shared" si="12"/>
        <v>19125.61</v>
      </c>
      <c r="I16" s="6">
        <f t="shared" si="12"/>
        <v>84.430000000000291</v>
      </c>
      <c r="L16" s="2"/>
      <c r="M16" s="16">
        <v>9</v>
      </c>
      <c r="N16" s="152">
        <v>909.3</v>
      </c>
      <c r="O16" s="85">
        <v>43746</v>
      </c>
      <c r="P16" s="152">
        <v>909.3</v>
      </c>
      <c r="Q16" s="101" t="s">
        <v>208</v>
      </c>
      <c r="R16" s="83">
        <v>34.5</v>
      </c>
      <c r="S16" s="237"/>
      <c r="U16" s="2"/>
      <c r="V16" s="16">
        <v>9</v>
      </c>
      <c r="W16" s="152">
        <v>907.48</v>
      </c>
      <c r="X16" s="14">
        <v>43746</v>
      </c>
      <c r="Y16" s="152">
        <v>907.48</v>
      </c>
      <c r="Z16" s="32" t="s">
        <v>207</v>
      </c>
      <c r="AA16" s="18">
        <v>34.5</v>
      </c>
      <c r="AD16" s="2"/>
      <c r="AE16" s="16">
        <v>9</v>
      </c>
      <c r="AF16" s="15">
        <v>907</v>
      </c>
      <c r="AG16" s="14">
        <v>43746</v>
      </c>
      <c r="AH16" s="15">
        <v>907</v>
      </c>
      <c r="AI16" s="32" t="s">
        <v>205</v>
      </c>
      <c r="AJ16" s="18">
        <v>34.5</v>
      </c>
      <c r="AM16" s="2"/>
      <c r="AN16" s="16">
        <v>9</v>
      </c>
      <c r="AO16" s="152">
        <v>530.5</v>
      </c>
      <c r="AP16" s="119">
        <v>43748</v>
      </c>
      <c r="AQ16" s="152">
        <v>530.5</v>
      </c>
      <c r="AR16" s="137" t="s">
        <v>219</v>
      </c>
      <c r="AS16" s="91">
        <v>34.5</v>
      </c>
      <c r="AV16" s="2"/>
      <c r="AW16" s="16">
        <v>9</v>
      </c>
      <c r="AX16" s="15">
        <v>919.27</v>
      </c>
      <c r="AY16" s="85">
        <v>43749</v>
      </c>
      <c r="AZ16" s="15">
        <v>919.27</v>
      </c>
      <c r="BA16" s="101" t="s">
        <v>227</v>
      </c>
      <c r="BB16" s="312">
        <v>34.5</v>
      </c>
      <c r="BE16" s="2"/>
      <c r="BF16" s="16">
        <v>9</v>
      </c>
      <c r="BG16" s="15">
        <v>830</v>
      </c>
      <c r="BH16" s="85">
        <v>43749</v>
      </c>
      <c r="BI16" s="15">
        <v>830</v>
      </c>
      <c r="BJ16" s="101" t="s">
        <v>229</v>
      </c>
      <c r="BK16" s="312">
        <v>34.5</v>
      </c>
      <c r="BN16" s="2"/>
      <c r="BO16" s="16">
        <v>9</v>
      </c>
      <c r="BP16" s="15">
        <v>897</v>
      </c>
      <c r="BQ16" s="305">
        <v>43754</v>
      </c>
      <c r="BR16" s="15">
        <v>897</v>
      </c>
      <c r="BS16" s="307" t="s">
        <v>286</v>
      </c>
      <c r="BT16" s="308">
        <v>34.5</v>
      </c>
      <c r="BW16" s="2"/>
      <c r="BX16" s="16">
        <v>9</v>
      </c>
      <c r="BY16" s="15">
        <v>887</v>
      </c>
      <c r="BZ16" s="305">
        <v>43753</v>
      </c>
      <c r="CA16" s="15">
        <v>887</v>
      </c>
      <c r="CB16" s="307" t="s">
        <v>280</v>
      </c>
      <c r="CC16" s="308">
        <v>34.5</v>
      </c>
      <c r="CF16" s="2"/>
      <c r="CG16" s="16">
        <v>9</v>
      </c>
      <c r="CH16" s="15">
        <v>921.54</v>
      </c>
      <c r="CI16" s="305">
        <v>43753</v>
      </c>
      <c r="CJ16" s="15">
        <v>921.54</v>
      </c>
      <c r="CK16" s="307" t="s">
        <v>282</v>
      </c>
      <c r="CL16" s="308">
        <v>34.5</v>
      </c>
      <c r="CO16" s="2"/>
      <c r="CP16" s="16">
        <v>9</v>
      </c>
      <c r="CQ16" s="15">
        <v>937.12</v>
      </c>
      <c r="CR16" s="14">
        <v>43754</v>
      </c>
      <c r="CS16" s="15">
        <v>937.12</v>
      </c>
      <c r="CT16" s="32" t="s">
        <v>292</v>
      </c>
      <c r="CU16" s="18">
        <v>35</v>
      </c>
      <c r="CX16" s="2"/>
      <c r="CY16" s="16">
        <v>9</v>
      </c>
      <c r="CZ16" s="15">
        <v>926.53</v>
      </c>
      <c r="DA16" s="305">
        <v>43754</v>
      </c>
      <c r="DB16" s="15">
        <v>926.53</v>
      </c>
      <c r="DC16" s="307" t="s">
        <v>291</v>
      </c>
      <c r="DD16" s="308">
        <v>35</v>
      </c>
      <c r="DG16" s="2"/>
      <c r="DH16" s="16">
        <v>9</v>
      </c>
      <c r="DI16" s="15">
        <v>902</v>
      </c>
      <c r="DJ16" s="305">
        <v>43756</v>
      </c>
      <c r="DK16" s="15">
        <v>902</v>
      </c>
      <c r="DL16" s="307" t="s">
        <v>300</v>
      </c>
      <c r="DM16" s="308">
        <v>35</v>
      </c>
      <c r="DP16" s="2"/>
      <c r="DQ16" s="16">
        <v>9</v>
      </c>
      <c r="DR16" s="7">
        <v>930.16</v>
      </c>
      <c r="DS16" s="47">
        <v>43760</v>
      </c>
      <c r="DT16" s="7">
        <v>930.16</v>
      </c>
      <c r="DU16" s="60" t="s">
        <v>326</v>
      </c>
      <c r="DV16" s="18">
        <v>39</v>
      </c>
      <c r="DY16" s="2"/>
      <c r="DZ16" s="16">
        <v>9</v>
      </c>
      <c r="EA16" s="7">
        <v>943.01</v>
      </c>
      <c r="EB16" s="47">
        <v>43761</v>
      </c>
      <c r="EC16" s="7">
        <v>943.01</v>
      </c>
      <c r="ED16" s="611" t="s">
        <v>370</v>
      </c>
      <c r="EE16" s="18">
        <v>39</v>
      </c>
      <c r="EH16" s="2"/>
      <c r="EI16" s="16">
        <v>9</v>
      </c>
      <c r="EJ16" s="15">
        <v>940.29</v>
      </c>
      <c r="EK16" s="14">
        <v>43762</v>
      </c>
      <c r="EL16" s="723">
        <v>940.29</v>
      </c>
      <c r="EM16" s="35" t="s">
        <v>374</v>
      </c>
      <c r="EN16" s="18">
        <v>39</v>
      </c>
      <c r="EQ16" s="2"/>
      <c r="ER16" s="16">
        <v>9</v>
      </c>
      <c r="ES16" s="15">
        <v>905.5</v>
      </c>
      <c r="ET16" s="14">
        <v>43761</v>
      </c>
      <c r="EU16" s="15">
        <v>905.5</v>
      </c>
      <c r="EV16" s="35" t="s">
        <v>328</v>
      </c>
      <c r="EW16" s="18">
        <v>39</v>
      </c>
      <c r="EZ16" s="2"/>
      <c r="FA16" s="16">
        <v>9</v>
      </c>
      <c r="FB16" s="134">
        <v>898.5</v>
      </c>
      <c r="FC16" s="119">
        <v>43767</v>
      </c>
      <c r="FD16" s="134">
        <v>898.5</v>
      </c>
      <c r="FE16" s="90" t="s">
        <v>386</v>
      </c>
      <c r="FF16" s="91">
        <v>41</v>
      </c>
      <c r="FI16" s="2"/>
      <c r="FJ16" s="16">
        <v>9</v>
      </c>
      <c r="FK16" s="7">
        <v>922.45</v>
      </c>
      <c r="FL16" s="47">
        <v>43768</v>
      </c>
      <c r="FM16" s="7">
        <v>922.45</v>
      </c>
      <c r="FN16" s="60" t="s">
        <v>394</v>
      </c>
      <c r="FO16" s="18">
        <v>41</v>
      </c>
      <c r="FR16" s="2"/>
      <c r="FS16" s="16">
        <v>9</v>
      </c>
      <c r="FT16" s="15">
        <v>968.9</v>
      </c>
      <c r="FU16" s="119">
        <v>43769</v>
      </c>
      <c r="FV16" s="134">
        <v>968.9</v>
      </c>
      <c r="FW16" s="137" t="s">
        <v>402</v>
      </c>
      <c r="FX16" s="91">
        <v>41</v>
      </c>
      <c r="GA16" s="2"/>
      <c r="GB16" s="16">
        <v>9</v>
      </c>
      <c r="GC16" s="15">
        <v>955.71</v>
      </c>
      <c r="GD16" s="14">
        <v>43770</v>
      </c>
      <c r="GE16" s="496">
        <v>955.71</v>
      </c>
      <c r="GF16" s="32" t="s">
        <v>399</v>
      </c>
      <c r="GG16" s="18">
        <v>41</v>
      </c>
      <c r="GI16"/>
      <c r="GJ16" s="2"/>
      <c r="GK16" s="16">
        <v>9</v>
      </c>
      <c r="GL16" s="15">
        <v>924.87</v>
      </c>
      <c r="GM16" s="14">
        <v>43768</v>
      </c>
      <c r="GN16" s="15">
        <v>924.87</v>
      </c>
      <c r="GO16" s="32" t="s">
        <v>389</v>
      </c>
      <c r="GP16" s="18">
        <v>41</v>
      </c>
      <c r="GS16" s="2"/>
      <c r="GT16" s="16">
        <v>9</v>
      </c>
      <c r="GU16" s="15">
        <v>867.28</v>
      </c>
      <c r="GV16" s="14">
        <v>43771</v>
      </c>
      <c r="GW16" s="15">
        <v>867.28</v>
      </c>
      <c r="GX16" s="239" t="s">
        <v>423</v>
      </c>
      <c r="GY16" s="18">
        <v>41</v>
      </c>
      <c r="HB16" s="2"/>
      <c r="HC16" s="16">
        <v>9</v>
      </c>
      <c r="HD16" s="7">
        <v>869.1</v>
      </c>
      <c r="HE16" s="47">
        <v>43771</v>
      </c>
      <c r="HF16" s="7">
        <v>869.1</v>
      </c>
      <c r="HG16" s="60" t="s">
        <v>419</v>
      </c>
      <c r="HH16" s="18">
        <v>41</v>
      </c>
      <c r="HK16" s="2"/>
      <c r="HL16" s="16">
        <v>9</v>
      </c>
      <c r="HM16" s="15">
        <v>891.5</v>
      </c>
      <c r="HN16" s="14">
        <v>43771</v>
      </c>
      <c r="HO16" s="15">
        <v>891.5</v>
      </c>
      <c r="HP16" s="393" t="s">
        <v>413</v>
      </c>
      <c r="HQ16" s="18">
        <v>41</v>
      </c>
      <c r="HR16" s="15"/>
      <c r="HS16" s="7"/>
      <c r="HT16" s="2"/>
      <c r="HU16" s="16">
        <v>9</v>
      </c>
      <c r="HV16" s="15">
        <v>979.59</v>
      </c>
      <c r="HW16" s="47"/>
      <c r="HX16" s="15"/>
      <c r="HY16" s="60"/>
      <c r="HZ16" s="18"/>
      <c r="IA16" s="7"/>
      <c r="IC16" s="2"/>
      <c r="ID16" s="16">
        <v>9</v>
      </c>
      <c r="IE16" s="15">
        <v>901.5</v>
      </c>
      <c r="IF16" s="14">
        <v>43774</v>
      </c>
      <c r="IG16" s="15">
        <v>901.5</v>
      </c>
      <c r="IH16" s="35" t="s">
        <v>433</v>
      </c>
      <c r="II16" s="18">
        <v>42</v>
      </c>
      <c r="IL16" s="2"/>
      <c r="IM16" s="16"/>
      <c r="IN16" s="7"/>
      <c r="IO16" s="400"/>
      <c r="IP16" s="610"/>
      <c r="IQ16" s="60"/>
      <c r="IR16" s="18"/>
      <c r="IU16" s="2"/>
      <c r="IV16" s="16"/>
      <c r="IW16" s="15"/>
      <c r="IX16" s="14"/>
      <c r="IY16" s="15"/>
      <c r="IZ16" s="32"/>
      <c r="JA16" s="18"/>
      <c r="JD16" s="2"/>
      <c r="JE16" s="16"/>
      <c r="JF16" s="15"/>
      <c r="JG16" s="14"/>
      <c r="JH16" s="15"/>
      <c r="JI16" s="32"/>
      <c r="JJ16" s="18"/>
      <c r="JM16" s="2"/>
      <c r="JN16" s="16"/>
      <c r="JO16" s="15"/>
      <c r="JP16" s="14"/>
      <c r="JQ16" s="15"/>
      <c r="JR16" s="32"/>
      <c r="JS16" s="18"/>
      <c r="JV16" s="2"/>
      <c r="JW16" s="16"/>
      <c r="JX16" s="15"/>
      <c r="JY16" s="14"/>
      <c r="JZ16" s="15"/>
      <c r="KA16" s="32"/>
      <c r="KB16" s="18"/>
      <c r="KE16" s="2"/>
      <c r="KF16" s="16"/>
      <c r="KG16" s="15"/>
      <c r="KH16" s="14"/>
      <c r="KI16" s="15"/>
      <c r="KJ16" s="32"/>
      <c r="KK16" s="18"/>
      <c r="KN16" s="2"/>
      <c r="KO16" s="16">
        <v>9</v>
      </c>
      <c r="KP16" s="152"/>
      <c r="KQ16" s="85"/>
      <c r="KR16" s="152"/>
      <c r="KS16" s="101"/>
      <c r="KT16" s="83"/>
      <c r="KU16" s="237"/>
      <c r="KW16" s="2"/>
      <c r="KX16" s="16">
        <v>9</v>
      </c>
      <c r="KY16" s="152"/>
      <c r="KZ16" s="14"/>
      <c r="LA16" s="152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52"/>
      <c r="LR16" s="14"/>
      <c r="LS16" s="498"/>
      <c r="LT16" s="499"/>
      <c r="LU16" s="18"/>
      <c r="LX16" s="2"/>
      <c r="LY16" s="16"/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5"/>
      <c r="RP16" s="306"/>
      <c r="RQ16" s="307"/>
      <c r="RR16" s="308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TYSON FRESH MEATS</v>
      </c>
      <c r="C17" t="str">
        <f t="shared" si="13"/>
        <v xml:space="preserve">I B P </v>
      </c>
      <c r="D17" s="56" t="str">
        <f t="shared" si="13"/>
        <v>PED. 43660261</v>
      </c>
      <c r="E17" s="124">
        <f t="shared" si="13"/>
        <v>43761</v>
      </c>
      <c r="F17" s="58">
        <f t="shared" si="13"/>
        <v>18658.66</v>
      </c>
      <c r="G17" s="13">
        <f t="shared" si="13"/>
        <v>20</v>
      </c>
      <c r="H17" s="52">
        <f t="shared" si="13"/>
        <v>18723.29</v>
      </c>
      <c r="I17" s="6">
        <f t="shared" si="13"/>
        <v>-64.630000000001019</v>
      </c>
      <c r="L17" s="2"/>
      <c r="M17" s="16">
        <v>10</v>
      </c>
      <c r="N17" s="152">
        <v>956.92</v>
      </c>
      <c r="O17" s="85">
        <v>43746</v>
      </c>
      <c r="P17" s="152">
        <v>956.92</v>
      </c>
      <c r="Q17" s="101" t="s">
        <v>208</v>
      </c>
      <c r="R17" s="83">
        <v>34.5</v>
      </c>
      <c r="S17" s="237"/>
      <c r="U17" s="2"/>
      <c r="V17" s="16">
        <v>10</v>
      </c>
      <c r="W17" s="152">
        <v>928.34</v>
      </c>
      <c r="X17" s="14">
        <v>43746</v>
      </c>
      <c r="Y17" s="152">
        <v>928.34</v>
      </c>
      <c r="Z17" s="32" t="s">
        <v>207</v>
      </c>
      <c r="AA17" s="18">
        <v>34.5</v>
      </c>
      <c r="AD17" s="2"/>
      <c r="AE17" s="16">
        <v>10</v>
      </c>
      <c r="AF17" s="7">
        <v>901.5</v>
      </c>
      <c r="AG17" s="14">
        <v>43746</v>
      </c>
      <c r="AH17" s="7">
        <v>901.5</v>
      </c>
      <c r="AI17" s="32" t="s">
        <v>205</v>
      </c>
      <c r="AJ17" s="18">
        <v>34.5</v>
      </c>
      <c r="AM17" s="2"/>
      <c r="AN17" s="16">
        <v>10</v>
      </c>
      <c r="AO17" s="152">
        <v>902</v>
      </c>
      <c r="AP17" s="119">
        <v>43748</v>
      </c>
      <c r="AQ17" s="152">
        <v>902</v>
      </c>
      <c r="AR17" s="137" t="s">
        <v>219</v>
      </c>
      <c r="AS17" s="91">
        <v>34.5</v>
      </c>
      <c r="AV17" s="2"/>
      <c r="AW17" s="16">
        <v>10</v>
      </c>
      <c r="AX17" s="15">
        <v>924.72</v>
      </c>
      <c r="AY17" s="85">
        <v>43749</v>
      </c>
      <c r="AZ17" s="15">
        <v>924.72</v>
      </c>
      <c r="BA17" s="101" t="s">
        <v>227</v>
      </c>
      <c r="BB17" s="312">
        <v>34.5</v>
      </c>
      <c r="BE17" s="2"/>
      <c r="BF17" s="16">
        <v>10</v>
      </c>
      <c r="BG17" s="15">
        <v>887</v>
      </c>
      <c r="BH17" s="85">
        <v>43749</v>
      </c>
      <c r="BI17" s="15">
        <v>887</v>
      </c>
      <c r="BJ17" s="101" t="s">
        <v>229</v>
      </c>
      <c r="BK17" s="312">
        <v>34.5</v>
      </c>
      <c r="BN17" s="2"/>
      <c r="BO17" s="16">
        <v>10</v>
      </c>
      <c r="BP17" s="7">
        <v>894.5</v>
      </c>
      <c r="BQ17" s="305">
        <v>43754</v>
      </c>
      <c r="BR17" s="7">
        <v>894.5</v>
      </c>
      <c r="BS17" s="307" t="s">
        <v>286</v>
      </c>
      <c r="BT17" s="308">
        <v>34.5</v>
      </c>
      <c r="BW17" s="2"/>
      <c r="BX17" s="16">
        <v>10</v>
      </c>
      <c r="BY17" s="15">
        <v>897</v>
      </c>
      <c r="BZ17" s="305">
        <v>43753</v>
      </c>
      <c r="CA17" s="15">
        <v>897</v>
      </c>
      <c r="CB17" s="307" t="s">
        <v>280</v>
      </c>
      <c r="CC17" s="308">
        <v>34.5</v>
      </c>
      <c r="CF17" s="2"/>
      <c r="CG17" s="16">
        <v>10</v>
      </c>
      <c r="CH17" s="15">
        <v>958.73</v>
      </c>
      <c r="CI17" s="305">
        <v>43753</v>
      </c>
      <c r="CJ17" s="15">
        <v>958.73</v>
      </c>
      <c r="CK17" s="307" t="s">
        <v>282</v>
      </c>
      <c r="CL17" s="308">
        <v>34.5</v>
      </c>
      <c r="CO17" s="2"/>
      <c r="CP17" s="16">
        <v>10</v>
      </c>
      <c r="CQ17" s="15">
        <v>908.09</v>
      </c>
      <c r="CR17" s="14">
        <v>43754</v>
      </c>
      <c r="CS17" s="15">
        <v>908.09</v>
      </c>
      <c r="CT17" s="32" t="s">
        <v>292</v>
      </c>
      <c r="CU17" s="18">
        <v>35</v>
      </c>
      <c r="CX17" s="2"/>
      <c r="CY17" s="16">
        <v>10</v>
      </c>
      <c r="CZ17" s="7">
        <v>932.88</v>
      </c>
      <c r="DA17" s="305">
        <v>43754</v>
      </c>
      <c r="DB17" s="7">
        <v>932.88</v>
      </c>
      <c r="DC17" s="307" t="s">
        <v>291</v>
      </c>
      <c r="DD17" s="308">
        <v>35</v>
      </c>
      <c r="DG17" s="2"/>
      <c r="DH17" s="16">
        <v>10</v>
      </c>
      <c r="DI17" s="7">
        <v>901</v>
      </c>
      <c r="DJ17" s="305">
        <v>43756</v>
      </c>
      <c r="DK17" s="15">
        <v>901</v>
      </c>
      <c r="DL17" s="307" t="s">
        <v>300</v>
      </c>
      <c r="DM17" s="308">
        <v>35</v>
      </c>
      <c r="DP17" s="2"/>
      <c r="DQ17" s="16">
        <v>10</v>
      </c>
      <c r="DR17" s="7">
        <v>982.31</v>
      </c>
      <c r="DS17" s="47">
        <v>43760</v>
      </c>
      <c r="DT17" s="7">
        <v>982.31</v>
      </c>
      <c r="DU17" s="60" t="s">
        <v>326</v>
      </c>
      <c r="DV17" s="18">
        <v>39</v>
      </c>
      <c r="DY17" s="2"/>
      <c r="DZ17" s="16">
        <v>10</v>
      </c>
      <c r="EA17" s="7">
        <v>946.64</v>
      </c>
      <c r="EB17" s="47">
        <v>43761</v>
      </c>
      <c r="EC17" s="7">
        <v>946.64</v>
      </c>
      <c r="ED17" s="611" t="s">
        <v>370</v>
      </c>
      <c r="EE17" s="18">
        <v>39</v>
      </c>
      <c r="EH17" s="2"/>
      <c r="EI17" s="16">
        <v>10</v>
      </c>
      <c r="EJ17" s="15">
        <v>938.02</v>
      </c>
      <c r="EK17" s="14">
        <v>43762</v>
      </c>
      <c r="EL17" s="723">
        <v>938.02</v>
      </c>
      <c r="EM17" s="35" t="s">
        <v>374</v>
      </c>
      <c r="EN17" s="18">
        <v>39</v>
      </c>
      <c r="EQ17" s="2"/>
      <c r="ER17" s="16">
        <v>10</v>
      </c>
      <c r="ES17" s="7">
        <v>902.5</v>
      </c>
      <c r="ET17" s="14">
        <v>43761</v>
      </c>
      <c r="EU17" s="7">
        <v>902.5</v>
      </c>
      <c r="EV17" s="35" t="s">
        <v>328</v>
      </c>
      <c r="EW17" s="18">
        <v>39</v>
      </c>
      <c r="EZ17" s="2"/>
      <c r="FA17" s="16">
        <v>10</v>
      </c>
      <c r="FB17" s="134">
        <v>897.5</v>
      </c>
      <c r="FC17" s="119">
        <v>43767</v>
      </c>
      <c r="FD17" s="134">
        <v>897.5</v>
      </c>
      <c r="FE17" s="90" t="s">
        <v>386</v>
      </c>
      <c r="FF17" s="91">
        <v>41</v>
      </c>
      <c r="FI17" s="2"/>
      <c r="FJ17" s="16">
        <v>10</v>
      </c>
      <c r="FK17" s="7">
        <v>886.62</v>
      </c>
      <c r="FL17" s="47">
        <v>43768</v>
      </c>
      <c r="FM17" s="7">
        <v>886.62</v>
      </c>
      <c r="FN17" s="60" t="s">
        <v>394</v>
      </c>
      <c r="FO17" s="18">
        <v>41</v>
      </c>
      <c r="FR17" s="2"/>
      <c r="FS17" s="16">
        <v>10</v>
      </c>
      <c r="FT17" s="15">
        <v>873.2</v>
      </c>
      <c r="FU17" s="119">
        <v>43770</v>
      </c>
      <c r="FV17" s="134">
        <v>873.2</v>
      </c>
      <c r="FW17" s="137" t="s">
        <v>405</v>
      </c>
      <c r="FX17" s="91">
        <v>41</v>
      </c>
      <c r="GA17" s="2"/>
      <c r="GB17" s="16">
        <v>10</v>
      </c>
      <c r="GC17" s="15">
        <v>943.01</v>
      </c>
      <c r="GD17" s="14">
        <v>43770</v>
      </c>
      <c r="GE17" s="496">
        <v>943.01</v>
      </c>
      <c r="GF17" s="32" t="s">
        <v>399</v>
      </c>
      <c r="GG17" s="18">
        <v>41</v>
      </c>
      <c r="GI17"/>
      <c r="GJ17" s="2"/>
      <c r="GK17" s="16">
        <v>10</v>
      </c>
      <c r="GL17" s="15">
        <v>962.97</v>
      </c>
      <c r="GM17" s="14">
        <v>43768</v>
      </c>
      <c r="GN17" s="15">
        <v>962.97</v>
      </c>
      <c r="GO17" s="32" t="s">
        <v>397</v>
      </c>
      <c r="GP17" s="18">
        <v>41</v>
      </c>
      <c r="GS17" s="2"/>
      <c r="GT17" s="16">
        <v>10</v>
      </c>
      <c r="GU17" s="15">
        <v>936.23</v>
      </c>
      <c r="GV17" s="14">
        <v>43771</v>
      </c>
      <c r="GW17" s="15">
        <v>936.23</v>
      </c>
      <c r="GX17" s="239" t="s">
        <v>423</v>
      </c>
      <c r="GY17" s="18">
        <v>41</v>
      </c>
      <c r="HB17" s="2"/>
      <c r="HC17" s="16">
        <v>10</v>
      </c>
      <c r="HD17" s="7">
        <v>879.1</v>
      </c>
      <c r="HE17" s="47">
        <v>43771</v>
      </c>
      <c r="HF17" s="7">
        <v>879.1</v>
      </c>
      <c r="HG17" s="60" t="s">
        <v>418</v>
      </c>
      <c r="HH17" s="18">
        <v>41</v>
      </c>
      <c r="HK17" s="2"/>
      <c r="HL17" s="16">
        <v>10</v>
      </c>
      <c r="HM17" s="15">
        <v>906.5</v>
      </c>
      <c r="HN17" s="14">
        <v>43771</v>
      </c>
      <c r="HO17" s="15">
        <v>906.5</v>
      </c>
      <c r="HP17" s="393" t="s">
        <v>413</v>
      </c>
      <c r="HQ17" s="18">
        <v>41</v>
      </c>
      <c r="HR17" s="15"/>
      <c r="HS17" s="7"/>
      <c r="HT17" s="2"/>
      <c r="HU17" s="16">
        <v>10</v>
      </c>
      <c r="HV17" s="15">
        <v>965.99</v>
      </c>
      <c r="HW17" s="47"/>
      <c r="HX17" s="15"/>
      <c r="HY17" s="60"/>
      <c r="HZ17" s="18"/>
      <c r="IA17" s="7"/>
      <c r="IC17" s="2"/>
      <c r="ID17" s="16">
        <v>10</v>
      </c>
      <c r="IE17" s="15">
        <v>902.5</v>
      </c>
      <c r="IF17" s="14">
        <v>43774</v>
      </c>
      <c r="IG17" s="15">
        <v>902.5</v>
      </c>
      <c r="IH17" s="35" t="s">
        <v>433</v>
      </c>
      <c r="II17" s="18">
        <v>42</v>
      </c>
      <c r="IL17" s="2"/>
      <c r="IM17" s="16"/>
      <c r="IN17" s="7"/>
      <c r="IO17" s="400"/>
      <c r="IP17" s="610"/>
      <c r="IQ17" s="60"/>
      <c r="IR17" s="18"/>
      <c r="IU17" s="2"/>
      <c r="IV17" s="16"/>
      <c r="IW17" s="15"/>
      <c r="IX17" s="14"/>
      <c r="IY17" s="15"/>
      <c r="IZ17" s="32"/>
      <c r="JA17" s="18"/>
      <c r="JD17" s="2"/>
      <c r="JE17" s="16"/>
      <c r="JF17" s="15"/>
      <c r="JG17" s="14"/>
      <c r="JH17" s="15"/>
      <c r="JI17" s="32"/>
      <c r="JJ17" s="18"/>
      <c r="JM17" s="2"/>
      <c r="JN17" s="16"/>
      <c r="JO17" s="15"/>
      <c r="JP17" s="14"/>
      <c r="JQ17" s="15"/>
      <c r="JR17" s="32"/>
      <c r="JS17" s="18"/>
      <c r="JV17" s="2"/>
      <c r="JW17" s="16"/>
      <c r="JX17" s="15"/>
      <c r="JY17" s="14"/>
      <c r="JZ17" s="15"/>
      <c r="KA17" s="32"/>
      <c r="KB17" s="18"/>
      <c r="KE17" s="2"/>
      <c r="KF17" s="16"/>
      <c r="KG17" s="7"/>
      <c r="KH17" s="14"/>
      <c r="KI17" s="7"/>
      <c r="KJ17" s="32"/>
      <c r="KK17" s="18"/>
      <c r="KN17" s="2"/>
      <c r="KO17" s="16">
        <v>10</v>
      </c>
      <c r="KP17" s="152"/>
      <c r="KQ17" s="85"/>
      <c r="KR17" s="152"/>
      <c r="KS17" s="101"/>
      <c r="KT17" s="83"/>
      <c r="KU17" s="237"/>
      <c r="KW17" s="2"/>
      <c r="KX17" s="16">
        <v>10</v>
      </c>
      <c r="KY17" s="152"/>
      <c r="KZ17" s="14"/>
      <c r="LA17" s="152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52"/>
      <c r="LR17" s="14"/>
      <c r="LS17" s="498"/>
      <c r="LT17" s="499"/>
      <c r="LU17" s="18"/>
      <c r="LX17" s="2"/>
      <c r="LY17" s="16"/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5"/>
      <c r="RP17" s="306"/>
      <c r="RQ17" s="307"/>
      <c r="RR17" s="308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TYSON FRESH MEATS</v>
      </c>
      <c r="C18" t="str">
        <f t="shared" si="14"/>
        <v xml:space="preserve">I B P </v>
      </c>
      <c r="D18" s="56" t="str">
        <f t="shared" si="14"/>
        <v>PED. 43660263</v>
      </c>
      <c r="E18" s="124">
        <f t="shared" si="14"/>
        <v>43761</v>
      </c>
      <c r="F18" s="58">
        <f t="shared" si="14"/>
        <v>18630.439999999999</v>
      </c>
      <c r="G18" s="13">
        <f t="shared" si="14"/>
        <v>20</v>
      </c>
      <c r="H18" s="52">
        <f t="shared" si="14"/>
        <v>18731.45</v>
      </c>
      <c r="I18" s="6">
        <f t="shared" si="14"/>
        <v>-101.01000000000204</v>
      </c>
      <c r="L18" s="2"/>
      <c r="M18" s="16">
        <v>11</v>
      </c>
      <c r="N18" s="152">
        <v>922</v>
      </c>
      <c r="O18" s="85">
        <v>43746</v>
      </c>
      <c r="P18" s="152">
        <v>922</v>
      </c>
      <c r="Q18" s="101" t="s">
        <v>212</v>
      </c>
      <c r="R18" s="83">
        <v>34.5</v>
      </c>
      <c r="S18" s="237"/>
      <c r="U18" s="2"/>
      <c r="V18" s="16">
        <v>11</v>
      </c>
      <c r="W18" s="152">
        <v>970.07</v>
      </c>
      <c r="X18" s="14">
        <v>43746</v>
      </c>
      <c r="Y18" s="152">
        <v>970.07</v>
      </c>
      <c r="Z18" s="32" t="s">
        <v>211</v>
      </c>
      <c r="AA18" s="18">
        <v>34.5</v>
      </c>
      <c r="AD18" s="2"/>
      <c r="AE18" s="16">
        <v>11</v>
      </c>
      <c r="AF18" s="15">
        <v>898.5</v>
      </c>
      <c r="AG18" s="14">
        <v>43746</v>
      </c>
      <c r="AH18" s="15">
        <v>898.5</v>
      </c>
      <c r="AI18" s="32" t="s">
        <v>206</v>
      </c>
      <c r="AJ18" s="18">
        <v>34.5</v>
      </c>
      <c r="AM18" s="2"/>
      <c r="AN18" s="16">
        <v>11</v>
      </c>
      <c r="AO18" s="152">
        <v>891</v>
      </c>
      <c r="AP18" s="119">
        <v>43748</v>
      </c>
      <c r="AQ18" s="152">
        <v>891</v>
      </c>
      <c r="AR18" s="137" t="s">
        <v>220</v>
      </c>
      <c r="AS18" s="91">
        <v>34.5</v>
      </c>
      <c r="AV18" s="2"/>
      <c r="AW18" s="16">
        <v>11</v>
      </c>
      <c r="AX18" s="15">
        <v>994.56</v>
      </c>
      <c r="AY18" s="85">
        <v>43749</v>
      </c>
      <c r="AZ18" s="15">
        <v>994.56</v>
      </c>
      <c r="BA18" s="101" t="s">
        <v>228</v>
      </c>
      <c r="BB18" s="312">
        <v>34.5</v>
      </c>
      <c r="BE18" s="2"/>
      <c r="BF18" s="16">
        <v>11</v>
      </c>
      <c r="BG18" s="15">
        <v>842</v>
      </c>
      <c r="BH18" s="85">
        <v>43749</v>
      </c>
      <c r="BI18" s="15">
        <v>842</v>
      </c>
      <c r="BJ18" s="101" t="s">
        <v>229</v>
      </c>
      <c r="BK18" s="312">
        <v>34.5</v>
      </c>
      <c r="BN18" s="2"/>
      <c r="BO18" s="16">
        <v>11</v>
      </c>
      <c r="BP18" s="15">
        <v>902</v>
      </c>
      <c r="BQ18" s="305">
        <v>43755</v>
      </c>
      <c r="BR18" s="15">
        <v>902</v>
      </c>
      <c r="BS18" s="307" t="s">
        <v>288</v>
      </c>
      <c r="BT18" s="308">
        <v>34.5</v>
      </c>
      <c r="BW18" s="2"/>
      <c r="BX18" s="16">
        <v>11</v>
      </c>
      <c r="BY18" s="7">
        <v>898.5</v>
      </c>
      <c r="BZ18" s="305">
        <v>43753</v>
      </c>
      <c r="CA18" s="7">
        <v>898.5</v>
      </c>
      <c r="CB18" s="307" t="s">
        <v>281</v>
      </c>
      <c r="CC18" s="308">
        <v>34.5</v>
      </c>
      <c r="CF18" s="2"/>
      <c r="CG18" s="16">
        <v>11</v>
      </c>
      <c r="CH18" s="15">
        <v>918.82</v>
      </c>
      <c r="CI18" s="305">
        <v>43753</v>
      </c>
      <c r="CJ18" s="15">
        <v>918.82</v>
      </c>
      <c r="CK18" s="307" t="s">
        <v>283</v>
      </c>
      <c r="CL18" s="308">
        <v>34.5</v>
      </c>
      <c r="CO18" s="2"/>
      <c r="CP18" s="16">
        <v>11</v>
      </c>
      <c r="CQ18" s="15">
        <v>944.83</v>
      </c>
      <c r="CR18" s="14">
        <v>43754</v>
      </c>
      <c r="CS18" s="15">
        <v>944.83</v>
      </c>
      <c r="CT18" s="32" t="s">
        <v>293</v>
      </c>
      <c r="CU18" s="18">
        <v>35</v>
      </c>
      <c r="CX18" s="2"/>
      <c r="CY18" s="16">
        <v>11</v>
      </c>
      <c r="CZ18" s="15">
        <v>967.35</v>
      </c>
      <c r="DA18" s="305">
        <v>43754</v>
      </c>
      <c r="DB18" s="15">
        <v>967.35</v>
      </c>
      <c r="DC18" s="307" t="s">
        <v>290</v>
      </c>
      <c r="DD18" s="308">
        <v>35</v>
      </c>
      <c r="DG18" s="2"/>
      <c r="DH18" s="16">
        <v>11</v>
      </c>
      <c r="DI18" s="15">
        <v>903.5</v>
      </c>
      <c r="DJ18" s="305">
        <v>43756</v>
      </c>
      <c r="DK18" s="15">
        <v>903.5</v>
      </c>
      <c r="DL18" s="307" t="s">
        <v>299</v>
      </c>
      <c r="DM18" s="308">
        <v>35</v>
      </c>
      <c r="DP18" s="2"/>
      <c r="DQ18" s="16">
        <v>11</v>
      </c>
      <c r="DR18" s="7">
        <v>977.32</v>
      </c>
      <c r="DS18" s="47">
        <v>43760</v>
      </c>
      <c r="DT18" s="7">
        <v>977.32</v>
      </c>
      <c r="DU18" s="60" t="s">
        <v>327</v>
      </c>
      <c r="DV18" s="18">
        <v>39</v>
      </c>
      <c r="DY18" s="2"/>
      <c r="DZ18" s="16">
        <v>11</v>
      </c>
      <c r="EA18" s="7">
        <v>899.47</v>
      </c>
      <c r="EB18" s="47">
        <v>43761</v>
      </c>
      <c r="EC18" s="7">
        <v>899.47</v>
      </c>
      <c r="ED18" s="611" t="s">
        <v>371</v>
      </c>
      <c r="EE18" s="18">
        <v>39</v>
      </c>
      <c r="EH18" s="2"/>
      <c r="EI18" s="16">
        <v>11</v>
      </c>
      <c r="EJ18" s="15">
        <v>922.15</v>
      </c>
      <c r="EK18" s="14">
        <v>43762</v>
      </c>
      <c r="EL18" s="723">
        <v>922.15</v>
      </c>
      <c r="EM18" s="35" t="s">
        <v>374</v>
      </c>
      <c r="EN18" s="18">
        <v>39</v>
      </c>
      <c r="EQ18" s="2"/>
      <c r="ER18" s="16">
        <v>11</v>
      </c>
      <c r="ES18" s="15">
        <v>897</v>
      </c>
      <c r="ET18" s="14">
        <v>43761</v>
      </c>
      <c r="EU18" s="15">
        <v>897</v>
      </c>
      <c r="EV18" s="35" t="s">
        <v>329</v>
      </c>
      <c r="EW18" s="18">
        <v>39</v>
      </c>
      <c r="EZ18" s="2"/>
      <c r="FA18" s="16">
        <v>11</v>
      </c>
      <c r="FB18" s="134">
        <v>895</v>
      </c>
      <c r="FC18" s="119">
        <v>43767</v>
      </c>
      <c r="FD18" s="134">
        <v>895</v>
      </c>
      <c r="FE18" s="90" t="s">
        <v>387</v>
      </c>
      <c r="FF18" s="91">
        <v>41</v>
      </c>
      <c r="FI18" s="2"/>
      <c r="FJ18" s="16">
        <v>11</v>
      </c>
      <c r="FK18" s="7">
        <v>920.18</v>
      </c>
      <c r="FL18" s="47">
        <v>43768</v>
      </c>
      <c r="FM18" s="7">
        <v>920.18</v>
      </c>
      <c r="FN18" s="60" t="s">
        <v>389</v>
      </c>
      <c r="FO18" s="18">
        <v>41</v>
      </c>
      <c r="FP18" s="18"/>
      <c r="FR18" s="2"/>
      <c r="FS18" s="16">
        <v>11</v>
      </c>
      <c r="FT18" s="15">
        <v>996.5</v>
      </c>
      <c r="FU18" s="119">
        <v>43769</v>
      </c>
      <c r="FV18" s="134">
        <v>996.5</v>
      </c>
      <c r="FW18" s="137" t="s">
        <v>398</v>
      </c>
      <c r="FX18" s="91">
        <v>41</v>
      </c>
      <c r="GA18" s="2"/>
      <c r="GB18" s="16">
        <v>11</v>
      </c>
      <c r="GC18" s="15">
        <v>947.55</v>
      </c>
      <c r="GD18" s="14">
        <v>43770</v>
      </c>
      <c r="GE18" s="496">
        <v>947.55</v>
      </c>
      <c r="GF18" s="32" t="s">
        <v>405</v>
      </c>
      <c r="GG18" s="18">
        <v>41</v>
      </c>
      <c r="GI18"/>
      <c r="GJ18" s="2"/>
      <c r="GK18" s="16">
        <v>11</v>
      </c>
      <c r="GL18" s="15">
        <v>923.96</v>
      </c>
      <c r="GM18" s="14">
        <v>43768</v>
      </c>
      <c r="GN18" s="15">
        <v>923.96</v>
      </c>
      <c r="GO18" s="32" t="s">
        <v>396</v>
      </c>
      <c r="GP18" s="18">
        <v>41</v>
      </c>
      <c r="GS18" s="2"/>
      <c r="GT18" s="16">
        <v>11</v>
      </c>
      <c r="GU18" s="15">
        <v>929.42</v>
      </c>
      <c r="GV18" s="14">
        <v>43771</v>
      </c>
      <c r="GW18" s="15">
        <v>929.42</v>
      </c>
      <c r="GX18" s="239" t="s">
        <v>421</v>
      </c>
      <c r="GY18" s="18">
        <v>41</v>
      </c>
      <c r="HB18" s="2"/>
      <c r="HC18" s="16">
        <v>11</v>
      </c>
      <c r="HD18" s="7">
        <v>867.3</v>
      </c>
      <c r="HE18" s="47">
        <v>43771</v>
      </c>
      <c r="HF18" s="7">
        <v>867.3</v>
      </c>
      <c r="HG18" s="60" t="s">
        <v>418</v>
      </c>
      <c r="HH18" s="18">
        <v>41</v>
      </c>
      <c r="HK18" s="2"/>
      <c r="HL18" s="16">
        <v>11</v>
      </c>
      <c r="HM18" s="15">
        <v>900.5</v>
      </c>
      <c r="HN18" s="14">
        <v>43771</v>
      </c>
      <c r="HO18" s="15">
        <v>900.5</v>
      </c>
      <c r="HP18" s="393" t="s">
        <v>413</v>
      </c>
      <c r="HQ18" s="18">
        <v>41</v>
      </c>
      <c r="HR18" s="15"/>
      <c r="HS18" s="7"/>
      <c r="HT18" s="2"/>
      <c r="HU18" s="16">
        <v>11</v>
      </c>
      <c r="HV18" s="15">
        <v>956.92</v>
      </c>
      <c r="HW18" s="47"/>
      <c r="HX18" s="15"/>
      <c r="HY18" s="60"/>
      <c r="HZ18" s="18"/>
      <c r="IA18" s="6"/>
      <c r="IC18" s="2"/>
      <c r="ID18" s="16">
        <v>11</v>
      </c>
      <c r="IE18" s="15">
        <v>898.5</v>
      </c>
      <c r="IF18" s="14">
        <v>43774</v>
      </c>
      <c r="IG18" s="15">
        <v>898.5</v>
      </c>
      <c r="IH18" s="35" t="s">
        <v>434</v>
      </c>
      <c r="II18" s="18">
        <v>42</v>
      </c>
      <c r="IL18" s="2"/>
      <c r="IM18" s="16"/>
      <c r="IN18" s="7"/>
      <c r="IO18" s="400"/>
      <c r="IP18" s="610"/>
      <c r="IQ18" s="60"/>
      <c r="IR18" s="18"/>
      <c r="IU18" s="2"/>
      <c r="IV18" s="16"/>
      <c r="IW18" s="7"/>
      <c r="IX18" s="14"/>
      <c r="IY18" s="7"/>
      <c r="IZ18" s="32"/>
      <c r="JA18" s="18"/>
      <c r="JD18" s="2"/>
      <c r="JE18" s="16"/>
      <c r="JF18" s="15"/>
      <c r="JG18" s="14"/>
      <c r="JH18" s="15"/>
      <c r="JI18" s="32"/>
      <c r="JJ18" s="18"/>
      <c r="JM18" s="2"/>
      <c r="JN18" s="16"/>
      <c r="JO18" s="15"/>
      <c r="JP18" s="14"/>
      <c r="JQ18" s="15"/>
      <c r="JR18" s="32"/>
      <c r="JS18" s="18"/>
      <c r="JV18" s="2"/>
      <c r="JW18" s="16"/>
      <c r="JX18" s="15"/>
      <c r="JY18" s="14"/>
      <c r="JZ18" s="15"/>
      <c r="KA18" s="32"/>
      <c r="KB18" s="18"/>
      <c r="KE18" s="2"/>
      <c r="KF18" s="16"/>
      <c r="KG18" s="15"/>
      <c r="KH18" s="14"/>
      <c r="KI18" s="15"/>
      <c r="KJ18" s="32"/>
      <c r="KK18" s="18"/>
      <c r="KN18" s="2"/>
      <c r="KO18" s="16">
        <v>11</v>
      </c>
      <c r="KP18" s="152"/>
      <c r="KQ18" s="85"/>
      <c r="KR18" s="152"/>
      <c r="KS18" s="101"/>
      <c r="KT18" s="83"/>
      <c r="KU18" s="237"/>
      <c r="KW18" s="2"/>
      <c r="KX18" s="16">
        <v>11</v>
      </c>
      <c r="KY18" s="152"/>
      <c r="KZ18" s="14"/>
      <c r="LA18" s="152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52"/>
      <c r="LR18" s="14"/>
      <c r="LS18" s="498"/>
      <c r="LT18" s="499"/>
      <c r="LU18" s="18"/>
      <c r="LX18" s="2"/>
      <c r="LY18" s="16"/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2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5"/>
      <c r="RP18" s="306"/>
      <c r="RQ18" s="307"/>
      <c r="RR18" s="308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IDEAL TRADING</v>
      </c>
      <c r="C19" t="str">
        <f t="shared" si="15"/>
        <v>SIOUX</v>
      </c>
      <c r="D19" s="56" t="str">
        <f t="shared" si="15"/>
        <v>PED. 43632539</v>
      </c>
      <c r="E19" s="124">
        <f t="shared" si="15"/>
        <v>43761</v>
      </c>
      <c r="F19" s="58">
        <f t="shared" si="15"/>
        <v>18719.27</v>
      </c>
      <c r="G19" s="13">
        <f t="shared" si="15"/>
        <v>21</v>
      </c>
      <c r="H19" s="52">
        <f t="shared" si="15"/>
        <v>18760</v>
      </c>
      <c r="I19" s="6">
        <f t="shared" si="15"/>
        <v>-40.729999999999563</v>
      </c>
      <c r="L19" s="2"/>
      <c r="M19" s="16">
        <v>12</v>
      </c>
      <c r="N19" s="152">
        <v>923.36</v>
      </c>
      <c r="O19" s="85">
        <v>43746</v>
      </c>
      <c r="P19" s="152">
        <v>923.36</v>
      </c>
      <c r="Q19" s="101" t="s">
        <v>212</v>
      </c>
      <c r="R19" s="83">
        <v>34.5</v>
      </c>
      <c r="U19" s="2"/>
      <c r="V19" s="16">
        <v>12</v>
      </c>
      <c r="W19" s="152">
        <v>980.05</v>
      </c>
      <c r="X19" s="14">
        <v>43746</v>
      </c>
      <c r="Y19" s="152">
        <v>980.05</v>
      </c>
      <c r="Z19" s="32" t="s">
        <v>211</v>
      </c>
      <c r="AA19" s="18">
        <v>34.5</v>
      </c>
      <c r="AD19" s="2"/>
      <c r="AE19" s="16">
        <v>12</v>
      </c>
      <c r="AF19" s="15">
        <v>902</v>
      </c>
      <c r="AG19" s="14">
        <v>43746</v>
      </c>
      <c r="AH19" s="15">
        <v>902</v>
      </c>
      <c r="AI19" s="32" t="s">
        <v>206</v>
      </c>
      <c r="AJ19" s="18">
        <v>34.5</v>
      </c>
      <c r="AM19" s="2"/>
      <c r="AN19" s="16">
        <v>12</v>
      </c>
      <c r="AO19" s="152">
        <v>899</v>
      </c>
      <c r="AP19" s="119">
        <v>43748</v>
      </c>
      <c r="AQ19" s="152">
        <v>899</v>
      </c>
      <c r="AR19" s="137" t="s">
        <v>220</v>
      </c>
      <c r="AS19" s="91">
        <v>34.5</v>
      </c>
      <c r="AV19" s="2"/>
      <c r="AW19" s="16">
        <v>12</v>
      </c>
      <c r="AX19" s="7">
        <v>912.47</v>
      </c>
      <c r="AY19" s="85">
        <v>43749</v>
      </c>
      <c r="AZ19" s="7">
        <v>912.47</v>
      </c>
      <c r="BA19" s="101" t="s">
        <v>228</v>
      </c>
      <c r="BB19" s="312">
        <v>34.5</v>
      </c>
      <c r="BE19" s="2"/>
      <c r="BF19" s="16">
        <v>12</v>
      </c>
      <c r="BG19" s="7">
        <v>869</v>
      </c>
      <c r="BH19" s="85">
        <v>43750</v>
      </c>
      <c r="BI19" s="7">
        <v>869</v>
      </c>
      <c r="BJ19" s="101" t="s">
        <v>230</v>
      </c>
      <c r="BK19" s="312">
        <v>34.5</v>
      </c>
      <c r="BN19" s="2"/>
      <c r="BO19" s="16">
        <v>12</v>
      </c>
      <c r="BP19" s="15">
        <v>900.5</v>
      </c>
      <c r="BQ19" s="305">
        <v>43754</v>
      </c>
      <c r="BR19" s="15">
        <v>900.5</v>
      </c>
      <c r="BS19" s="307" t="s">
        <v>289</v>
      </c>
      <c r="BT19" s="308">
        <v>34.5</v>
      </c>
      <c r="BW19" s="2"/>
      <c r="BX19" s="16">
        <v>12</v>
      </c>
      <c r="BY19" s="15">
        <v>907</v>
      </c>
      <c r="BZ19" s="305">
        <v>43753</v>
      </c>
      <c r="CA19" s="15">
        <v>907</v>
      </c>
      <c r="CB19" s="307" t="s">
        <v>281</v>
      </c>
      <c r="CC19" s="308">
        <v>34.5</v>
      </c>
      <c r="CF19" s="2"/>
      <c r="CG19" s="16">
        <v>12</v>
      </c>
      <c r="CH19" s="15">
        <v>960.09</v>
      </c>
      <c r="CI19" s="305">
        <v>43753</v>
      </c>
      <c r="CJ19" s="15">
        <v>960.09</v>
      </c>
      <c r="CK19" s="307" t="s">
        <v>283</v>
      </c>
      <c r="CL19" s="308">
        <v>34.5</v>
      </c>
      <c r="CO19" s="2"/>
      <c r="CP19" s="16">
        <v>12</v>
      </c>
      <c r="CQ19" s="15">
        <v>938.02</v>
      </c>
      <c r="CR19" s="14">
        <v>43754</v>
      </c>
      <c r="CS19" s="15">
        <v>938.02</v>
      </c>
      <c r="CT19" s="32" t="s">
        <v>293</v>
      </c>
      <c r="CU19" s="18">
        <v>35</v>
      </c>
      <c r="CX19" s="2"/>
      <c r="CY19" s="16">
        <v>12</v>
      </c>
      <c r="CZ19" s="15">
        <v>974.15</v>
      </c>
      <c r="DA19" s="305">
        <v>43754</v>
      </c>
      <c r="DB19" s="15">
        <v>974.15</v>
      </c>
      <c r="DC19" s="307" t="s">
        <v>290</v>
      </c>
      <c r="DD19" s="308">
        <v>35</v>
      </c>
      <c r="DG19" s="2"/>
      <c r="DH19" s="16">
        <v>12</v>
      </c>
      <c r="DI19" s="15">
        <v>903.5</v>
      </c>
      <c r="DJ19" s="305">
        <v>43756</v>
      </c>
      <c r="DK19" s="15">
        <v>903.5</v>
      </c>
      <c r="DL19" s="307" t="s">
        <v>299</v>
      </c>
      <c r="DM19" s="308">
        <v>35</v>
      </c>
      <c r="DP19" s="2"/>
      <c r="DQ19" s="16">
        <v>12</v>
      </c>
      <c r="DR19" s="7">
        <v>931.52</v>
      </c>
      <c r="DS19" s="47">
        <v>43760</v>
      </c>
      <c r="DT19" s="7">
        <v>931.52</v>
      </c>
      <c r="DU19" s="60" t="s">
        <v>327</v>
      </c>
      <c r="DV19" s="18">
        <v>39</v>
      </c>
      <c r="DY19" s="2"/>
      <c r="DZ19" s="16">
        <v>12</v>
      </c>
      <c r="EA19" s="7">
        <v>959.34</v>
      </c>
      <c r="EB19" s="47">
        <v>43761</v>
      </c>
      <c r="EC19" s="7">
        <v>959.34</v>
      </c>
      <c r="ED19" s="611" t="s">
        <v>371</v>
      </c>
      <c r="EE19" s="18">
        <v>39</v>
      </c>
      <c r="EH19" s="2"/>
      <c r="EI19" s="16">
        <v>12</v>
      </c>
      <c r="EJ19" s="15">
        <v>937.57</v>
      </c>
      <c r="EK19" s="14">
        <v>43762</v>
      </c>
      <c r="EL19" s="723">
        <v>937.57</v>
      </c>
      <c r="EM19" s="35" t="s">
        <v>374</v>
      </c>
      <c r="EN19" s="18">
        <v>39</v>
      </c>
      <c r="EQ19" s="2"/>
      <c r="ER19" s="16">
        <v>12</v>
      </c>
      <c r="ES19" s="15">
        <v>897</v>
      </c>
      <c r="ET19" s="14">
        <v>43761</v>
      </c>
      <c r="EU19" s="15">
        <v>897</v>
      </c>
      <c r="EV19" s="35" t="s">
        <v>329</v>
      </c>
      <c r="EW19" s="18">
        <v>39</v>
      </c>
      <c r="EZ19" s="2"/>
      <c r="FA19" s="16">
        <v>12</v>
      </c>
      <c r="FB19" s="134">
        <v>906.5</v>
      </c>
      <c r="FC19" s="119">
        <v>43767</v>
      </c>
      <c r="FD19" s="134">
        <v>906.5</v>
      </c>
      <c r="FE19" s="90" t="s">
        <v>387</v>
      </c>
      <c r="FF19" s="91">
        <v>41</v>
      </c>
      <c r="FI19" s="2"/>
      <c r="FJ19" s="16">
        <v>12</v>
      </c>
      <c r="FK19" s="7">
        <v>965.53</v>
      </c>
      <c r="FL19" s="47">
        <v>43768</v>
      </c>
      <c r="FM19" s="7">
        <v>965.53</v>
      </c>
      <c r="FN19" s="60" t="s">
        <v>394</v>
      </c>
      <c r="FO19" s="18">
        <v>41</v>
      </c>
      <c r="FR19" s="2"/>
      <c r="FS19" s="16">
        <v>12</v>
      </c>
      <c r="FT19" s="15">
        <v>977.9</v>
      </c>
      <c r="FU19" s="119">
        <v>43769</v>
      </c>
      <c r="FV19" s="134">
        <v>977.9</v>
      </c>
      <c r="FW19" s="137" t="s">
        <v>398</v>
      </c>
      <c r="FX19" s="91">
        <v>41</v>
      </c>
      <c r="GA19" s="2"/>
      <c r="GB19" s="16">
        <v>12</v>
      </c>
      <c r="GC19" s="15">
        <v>922.6</v>
      </c>
      <c r="GD19" s="14">
        <v>43770</v>
      </c>
      <c r="GE19" s="496">
        <v>922.6</v>
      </c>
      <c r="GF19" s="32" t="s">
        <v>399</v>
      </c>
      <c r="GG19" s="18">
        <v>41</v>
      </c>
      <c r="GI19"/>
      <c r="GJ19" s="2"/>
      <c r="GK19" s="16">
        <v>12</v>
      </c>
      <c r="GL19" s="15">
        <v>918.97</v>
      </c>
      <c r="GM19" s="14">
        <v>43768</v>
      </c>
      <c r="GN19" s="15">
        <v>918.97</v>
      </c>
      <c r="GO19" s="32" t="s">
        <v>397</v>
      </c>
      <c r="GP19" s="18">
        <v>41</v>
      </c>
      <c r="GS19" s="2"/>
      <c r="GT19" s="16">
        <v>12</v>
      </c>
      <c r="GU19" s="15">
        <v>877.71</v>
      </c>
      <c r="GV19" s="14">
        <v>43771</v>
      </c>
      <c r="GW19" s="15">
        <v>877.71</v>
      </c>
      <c r="GX19" s="239" t="s">
        <v>421</v>
      </c>
      <c r="GY19" s="18">
        <v>41</v>
      </c>
      <c r="HB19" s="2"/>
      <c r="HC19" s="16">
        <v>12</v>
      </c>
      <c r="HD19" s="7">
        <v>878.2</v>
      </c>
      <c r="HE19" s="47">
        <v>43771</v>
      </c>
      <c r="HF19" s="7">
        <v>878.2</v>
      </c>
      <c r="HG19" s="60" t="s">
        <v>415</v>
      </c>
      <c r="HH19" s="18">
        <v>41</v>
      </c>
      <c r="HK19" s="2"/>
      <c r="HL19" s="16">
        <v>12</v>
      </c>
      <c r="HM19" s="15">
        <v>887</v>
      </c>
      <c r="HN19" s="14">
        <v>43771</v>
      </c>
      <c r="HO19" s="15">
        <v>887</v>
      </c>
      <c r="HP19" s="393" t="s">
        <v>412</v>
      </c>
      <c r="HQ19" s="18">
        <v>41</v>
      </c>
      <c r="HR19" s="15"/>
      <c r="HS19" s="6"/>
      <c r="HT19" s="2"/>
      <c r="HU19" s="16">
        <v>12</v>
      </c>
      <c r="HV19" s="15">
        <v>955.1</v>
      </c>
      <c r="HW19" s="47"/>
      <c r="HX19" s="15"/>
      <c r="HY19" s="60"/>
      <c r="HZ19" s="18"/>
      <c r="IC19" s="2"/>
      <c r="ID19" s="16">
        <v>12</v>
      </c>
      <c r="IE19" s="15">
        <v>902</v>
      </c>
      <c r="IF19" s="14">
        <v>43774</v>
      </c>
      <c r="IG19" s="15">
        <v>902</v>
      </c>
      <c r="IH19" s="35" t="s">
        <v>434</v>
      </c>
      <c r="II19" s="18">
        <v>42</v>
      </c>
      <c r="IL19" s="2"/>
      <c r="IM19" s="16"/>
      <c r="IN19" s="7"/>
      <c r="IO19" s="400"/>
      <c r="IP19" s="610"/>
      <c r="IQ19" s="60"/>
      <c r="IR19" s="18"/>
      <c r="IU19" s="2"/>
      <c r="IV19" s="16"/>
      <c r="IW19" s="15"/>
      <c r="IX19" s="14"/>
      <c r="IY19" s="15"/>
      <c r="IZ19" s="32"/>
      <c r="JA19" s="18"/>
      <c r="JD19" s="2"/>
      <c r="JE19" s="16"/>
      <c r="JF19" s="15"/>
      <c r="JG19" s="14"/>
      <c r="JH19" s="15"/>
      <c r="JI19" s="32"/>
      <c r="JJ19" s="18"/>
      <c r="JM19" s="2"/>
      <c r="JN19" s="16"/>
      <c r="JO19" s="7"/>
      <c r="JP19" s="14"/>
      <c r="JQ19" s="7"/>
      <c r="JR19" s="32"/>
      <c r="JS19" s="18"/>
      <c r="JV19" s="2"/>
      <c r="JW19" s="16"/>
      <c r="JX19" s="15"/>
      <c r="JY19" s="14"/>
      <c r="JZ19" s="15"/>
      <c r="KA19" s="32"/>
      <c r="KB19" s="18"/>
      <c r="KE19" s="2"/>
      <c r="KF19" s="16"/>
      <c r="KG19" s="15"/>
      <c r="KH19" s="14"/>
      <c r="KI19" s="15"/>
      <c r="KJ19" s="32"/>
      <c r="KK19" s="18"/>
      <c r="KN19" s="2"/>
      <c r="KO19" s="16">
        <v>12</v>
      </c>
      <c r="KP19" s="152"/>
      <c r="KQ19" s="85"/>
      <c r="KR19" s="152"/>
      <c r="KS19" s="101"/>
      <c r="KT19" s="83"/>
      <c r="KW19" s="2"/>
      <c r="KX19" s="16">
        <v>12</v>
      </c>
      <c r="KY19" s="152"/>
      <c r="KZ19" s="14"/>
      <c r="LA19" s="152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52"/>
      <c r="LR19" s="14"/>
      <c r="LS19" s="498"/>
      <c r="LT19" s="499"/>
      <c r="LU19" s="18"/>
      <c r="LX19" s="2"/>
      <c r="LY19" s="16"/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2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5"/>
      <c r="RP19" s="306"/>
      <c r="RQ19" s="307"/>
      <c r="RR19" s="308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0" t="str">
        <f t="shared" ref="B20:I20" si="16">EY5</f>
        <v>IDEAL TRADING</v>
      </c>
      <c r="C20" t="str">
        <f t="shared" si="16"/>
        <v>SIOUX</v>
      </c>
      <c r="D20" s="56" t="str">
        <f t="shared" si="16"/>
        <v>PED. 43892702</v>
      </c>
      <c r="E20" s="124">
        <f t="shared" si="16"/>
        <v>43767</v>
      </c>
      <c r="F20" s="58">
        <f t="shared" si="16"/>
        <v>18701.87</v>
      </c>
      <c r="G20" s="13">
        <f t="shared" si="16"/>
        <v>21</v>
      </c>
      <c r="H20" s="52">
        <f t="shared" si="16"/>
        <v>18752</v>
      </c>
      <c r="I20" s="6">
        <f t="shared" si="16"/>
        <v>-50.130000000001019</v>
      </c>
      <c r="L20" s="2"/>
      <c r="M20" s="16">
        <v>13</v>
      </c>
      <c r="N20" s="152">
        <v>935.6</v>
      </c>
      <c r="O20" s="85">
        <v>43746</v>
      </c>
      <c r="P20" s="152">
        <v>935.6</v>
      </c>
      <c r="Q20" s="101" t="s">
        <v>212</v>
      </c>
      <c r="R20" s="83">
        <v>34.5</v>
      </c>
      <c r="U20" s="2"/>
      <c r="V20" s="16">
        <v>13</v>
      </c>
      <c r="W20" s="152">
        <v>993.2</v>
      </c>
      <c r="X20" s="14">
        <v>43746</v>
      </c>
      <c r="Y20" s="152">
        <v>993.2</v>
      </c>
      <c r="Z20" s="32" t="s">
        <v>211</v>
      </c>
      <c r="AA20" s="18">
        <v>34.5</v>
      </c>
      <c r="AD20" s="2"/>
      <c r="AE20" s="16">
        <v>13</v>
      </c>
      <c r="AF20" s="15">
        <v>898.5</v>
      </c>
      <c r="AG20" s="14">
        <v>43746</v>
      </c>
      <c r="AH20" s="15">
        <v>898.5</v>
      </c>
      <c r="AI20" s="32" t="s">
        <v>206</v>
      </c>
      <c r="AJ20" s="18">
        <v>34.5</v>
      </c>
      <c r="AM20" s="2"/>
      <c r="AN20" s="16">
        <v>13</v>
      </c>
      <c r="AO20" s="152">
        <v>902</v>
      </c>
      <c r="AP20" s="119">
        <v>43748</v>
      </c>
      <c r="AQ20" s="152">
        <v>902</v>
      </c>
      <c r="AR20" s="137" t="s">
        <v>220</v>
      </c>
      <c r="AS20" s="91">
        <v>34.5</v>
      </c>
      <c r="AV20" s="2"/>
      <c r="AW20" s="16">
        <v>13</v>
      </c>
      <c r="AX20" s="15">
        <v>932.88</v>
      </c>
      <c r="AY20" s="85">
        <v>43749</v>
      </c>
      <c r="AZ20" s="15">
        <v>932.88</v>
      </c>
      <c r="BA20" s="101" t="s">
        <v>228</v>
      </c>
      <c r="BB20" s="312">
        <v>34.5</v>
      </c>
      <c r="BE20" s="2"/>
      <c r="BF20" s="16">
        <v>13</v>
      </c>
      <c r="BG20" s="15">
        <v>896.5</v>
      </c>
      <c r="BH20" s="85">
        <v>43750</v>
      </c>
      <c r="BI20" s="15">
        <v>896.5</v>
      </c>
      <c r="BJ20" s="101" t="s">
        <v>230</v>
      </c>
      <c r="BK20" s="312">
        <v>34.5</v>
      </c>
      <c r="BN20" s="2"/>
      <c r="BO20" s="16">
        <v>13</v>
      </c>
      <c r="BP20" s="15">
        <v>904.5</v>
      </c>
      <c r="BQ20" s="305">
        <v>43754</v>
      </c>
      <c r="BR20" s="15">
        <v>904.5</v>
      </c>
      <c r="BS20" s="307" t="s">
        <v>287</v>
      </c>
      <c r="BT20" s="308">
        <v>34.5</v>
      </c>
      <c r="BW20" s="2"/>
      <c r="BX20" s="16">
        <v>13</v>
      </c>
      <c r="BY20" s="15">
        <v>900.5</v>
      </c>
      <c r="BZ20" s="305">
        <v>43753</v>
      </c>
      <c r="CA20" s="15">
        <v>900.5</v>
      </c>
      <c r="CB20" s="307" t="s">
        <v>281</v>
      </c>
      <c r="CC20" s="308">
        <v>34.5</v>
      </c>
      <c r="CF20" s="2"/>
      <c r="CG20" s="16">
        <v>13</v>
      </c>
      <c r="CH20" s="15">
        <v>942.86</v>
      </c>
      <c r="CI20" s="305">
        <v>43753</v>
      </c>
      <c r="CJ20" s="15">
        <v>942.86</v>
      </c>
      <c r="CK20" s="307" t="s">
        <v>283</v>
      </c>
      <c r="CL20" s="308">
        <v>34.5</v>
      </c>
      <c r="CO20" s="2"/>
      <c r="CP20" s="16">
        <v>13</v>
      </c>
      <c r="CQ20" s="15">
        <v>898.11</v>
      </c>
      <c r="CR20" s="14">
        <v>43754</v>
      </c>
      <c r="CS20" s="15">
        <v>898.11</v>
      </c>
      <c r="CT20" s="32" t="s">
        <v>293</v>
      </c>
      <c r="CU20" s="18">
        <v>35</v>
      </c>
      <c r="CX20" s="2"/>
      <c r="CY20" s="16">
        <v>13</v>
      </c>
      <c r="CZ20" s="15">
        <v>914.74</v>
      </c>
      <c r="DA20" s="305">
        <v>43754</v>
      </c>
      <c r="DB20" s="15">
        <v>914.74</v>
      </c>
      <c r="DC20" s="307" t="s">
        <v>290</v>
      </c>
      <c r="DD20" s="308">
        <v>35</v>
      </c>
      <c r="DG20" s="2"/>
      <c r="DH20" s="16">
        <v>13</v>
      </c>
      <c r="DI20" s="15">
        <v>883</v>
      </c>
      <c r="DJ20" s="305">
        <v>43756</v>
      </c>
      <c r="DK20" s="15">
        <v>883</v>
      </c>
      <c r="DL20" s="307" t="s">
        <v>299</v>
      </c>
      <c r="DM20" s="308">
        <v>35</v>
      </c>
      <c r="DP20" s="2"/>
      <c r="DQ20" s="16">
        <v>13</v>
      </c>
      <c r="DR20" s="7">
        <v>989.57</v>
      </c>
      <c r="DS20" s="47">
        <v>43760</v>
      </c>
      <c r="DT20" s="7">
        <v>989.57</v>
      </c>
      <c r="DU20" s="60" t="s">
        <v>327</v>
      </c>
      <c r="DV20" s="18">
        <v>39</v>
      </c>
      <c r="DY20" s="2"/>
      <c r="DZ20" s="16">
        <v>13</v>
      </c>
      <c r="EA20" s="7">
        <v>930.77</v>
      </c>
      <c r="EB20" s="47">
        <v>43761</v>
      </c>
      <c r="EC20" s="7">
        <v>930.77</v>
      </c>
      <c r="ED20" s="611" t="s">
        <v>371</v>
      </c>
      <c r="EE20" s="18">
        <v>39</v>
      </c>
      <c r="EH20" s="2"/>
      <c r="EI20" s="16">
        <v>13</v>
      </c>
      <c r="EJ20" s="15">
        <v>967.96</v>
      </c>
      <c r="EK20" s="14">
        <v>43762</v>
      </c>
      <c r="EL20" s="723">
        <v>967.96</v>
      </c>
      <c r="EM20" s="35" t="s">
        <v>374</v>
      </c>
      <c r="EN20" s="18">
        <v>39</v>
      </c>
      <c r="EQ20" s="2"/>
      <c r="ER20" s="16">
        <v>13</v>
      </c>
      <c r="ES20" s="15">
        <v>905.5</v>
      </c>
      <c r="ET20" s="14">
        <v>43761</v>
      </c>
      <c r="EU20" s="15">
        <v>905.5</v>
      </c>
      <c r="EV20" s="35" t="s">
        <v>329</v>
      </c>
      <c r="EW20" s="18">
        <v>39</v>
      </c>
      <c r="EZ20" s="2"/>
      <c r="FA20" s="16">
        <v>13</v>
      </c>
      <c r="FB20" s="134">
        <v>888.5</v>
      </c>
      <c r="FC20" s="119">
        <v>43767</v>
      </c>
      <c r="FD20" s="134">
        <v>888.5</v>
      </c>
      <c r="FE20" s="90" t="s">
        <v>387</v>
      </c>
      <c r="FF20" s="91">
        <v>41</v>
      </c>
      <c r="FI20" s="2"/>
      <c r="FJ20" s="16">
        <v>13</v>
      </c>
      <c r="FK20" s="7">
        <v>895.24</v>
      </c>
      <c r="FL20" s="47">
        <v>43768</v>
      </c>
      <c r="FM20" s="7">
        <v>895.24</v>
      </c>
      <c r="FN20" s="60" t="s">
        <v>393</v>
      </c>
      <c r="FO20" s="18">
        <v>41</v>
      </c>
      <c r="FR20" s="2"/>
      <c r="FS20" s="16">
        <v>13</v>
      </c>
      <c r="FT20" s="15">
        <v>909.9</v>
      </c>
      <c r="FU20" s="119">
        <v>43769</v>
      </c>
      <c r="FV20" s="134">
        <v>909.9</v>
      </c>
      <c r="FW20" s="137" t="s">
        <v>398</v>
      </c>
      <c r="FX20" s="91">
        <v>41</v>
      </c>
      <c r="GA20" s="2"/>
      <c r="GB20" s="16">
        <v>13</v>
      </c>
      <c r="GC20" s="15">
        <v>963.88</v>
      </c>
      <c r="GD20" s="14">
        <v>43771</v>
      </c>
      <c r="GE20" s="496">
        <v>963.88</v>
      </c>
      <c r="GF20" s="32" t="s">
        <v>415</v>
      </c>
      <c r="GG20" s="18">
        <v>41</v>
      </c>
      <c r="GI20"/>
      <c r="GJ20" s="2"/>
      <c r="GK20" s="16">
        <v>13</v>
      </c>
      <c r="GL20" s="15">
        <v>949.82</v>
      </c>
      <c r="GM20" s="14">
        <v>43768</v>
      </c>
      <c r="GN20" s="15">
        <v>949.82</v>
      </c>
      <c r="GO20" s="32" t="s">
        <v>396</v>
      </c>
      <c r="GP20" s="18">
        <v>41</v>
      </c>
      <c r="GS20" s="2"/>
      <c r="GT20" s="16">
        <v>13</v>
      </c>
      <c r="GU20" s="15">
        <v>936.23</v>
      </c>
      <c r="GV20" s="14">
        <v>43771</v>
      </c>
      <c r="GW20" s="15">
        <v>936.23</v>
      </c>
      <c r="GX20" s="239" t="s">
        <v>423</v>
      </c>
      <c r="GY20" s="18">
        <v>41</v>
      </c>
      <c r="HB20" s="2"/>
      <c r="HC20" s="16">
        <v>13</v>
      </c>
      <c r="HD20" s="7">
        <v>934.4</v>
      </c>
      <c r="HE20" s="47">
        <v>43771</v>
      </c>
      <c r="HF20" s="7">
        <v>934.4</v>
      </c>
      <c r="HG20" s="60" t="s">
        <v>415</v>
      </c>
      <c r="HH20" s="18">
        <v>41</v>
      </c>
      <c r="HK20" s="2"/>
      <c r="HL20" s="16">
        <v>13</v>
      </c>
      <c r="HM20" s="15">
        <v>905</v>
      </c>
      <c r="HN20" s="14">
        <v>43770</v>
      </c>
      <c r="HO20" s="15">
        <v>905</v>
      </c>
      <c r="HP20" s="393" t="s">
        <v>410</v>
      </c>
      <c r="HQ20" s="18">
        <v>41</v>
      </c>
      <c r="HR20" s="15"/>
      <c r="HT20" s="2"/>
      <c r="HU20" s="16">
        <v>13</v>
      </c>
      <c r="HV20" s="15">
        <v>957.82</v>
      </c>
      <c r="HW20" s="47"/>
      <c r="HX20" s="15"/>
      <c r="HY20" s="60"/>
      <c r="HZ20" s="18"/>
      <c r="IC20" s="2"/>
      <c r="ID20" s="16">
        <v>13</v>
      </c>
      <c r="IE20" s="15">
        <v>898</v>
      </c>
      <c r="IF20" s="14">
        <v>43774</v>
      </c>
      <c r="IG20" s="15">
        <v>898</v>
      </c>
      <c r="IH20" s="35" t="s">
        <v>434</v>
      </c>
      <c r="II20" s="18">
        <v>42</v>
      </c>
      <c r="IL20" s="2"/>
      <c r="IM20" s="16"/>
      <c r="IN20" s="7"/>
      <c r="IO20" s="400"/>
      <c r="IP20" s="610"/>
      <c r="IQ20" s="60"/>
      <c r="IR20" s="18"/>
      <c r="IU20" s="2"/>
      <c r="IV20" s="16"/>
      <c r="IW20" s="15"/>
      <c r="IX20" s="14"/>
      <c r="IY20" s="15"/>
      <c r="IZ20" s="32"/>
      <c r="JA20" s="18"/>
      <c r="JD20" s="2"/>
      <c r="JE20" s="16"/>
      <c r="JF20" s="15"/>
      <c r="JG20" s="14"/>
      <c r="JH20" s="15"/>
      <c r="JI20" s="32"/>
      <c r="JJ20" s="18"/>
      <c r="JM20" s="2"/>
      <c r="JN20" s="16"/>
      <c r="JO20" s="15"/>
      <c r="JP20" s="14"/>
      <c r="JQ20" s="15"/>
      <c r="JR20" s="32"/>
      <c r="JS20" s="18"/>
      <c r="JV20" s="2"/>
      <c r="JW20" s="16"/>
      <c r="JX20" s="15"/>
      <c r="JY20" s="14"/>
      <c r="JZ20" s="15"/>
      <c r="KA20" s="32"/>
      <c r="KB20" s="18"/>
      <c r="KE20" s="2"/>
      <c r="KF20" s="16"/>
      <c r="KG20" s="15"/>
      <c r="KH20" s="14"/>
      <c r="KI20" s="15"/>
      <c r="KJ20" s="32"/>
      <c r="KK20" s="18"/>
      <c r="KN20" s="2"/>
      <c r="KO20" s="16">
        <v>13</v>
      </c>
      <c r="KP20" s="152"/>
      <c r="KQ20" s="85"/>
      <c r="KR20" s="152"/>
      <c r="KS20" s="101"/>
      <c r="KT20" s="83"/>
      <c r="KW20" s="2"/>
      <c r="KX20" s="16">
        <v>13</v>
      </c>
      <c r="KY20" s="152"/>
      <c r="KZ20" s="14"/>
      <c r="LA20" s="152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52"/>
      <c r="LR20" s="14"/>
      <c r="LS20" s="498"/>
      <c r="LT20" s="499"/>
      <c r="LU20" s="18"/>
      <c r="LX20" s="2"/>
      <c r="LY20" s="16"/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2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5"/>
      <c r="RP20" s="306"/>
      <c r="RQ20" s="307"/>
      <c r="RR20" s="308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SMITHFIELD FRESH MEATS</v>
      </c>
      <c r="C21" t="str">
        <f t="shared" si="17"/>
        <v>Smithfield</v>
      </c>
      <c r="D21" s="98" t="str">
        <f>FJ5</f>
        <v>PED. 43891639</v>
      </c>
      <c r="E21" s="124">
        <f t="shared" si="17"/>
        <v>43768</v>
      </c>
      <c r="F21" s="58">
        <f t="shared" si="17"/>
        <v>17483.150000000001</v>
      </c>
      <c r="G21" s="13">
        <f t="shared" si="17"/>
        <v>19</v>
      </c>
      <c r="H21" s="52">
        <f t="shared" si="17"/>
        <v>17573.689999999999</v>
      </c>
      <c r="I21" s="6">
        <f t="shared" si="17"/>
        <v>-90.539999999997235</v>
      </c>
      <c r="L21" s="2"/>
      <c r="M21" s="16">
        <v>14</v>
      </c>
      <c r="N21" s="152">
        <v>928.8</v>
      </c>
      <c r="O21" s="85">
        <v>43746</v>
      </c>
      <c r="P21" s="152">
        <v>928.8</v>
      </c>
      <c r="Q21" s="101" t="s">
        <v>212</v>
      </c>
      <c r="R21" s="83">
        <v>34.5</v>
      </c>
      <c r="U21" s="2"/>
      <c r="V21" s="16">
        <v>14</v>
      </c>
      <c r="W21" s="152">
        <v>949.21</v>
      </c>
      <c r="X21" s="14">
        <v>43746</v>
      </c>
      <c r="Y21" s="152">
        <v>949.21</v>
      </c>
      <c r="Z21" s="32" t="s">
        <v>211</v>
      </c>
      <c r="AA21" s="18">
        <v>34.5</v>
      </c>
      <c r="AD21" s="2"/>
      <c r="AE21" s="16">
        <v>14</v>
      </c>
      <c r="AF21" s="15">
        <v>902.5</v>
      </c>
      <c r="AG21" s="14">
        <v>43746</v>
      </c>
      <c r="AH21" s="15">
        <v>902.5</v>
      </c>
      <c r="AI21" s="32" t="s">
        <v>206</v>
      </c>
      <c r="AJ21" s="18">
        <v>34.5</v>
      </c>
      <c r="AM21" s="2"/>
      <c r="AN21" s="16">
        <v>14</v>
      </c>
      <c r="AO21" s="152">
        <v>900</v>
      </c>
      <c r="AP21" s="119">
        <v>43748</v>
      </c>
      <c r="AQ21" s="152">
        <v>900</v>
      </c>
      <c r="AR21" s="137" t="s">
        <v>220</v>
      </c>
      <c r="AS21" s="91">
        <v>34.5</v>
      </c>
      <c r="AV21" s="2"/>
      <c r="AW21" s="16">
        <v>14</v>
      </c>
      <c r="AX21" s="15">
        <v>913.83</v>
      </c>
      <c r="AY21" s="85">
        <v>43749</v>
      </c>
      <c r="AZ21" s="15">
        <v>913.83</v>
      </c>
      <c r="BA21" s="101" t="s">
        <v>228</v>
      </c>
      <c r="BB21" s="312">
        <v>34.5</v>
      </c>
      <c r="BE21" s="2"/>
      <c r="BF21" s="16">
        <v>14</v>
      </c>
      <c r="BG21" s="15">
        <v>872</v>
      </c>
      <c r="BH21" s="85">
        <v>43750</v>
      </c>
      <c r="BI21" s="15">
        <v>872</v>
      </c>
      <c r="BJ21" s="101" t="s">
        <v>230</v>
      </c>
      <c r="BK21" s="312">
        <v>34.5</v>
      </c>
      <c r="BN21" s="2"/>
      <c r="BO21" s="16">
        <v>14</v>
      </c>
      <c r="BP21" s="15">
        <v>902</v>
      </c>
      <c r="BQ21" s="305">
        <v>43755</v>
      </c>
      <c r="BR21" s="15">
        <v>902</v>
      </c>
      <c r="BS21" s="307" t="s">
        <v>288</v>
      </c>
      <c r="BT21" s="308">
        <v>34.5</v>
      </c>
      <c r="BW21" s="2"/>
      <c r="BX21" s="16">
        <v>14</v>
      </c>
      <c r="BY21" s="15">
        <v>903.5</v>
      </c>
      <c r="BZ21" s="305">
        <v>43753</v>
      </c>
      <c r="CA21" s="15">
        <v>903.5</v>
      </c>
      <c r="CB21" s="307" t="s">
        <v>281</v>
      </c>
      <c r="CC21" s="308">
        <v>34.5</v>
      </c>
      <c r="CF21" s="2"/>
      <c r="CG21" s="16">
        <v>14</v>
      </c>
      <c r="CH21" s="15">
        <v>951.47</v>
      </c>
      <c r="CI21" s="305">
        <v>43753</v>
      </c>
      <c r="CJ21" s="15">
        <v>951.47</v>
      </c>
      <c r="CK21" s="307" t="s">
        <v>283</v>
      </c>
      <c r="CL21" s="308">
        <v>34.5</v>
      </c>
      <c r="CO21" s="2"/>
      <c r="CP21" s="16">
        <v>14</v>
      </c>
      <c r="CQ21" s="15">
        <v>891.3</v>
      </c>
      <c r="CR21" s="14">
        <v>43754</v>
      </c>
      <c r="CS21" s="15">
        <v>891.3</v>
      </c>
      <c r="CT21" s="32" t="s">
        <v>293</v>
      </c>
      <c r="CU21" s="18">
        <v>35</v>
      </c>
      <c r="CX21" s="2"/>
      <c r="CY21" s="16">
        <v>14</v>
      </c>
      <c r="CZ21" s="15">
        <v>913.38</v>
      </c>
      <c r="DA21" s="305">
        <v>43754</v>
      </c>
      <c r="DB21" s="15">
        <v>913.38</v>
      </c>
      <c r="DC21" s="307" t="s">
        <v>290</v>
      </c>
      <c r="DD21" s="308">
        <v>35</v>
      </c>
      <c r="DG21" s="2"/>
      <c r="DH21" s="16">
        <v>14</v>
      </c>
      <c r="DI21" s="15">
        <v>897</v>
      </c>
      <c r="DJ21" s="305">
        <v>43756</v>
      </c>
      <c r="DK21" s="15">
        <v>897</v>
      </c>
      <c r="DL21" s="307" t="s">
        <v>299</v>
      </c>
      <c r="DM21" s="308">
        <v>35</v>
      </c>
      <c r="DP21" s="2"/>
      <c r="DQ21" s="16">
        <v>14</v>
      </c>
      <c r="DR21" s="7">
        <v>961.45</v>
      </c>
      <c r="DS21" s="47">
        <v>43760</v>
      </c>
      <c r="DT21" s="7">
        <v>961.45</v>
      </c>
      <c r="DU21" s="60" t="s">
        <v>327</v>
      </c>
      <c r="DV21" s="18">
        <v>39</v>
      </c>
      <c r="DY21" s="2"/>
      <c r="DZ21" s="16">
        <v>14</v>
      </c>
      <c r="EA21" s="7">
        <v>946.19</v>
      </c>
      <c r="EB21" s="47">
        <v>43761</v>
      </c>
      <c r="EC21" s="7">
        <v>946.19</v>
      </c>
      <c r="ED21" s="611" t="s">
        <v>371</v>
      </c>
      <c r="EE21" s="18">
        <v>39</v>
      </c>
      <c r="EH21" s="2"/>
      <c r="EI21" s="16">
        <v>14</v>
      </c>
      <c r="EJ21" s="15">
        <v>959.8</v>
      </c>
      <c r="EK21" s="14">
        <v>43762</v>
      </c>
      <c r="EL21" s="723">
        <v>959.8</v>
      </c>
      <c r="EM21" s="35" t="s">
        <v>374</v>
      </c>
      <c r="EN21" s="18">
        <v>39</v>
      </c>
      <c r="EQ21" s="2"/>
      <c r="ER21" s="16">
        <v>14</v>
      </c>
      <c r="ES21" s="15">
        <v>905</v>
      </c>
      <c r="ET21" s="14">
        <v>43761</v>
      </c>
      <c r="EU21" s="15">
        <v>905</v>
      </c>
      <c r="EV21" s="35" t="s">
        <v>329</v>
      </c>
      <c r="EW21" s="18">
        <v>39</v>
      </c>
      <c r="EZ21" s="2"/>
      <c r="FA21" s="16">
        <v>14</v>
      </c>
      <c r="FB21" s="134">
        <v>902.5</v>
      </c>
      <c r="FC21" s="119">
        <v>43767</v>
      </c>
      <c r="FD21" s="134">
        <v>902.5</v>
      </c>
      <c r="FE21" s="90" t="s">
        <v>387</v>
      </c>
      <c r="FF21" s="91">
        <v>41</v>
      </c>
      <c r="FI21" s="2"/>
      <c r="FJ21" s="16">
        <v>14</v>
      </c>
      <c r="FK21" s="7">
        <v>917.46</v>
      </c>
      <c r="FL21" s="47">
        <v>43768</v>
      </c>
      <c r="FM21" s="7">
        <v>917.46</v>
      </c>
      <c r="FN21" s="60" t="s">
        <v>392</v>
      </c>
      <c r="FO21" s="18">
        <v>41</v>
      </c>
      <c r="FR21" s="2"/>
      <c r="FS21" s="16">
        <v>14</v>
      </c>
      <c r="FT21" s="15">
        <v>894.9</v>
      </c>
      <c r="FU21" s="119">
        <v>43769</v>
      </c>
      <c r="FV21" s="134">
        <v>894.9</v>
      </c>
      <c r="FW21" s="137" t="s">
        <v>398</v>
      </c>
      <c r="FX21" s="91">
        <v>41</v>
      </c>
      <c r="GA21" s="2"/>
      <c r="GB21" s="16">
        <v>14</v>
      </c>
      <c r="GC21" s="15">
        <v>949.36</v>
      </c>
      <c r="GD21" s="14">
        <v>43770</v>
      </c>
      <c r="GE21" s="496">
        <v>949.36</v>
      </c>
      <c r="GF21" s="32" t="s">
        <v>399</v>
      </c>
      <c r="GG21" s="18">
        <v>41</v>
      </c>
      <c r="GI21"/>
      <c r="GJ21" s="2"/>
      <c r="GK21" s="16">
        <v>14</v>
      </c>
      <c r="GL21" s="15">
        <v>923.51</v>
      </c>
      <c r="GM21" s="14">
        <v>43768</v>
      </c>
      <c r="GN21" s="15">
        <v>923.51</v>
      </c>
      <c r="GO21" s="32" t="s">
        <v>396</v>
      </c>
      <c r="GP21" s="18">
        <v>41</v>
      </c>
      <c r="GS21" s="2"/>
      <c r="GT21" s="16">
        <v>14</v>
      </c>
      <c r="GU21" s="15">
        <v>931.69</v>
      </c>
      <c r="GV21" s="14">
        <v>43771</v>
      </c>
      <c r="GW21" s="15">
        <v>931.69</v>
      </c>
      <c r="GX21" s="239" t="s">
        <v>421</v>
      </c>
      <c r="GY21" s="18">
        <v>41</v>
      </c>
      <c r="HB21" s="2"/>
      <c r="HC21" s="16">
        <v>14</v>
      </c>
      <c r="HD21" s="7">
        <v>861.8</v>
      </c>
      <c r="HE21" s="47">
        <v>43771</v>
      </c>
      <c r="HF21" s="7">
        <v>861.8</v>
      </c>
      <c r="HG21" s="60" t="s">
        <v>418</v>
      </c>
      <c r="HH21" s="18">
        <v>41</v>
      </c>
      <c r="HK21" s="2"/>
      <c r="HL21" s="16">
        <v>14</v>
      </c>
      <c r="HM21" s="15">
        <v>900.5</v>
      </c>
      <c r="HN21" s="14">
        <v>43770</v>
      </c>
      <c r="HO21" s="15">
        <v>900.5</v>
      </c>
      <c r="HP21" s="393" t="s">
        <v>410</v>
      </c>
      <c r="HQ21" s="18">
        <v>41</v>
      </c>
      <c r="HR21" s="15"/>
      <c r="HT21" s="2"/>
      <c r="HU21" s="16">
        <v>14</v>
      </c>
      <c r="HV21" s="15">
        <v>939.68</v>
      </c>
      <c r="HW21" s="47"/>
      <c r="HX21" s="15"/>
      <c r="HY21" s="60"/>
      <c r="HZ21" s="18"/>
      <c r="IC21" s="2"/>
      <c r="ID21" s="16">
        <v>14</v>
      </c>
      <c r="IE21" s="15">
        <v>896.5</v>
      </c>
      <c r="IF21" s="14">
        <v>43774</v>
      </c>
      <c r="IG21" s="15">
        <v>896.5</v>
      </c>
      <c r="IH21" s="35" t="s">
        <v>434</v>
      </c>
      <c r="II21" s="18">
        <v>42</v>
      </c>
      <c r="IL21" s="2"/>
      <c r="IM21" s="16"/>
      <c r="IN21" s="7"/>
      <c r="IO21" s="400"/>
      <c r="IP21" s="7"/>
      <c r="IQ21" s="60"/>
      <c r="IR21" s="18"/>
      <c r="IU21" s="2"/>
      <c r="IV21" s="16"/>
      <c r="IW21" s="15"/>
      <c r="IX21" s="14"/>
      <c r="IY21" s="15"/>
      <c r="IZ21" s="32"/>
      <c r="JA21" s="18"/>
      <c r="JD21" s="2"/>
      <c r="JE21" s="16"/>
      <c r="JF21" s="15"/>
      <c r="JG21" s="14"/>
      <c r="JH21" s="15"/>
      <c r="JI21" s="32"/>
      <c r="JJ21" s="18"/>
      <c r="JM21" s="2"/>
      <c r="JN21" s="16"/>
      <c r="JO21" s="15"/>
      <c r="JP21" s="14"/>
      <c r="JQ21" s="15"/>
      <c r="JR21" s="32"/>
      <c r="JS21" s="18"/>
      <c r="JV21" s="2"/>
      <c r="JW21" s="16"/>
      <c r="JX21" s="15"/>
      <c r="JY21" s="14"/>
      <c r="JZ21" s="15"/>
      <c r="KA21" s="32"/>
      <c r="KB21" s="18"/>
      <c r="KE21" s="2"/>
      <c r="KF21" s="16"/>
      <c r="KG21" s="15"/>
      <c r="KH21" s="14"/>
      <c r="KI21" s="15"/>
      <c r="KJ21" s="32"/>
      <c r="KK21" s="18"/>
      <c r="KN21" s="2"/>
      <c r="KO21" s="16">
        <v>14</v>
      </c>
      <c r="KP21" s="152"/>
      <c r="KQ21" s="85"/>
      <c r="KR21" s="152"/>
      <c r="KS21" s="101"/>
      <c r="KT21" s="83"/>
      <c r="KW21" s="2"/>
      <c r="KX21" s="16">
        <v>14</v>
      </c>
      <c r="KY21" s="152"/>
      <c r="KZ21" s="14"/>
      <c r="LA21" s="152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52"/>
      <c r="LR21" s="14"/>
      <c r="LS21" s="498"/>
      <c r="LT21" s="499"/>
      <c r="LU21" s="18"/>
      <c r="LX21" s="2"/>
      <c r="LY21" s="16"/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2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5"/>
      <c r="RP21" s="306"/>
      <c r="RQ21" s="307"/>
      <c r="RR21" s="308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 xml:space="preserve">F&amp;J TRADING MEAT S DE RL DE CV </v>
      </c>
      <c r="C22" t="str">
        <f t="shared" si="18"/>
        <v>RANTOUL</v>
      </c>
      <c r="D22" s="56" t="str">
        <f t="shared" si="18"/>
        <v>PED. 43960344</v>
      </c>
      <c r="E22" s="124">
        <f t="shared" si="18"/>
        <v>43768</v>
      </c>
      <c r="F22" s="58">
        <f t="shared" si="18"/>
        <v>18165.41</v>
      </c>
      <c r="G22" s="13">
        <f t="shared" si="18"/>
        <v>20</v>
      </c>
      <c r="H22" s="52">
        <f t="shared" si="18"/>
        <v>18315.5</v>
      </c>
      <c r="I22" s="6">
        <f t="shared" si="18"/>
        <v>-150.09000000000015</v>
      </c>
      <c r="L22" s="2"/>
      <c r="M22" s="16">
        <v>15</v>
      </c>
      <c r="N22" s="152">
        <v>942.4</v>
      </c>
      <c r="O22" s="85">
        <v>43746</v>
      </c>
      <c r="P22" s="152">
        <v>942.4</v>
      </c>
      <c r="Q22" s="101" t="s">
        <v>212</v>
      </c>
      <c r="R22" s="83">
        <v>34.5</v>
      </c>
      <c r="U22" s="2"/>
      <c r="V22" s="16">
        <v>15</v>
      </c>
      <c r="W22" s="152">
        <v>944.67</v>
      </c>
      <c r="X22" s="14">
        <v>43746</v>
      </c>
      <c r="Y22" s="152">
        <v>944.67</v>
      </c>
      <c r="Z22" s="32" t="s">
        <v>211</v>
      </c>
      <c r="AA22" s="18">
        <v>34.5</v>
      </c>
      <c r="AD22" s="2"/>
      <c r="AE22" s="16">
        <v>15</v>
      </c>
      <c r="AF22" s="15">
        <v>877.5</v>
      </c>
      <c r="AG22" s="14">
        <v>43746</v>
      </c>
      <c r="AH22" s="15">
        <v>877.5</v>
      </c>
      <c r="AI22" s="32" t="s">
        <v>206</v>
      </c>
      <c r="AJ22" s="18">
        <v>34.5</v>
      </c>
      <c r="AM22" s="2"/>
      <c r="AN22" s="16">
        <v>15</v>
      </c>
      <c r="AO22" s="152">
        <v>902.5</v>
      </c>
      <c r="AP22" s="119">
        <v>43748</v>
      </c>
      <c r="AQ22" s="152">
        <v>902.5</v>
      </c>
      <c r="AR22" s="137" t="s">
        <v>220</v>
      </c>
      <c r="AS22" s="91">
        <v>34.5</v>
      </c>
      <c r="AV22" s="2"/>
      <c r="AW22" s="16">
        <v>15</v>
      </c>
      <c r="AX22" s="15">
        <v>925.17</v>
      </c>
      <c r="AY22" s="85">
        <v>43749</v>
      </c>
      <c r="AZ22" s="15">
        <v>925.17</v>
      </c>
      <c r="BA22" s="101" t="s">
        <v>228</v>
      </c>
      <c r="BB22" s="312">
        <v>34.5</v>
      </c>
      <c r="BE22" s="2"/>
      <c r="BF22" s="16">
        <v>15</v>
      </c>
      <c r="BG22" s="15">
        <v>848</v>
      </c>
      <c r="BH22" s="85">
        <v>43750</v>
      </c>
      <c r="BI22" s="15">
        <v>848</v>
      </c>
      <c r="BJ22" s="101" t="s">
        <v>230</v>
      </c>
      <c r="BK22" s="312">
        <v>34.5</v>
      </c>
      <c r="BN22" s="2"/>
      <c r="BO22" s="16">
        <v>15</v>
      </c>
      <c r="BP22" s="15">
        <v>906</v>
      </c>
      <c r="BQ22" s="305">
        <v>43754</v>
      </c>
      <c r="BR22" s="15">
        <v>906</v>
      </c>
      <c r="BS22" s="307" t="s">
        <v>289</v>
      </c>
      <c r="BT22" s="308">
        <v>34.5</v>
      </c>
      <c r="BW22" s="2"/>
      <c r="BX22" s="16">
        <v>15</v>
      </c>
      <c r="BY22" s="15">
        <v>892.5</v>
      </c>
      <c r="BZ22" s="305">
        <v>43753</v>
      </c>
      <c r="CA22" s="15">
        <v>892.5</v>
      </c>
      <c r="CB22" s="307" t="s">
        <v>281</v>
      </c>
      <c r="CC22" s="308">
        <v>34.5</v>
      </c>
      <c r="CF22" s="2"/>
      <c r="CG22" s="16">
        <v>15</v>
      </c>
      <c r="CH22" s="7">
        <v>938.32</v>
      </c>
      <c r="CI22" s="305">
        <v>43753</v>
      </c>
      <c r="CJ22" s="7">
        <v>938.32</v>
      </c>
      <c r="CK22" s="307" t="s">
        <v>283</v>
      </c>
      <c r="CL22" s="308">
        <v>34.5</v>
      </c>
      <c r="CO22" s="2"/>
      <c r="CP22" s="16">
        <v>15</v>
      </c>
      <c r="CQ22" s="15">
        <v>952.09</v>
      </c>
      <c r="CR22" s="14">
        <v>43754</v>
      </c>
      <c r="CS22" s="15">
        <v>952.09</v>
      </c>
      <c r="CT22" s="32" t="s">
        <v>293</v>
      </c>
      <c r="CU22" s="18">
        <v>35</v>
      </c>
      <c r="CX22" s="2"/>
      <c r="CY22" s="16">
        <v>15</v>
      </c>
      <c r="CZ22" s="15">
        <v>953.29</v>
      </c>
      <c r="DA22" s="305">
        <v>43754</v>
      </c>
      <c r="DB22" s="15">
        <v>953.29</v>
      </c>
      <c r="DC22" s="307" t="s">
        <v>290</v>
      </c>
      <c r="DD22" s="308">
        <v>35</v>
      </c>
      <c r="DG22" s="2"/>
      <c r="DH22" s="16">
        <v>15</v>
      </c>
      <c r="DI22" s="15">
        <v>877</v>
      </c>
      <c r="DJ22" s="305">
        <v>43756</v>
      </c>
      <c r="DK22" s="15">
        <v>877</v>
      </c>
      <c r="DL22" s="307" t="s">
        <v>300</v>
      </c>
      <c r="DM22" s="308">
        <v>35</v>
      </c>
      <c r="DP22" s="2"/>
      <c r="DQ22" s="16">
        <v>15</v>
      </c>
      <c r="DR22" s="7">
        <v>964.63</v>
      </c>
      <c r="DS22" s="47">
        <v>43760</v>
      </c>
      <c r="DT22" s="7">
        <v>964.63</v>
      </c>
      <c r="DU22" s="60" t="s">
        <v>327</v>
      </c>
      <c r="DV22" s="18">
        <v>39</v>
      </c>
      <c r="DY22" s="2"/>
      <c r="DZ22" s="16">
        <v>15</v>
      </c>
      <c r="EA22" s="7">
        <v>936.66</v>
      </c>
      <c r="EB22" s="47">
        <v>43761</v>
      </c>
      <c r="EC22" s="7">
        <v>936.66</v>
      </c>
      <c r="ED22" s="611" t="s">
        <v>371</v>
      </c>
      <c r="EE22" s="18">
        <v>39</v>
      </c>
      <c r="EH22" s="2"/>
      <c r="EI22" s="16">
        <v>15</v>
      </c>
      <c r="EJ22" s="15">
        <v>927.59</v>
      </c>
      <c r="EK22" s="14">
        <v>43762</v>
      </c>
      <c r="EL22" s="723">
        <v>927.59</v>
      </c>
      <c r="EM22" s="35" t="s">
        <v>374</v>
      </c>
      <c r="EN22" s="18">
        <v>39</v>
      </c>
      <c r="EQ22" s="2"/>
      <c r="ER22" s="16">
        <v>15</v>
      </c>
      <c r="ES22" s="15">
        <v>872</v>
      </c>
      <c r="ET22" s="14">
        <v>43761</v>
      </c>
      <c r="EU22" s="15">
        <v>872</v>
      </c>
      <c r="EV22" s="35" t="s">
        <v>329</v>
      </c>
      <c r="EW22" s="18">
        <v>39</v>
      </c>
      <c r="EZ22" s="2"/>
      <c r="FA22" s="16">
        <v>15</v>
      </c>
      <c r="FB22" s="134">
        <v>901.5</v>
      </c>
      <c r="FC22" s="119">
        <v>43767</v>
      </c>
      <c r="FD22" s="134">
        <v>901.5</v>
      </c>
      <c r="FE22" s="90" t="s">
        <v>387</v>
      </c>
      <c r="FF22" s="91">
        <v>41</v>
      </c>
      <c r="FI22" s="2"/>
      <c r="FJ22" s="16">
        <v>15</v>
      </c>
      <c r="FK22" s="7">
        <v>965.99</v>
      </c>
      <c r="FL22" s="47">
        <v>43768</v>
      </c>
      <c r="FM22" s="7">
        <v>965.99</v>
      </c>
      <c r="FN22" s="60" t="s">
        <v>392</v>
      </c>
      <c r="FO22" s="18">
        <v>41</v>
      </c>
      <c r="FR22" s="2"/>
      <c r="FS22" s="16">
        <v>15</v>
      </c>
      <c r="FT22" s="15">
        <v>922.2</v>
      </c>
      <c r="FU22" s="119">
        <v>43769</v>
      </c>
      <c r="FV22" s="134">
        <v>922.2</v>
      </c>
      <c r="FW22" s="137" t="s">
        <v>398</v>
      </c>
      <c r="FX22" s="91">
        <v>41</v>
      </c>
      <c r="GA22" s="2"/>
      <c r="GB22" s="16">
        <v>15</v>
      </c>
      <c r="GC22" s="15">
        <v>915.34</v>
      </c>
      <c r="GD22" s="14">
        <v>43771</v>
      </c>
      <c r="GE22" s="496">
        <v>915.34</v>
      </c>
      <c r="GF22" s="32" t="s">
        <v>415</v>
      </c>
      <c r="GG22" s="18">
        <v>41</v>
      </c>
      <c r="GI22"/>
      <c r="GJ22" s="2"/>
      <c r="GK22" s="16">
        <v>15</v>
      </c>
      <c r="GL22" s="15">
        <v>951.63</v>
      </c>
      <c r="GM22" s="14">
        <v>43768</v>
      </c>
      <c r="GN22" s="15">
        <v>951.63</v>
      </c>
      <c r="GO22" s="32" t="s">
        <v>397</v>
      </c>
      <c r="GP22" s="18">
        <v>41</v>
      </c>
      <c r="GS22" s="2"/>
      <c r="GT22" s="16">
        <v>15</v>
      </c>
      <c r="GU22" s="15">
        <v>879.78</v>
      </c>
      <c r="GV22" s="14">
        <v>43771</v>
      </c>
      <c r="GW22" s="725">
        <v>879.98</v>
      </c>
      <c r="GX22" s="239" t="s">
        <v>421</v>
      </c>
      <c r="GY22" s="18">
        <v>41</v>
      </c>
      <c r="HB22" s="2"/>
      <c r="HC22" s="16">
        <v>15</v>
      </c>
      <c r="HD22" s="7">
        <v>877.2</v>
      </c>
      <c r="HE22" s="47">
        <v>43771</v>
      </c>
      <c r="HF22" s="7">
        <v>877.2</v>
      </c>
      <c r="HG22" s="60" t="s">
        <v>418</v>
      </c>
      <c r="HH22" s="18">
        <v>41</v>
      </c>
      <c r="HK22" s="2"/>
      <c r="HL22" s="16">
        <v>15</v>
      </c>
      <c r="HM22" s="15">
        <v>900.5</v>
      </c>
      <c r="HN22" s="14">
        <v>43770</v>
      </c>
      <c r="HO22" s="15">
        <v>900.5</v>
      </c>
      <c r="HP22" s="393" t="s">
        <v>410</v>
      </c>
      <c r="HQ22" s="18">
        <v>41</v>
      </c>
      <c r="HR22" s="15"/>
      <c r="HT22" s="2"/>
      <c r="HU22" s="16">
        <v>15</v>
      </c>
      <c r="HV22" s="15">
        <v>955.56</v>
      </c>
      <c r="HW22" s="47"/>
      <c r="HX22" s="15"/>
      <c r="HY22" s="60"/>
      <c r="HZ22" s="18"/>
      <c r="IC22" s="2"/>
      <c r="ID22" s="16">
        <v>15</v>
      </c>
      <c r="IE22" s="15">
        <v>904.5</v>
      </c>
      <c r="IF22" s="14">
        <v>43774</v>
      </c>
      <c r="IG22" s="15">
        <v>904.5</v>
      </c>
      <c r="IH22" s="35" t="s">
        <v>434</v>
      </c>
      <c r="II22" s="18">
        <v>42</v>
      </c>
      <c r="IL22" s="2"/>
      <c r="IM22" s="16"/>
      <c r="IN22" s="7"/>
      <c r="IO22" s="400"/>
      <c r="IP22" s="7"/>
      <c r="IQ22" s="60"/>
      <c r="IR22" s="18"/>
      <c r="IU22" s="2"/>
      <c r="IV22" s="16"/>
      <c r="IW22" s="15"/>
      <c r="IX22" s="14"/>
      <c r="IY22" s="15"/>
      <c r="IZ22" s="32"/>
      <c r="JA22" s="18"/>
      <c r="JD22" s="2"/>
      <c r="JE22" s="16"/>
      <c r="JF22" s="15"/>
      <c r="JG22" s="14"/>
      <c r="JH22" s="15"/>
      <c r="JI22" s="32"/>
      <c r="JJ22" s="18"/>
      <c r="JM22" s="2"/>
      <c r="JN22" s="16"/>
      <c r="JO22" s="15"/>
      <c r="JP22" s="14"/>
      <c r="JQ22" s="15"/>
      <c r="JR22" s="32"/>
      <c r="JS22" s="18"/>
      <c r="JV22" s="2"/>
      <c r="JW22" s="16"/>
      <c r="JX22" s="15"/>
      <c r="JY22" s="14"/>
      <c r="JZ22" s="15"/>
      <c r="KA22" s="32"/>
      <c r="KB22" s="18"/>
      <c r="KE22" s="2"/>
      <c r="KF22" s="16"/>
      <c r="KG22" s="15"/>
      <c r="KH22" s="14"/>
      <c r="KI22" s="15"/>
      <c r="KJ22" s="32"/>
      <c r="KK22" s="18"/>
      <c r="KN22" s="2"/>
      <c r="KO22" s="16">
        <v>15</v>
      </c>
      <c r="KP22" s="152"/>
      <c r="KQ22" s="85"/>
      <c r="KR22" s="152"/>
      <c r="KS22" s="101"/>
      <c r="KT22" s="83"/>
      <c r="KW22" s="2"/>
      <c r="KX22" s="16">
        <v>15</v>
      </c>
      <c r="KY22" s="152"/>
      <c r="KZ22" s="14"/>
      <c r="LA22" s="152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52"/>
      <c r="LR22" s="14"/>
      <c r="LS22" s="498"/>
      <c r="LT22" s="499"/>
      <c r="LU22" s="18"/>
      <c r="LX22" s="2"/>
      <c r="LY22" s="16"/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2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5"/>
      <c r="RP22" s="306"/>
      <c r="RQ22" s="307"/>
      <c r="RR22" s="308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TYSON FRESH MEATS</v>
      </c>
      <c r="C23" t="str">
        <f>GB5</f>
        <v>PED. 43956191</v>
      </c>
      <c r="D23" s="56" t="str">
        <f>GB5</f>
        <v>PED. 43956191</v>
      </c>
      <c r="E23" s="124">
        <f t="shared" si="19"/>
        <v>43768</v>
      </c>
      <c r="F23" s="58">
        <f t="shared" si="19"/>
        <v>18549.7</v>
      </c>
      <c r="G23" s="13">
        <f t="shared" si="19"/>
        <v>20</v>
      </c>
      <c r="H23" s="52">
        <f t="shared" si="19"/>
        <v>18679.259999999998</v>
      </c>
      <c r="I23" s="6">
        <f t="shared" si="19"/>
        <v>-129.55999999999767</v>
      </c>
      <c r="L23" s="2"/>
      <c r="M23" s="16">
        <v>16</v>
      </c>
      <c r="N23" s="152">
        <v>957.37</v>
      </c>
      <c r="O23" s="85">
        <v>43746</v>
      </c>
      <c r="P23" s="152">
        <v>957.37</v>
      </c>
      <c r="Q23" s="101" t="s">
        <v>212</v>
      </c>
      <c r="R23" s="83">
        <v>34.5</v>
      </c>
      <c r="U23" s="2"/>
      <c r="V23" s="16">
        <v>16</v>
      </c>
      <c r="W23" s="152">
        <v>987.3</v>
      </c>
      <c r="X23" s="14">
        <v>43746</v>
      </c>
      <c r="Y23" s="152">
        <v>987.3</v>
      </c>
      <c r="Z23" s="32" t="s">
        <v>211</v>
      </c>
      <c r="AA23" s="18">
        <v>34.5</v>
      </c>
      <c r="AD23" s="2"/>
      <c r="AE23" s="16">
        <v>16</v>
      </c>
      <c r="AF23" s="15">
        <v>900</v>
      </c>
      <c r="AG23" s="14">
        <v>43746</v>
      </c>
      <c r="AH23" s="15">
        <v>900</v>
      </c>
      <c r="AI23" s="32" t="s">
        <v>206</v>
      </c>
      <c r="AJ23" s="18">
        <v>34.5</v>
      </c>
      <c r="AM23" s="2"/>
      <c r="AN23" s="16">
        <v>16</v>
      </c>
      <c r="AO23" s="152">
        <v>903.5</v>
      </c>
      <c r="AP23" s="119">
        <v>43748</v>
      </c>
      <c r="AQ23" s="152">
        <v>903.5</v>
      </c>
      <c r="AR23" s="137" t="s">
        <v>220</v>
      </c>
      <c r="AS23" s="91">
        <v>34.5</v>
      </c>
      <c r="AV23" s="2"/>
      <c r="AW23" s="16">
        <v>16</v>
      </c>
      <c r="AX23" s="15">
        <v>994.56</v>
      </c>
      <c r="AY23" s="85">
        <v>43749</v>
      </c>
      <c r="AZ23" s="15">
        <v>994.56</v>
      </c>
      <c r="BA23" s="101" t="s">
        <v>228</v>
      </c>
      <c r="BB23" s="312">
        <v>34.5</v>
      </c>
      <c r="BE23" s="2"/>
      <c r="BF23" s="16">
        <v>16</v>
      </c>
      <c r="BG23" s="15">
        <v>795</v>
      </c>
      <c r="BH23" s="85">
        <v>43750</v>
      </c>
      <c r="BI23" s="15">
        <v>795</v>
      </c>
      <c r="BJ23" s="101" t="s">
        <v>230</v>
      </c>
      <c r="BK23" s="312">
        <v>34.5</v>
      </c>
      <c r="BN23" s="2"/>
      <c r="BO23" s="16">
        <v>16</v>
      </c>
      <c r="BP23" s="15">
        <v>906</v>
      </c>
      <c r="BQ23" s="305">
        <v>43755</v>
      </c>
      <c r="BR23" s="15">
        <v>906</v>
      </c>
      <c r="BS23" s="307" t="s">
        <v>288</v>
      </c>
      <c r="BT23" s="308">
        <v>34.5</v>
      </c>
      <c r="BW23" s="2"/>
      <c r="BX23" s="16">
        <v>16</v>
      </c>
      <c r="BY23" s="15">
        <v>899</v>
      </c>
      <c r="BZ23" s="305">
        <v>43753</v>
      </c>
      <c r="CA23" s="15">
        <v>899</v>
      </c>
      <c r="CB23" s="307" t="s">
        <v>281</v>
      </c>
      <c r="CC23" s="308">
        <v>34.5</v>
      </c>
      <c r="CF23" s="2"/>
      <c r="CG23" s="16">
        <v>16</v>
      </c>
      <c r="CH23" s="15">
        <v>937.87</v>
      </c>
      <c r="CI23" s="305">
        <v>43753</v>
      </c>
      <c r="CJ23" s="15">
        <v>937.87</v>
      </c>
      <c r="CK23" s="307" t="s">
        <v>283</v>
      </c>
      <c r="CL23" s="308">
        <v>34.5</v>
      </c>
      <c r="CO23" s="2"/>
      <c r="CP23" s="16">
        <v>16</v>
      </c>
      <c r="CQ23" s="15">
        <v>959.34</v>
      </c>
      <c r="CR23" s="14">
        <v>43754</v>
      </c>
      <c r="CS23" s="15">
        <v>959.34</v>
      </c>
      <c r="CT23" s="32" t="s">
        <v>293</v>
      </c>
      <c r="CU23" s="18">
        <v>35</v>
      </c>
      <c r="CX23" s="2"/>
      <c r="CY23" s="16">
        <v>16</v>
      </c>
      <c r="CZ23" s="15">
        <v>950.57</v>
      </c>
      <c r="DA23" s="305">
        <v>43754</v>
      </c>
      <c r="DB23" s="15">
        <v>950.57</v>
      </c>
      <c r="DC23" s="307" t="s">
        <v>290</v>
      </c>
      <c r="DD23" s="308">
        <v>35</v>
      </c>
      <c r="DG23" s="2"/>
      <c r="DH23" s="16">
        <v>16</v>
      </c>
      <c r="DI23" s="15">
        <v>870.5</v>
      </c>
      <c r="DJ23" s="305">
        <v>43756</v>
      </c>
      <c r="DK23" s="15">
        <v>870.5</v>
      </c>
      <c r="DL23" s="307" t="s">
        <v>299</v>
      </c>
      <c r="DM23" s="308">
        <v>35</v>
      </c>
      <c r="DP23" s="2"/>
      <c r="DQ23" s="16">
        <v>16</v>
      </c>
      <c r="DR23" s="7">
        <v>952.83</v>
      </c>
      <c r="DS23" s="47">
        <v>43760</v>
      </c>
      <c r="DT23" s="7">
        <v>952.83</v>
      </c>
      <c r="DU23" s="60" t="s">
        <v>327</v>
      </c>
      <c r="DV23" s="18">
        <v>39</v>
      </c>
      <c r="DY23" s="2"/>
      <c r="DZ23" s="16">
        <v>16</v>
      </c>
      <c r="EA23" s="7">
        <v>913.08</v>
      </c>
      <c r="EB23" s="47">
        <v>43761</v>
      </c>
      <c r="EC23" s="7">
        <v>913.08</v>
      </c>
      <c r="ED23" s="611" t="s">
        <v>371</v>
      </c>
      <c r="EE23" s="18">
        <v>39</v>
      </c>
      <c r="EH23" s="2"/>
      <c r="EI23" s="16">
        <v>16</v>
      </c>
      <c r="EJ23" s="15">
        <v>886.77</v>
      </c>
      <c r="EK23" s="14">
        <v>43762</v>
      </c>
      <c r="EL23" s="723">
        <v>886.77</v>
      </c>
      <c r="EM23" s="35" t="s">
        <v>374</v>
      </c>
      <c r="EN23" s="18">
        <v>39</v>
      </c>
      <c r="EQ23" s="2"/>
      <c r="ER23" s="16">
        <v>16</v>
      </c>
      <c r="ES23" s="15">
        <v>899.5</v>
      </c>
      <c r="ET23" s="14">
        <v>43761</v>
      </c>
      <c r="EU23" s="15">
        <v>899.5</v>
      </c>
      <c r="EV23" s="35" t="s">
        <v>329</v>
      </c>
      <c r="EW23" s="18">
        <v>39</v>
      </c>
      <c r="EZ23" s="2"/>
      <c r="FA23" s="16">
        <v>16</v>
      </c>
      <c r="FB23" s="134">
        <v>894</v>
      </c>
      <c r="FC23" s="119">
        <v>43767</v>
      </c>
      <c r="FD23" s="134">
        <v>894</v>
      </c>
      <c r="FE23" s="90" t="s">
        <v>387</v>
      </c>
      <c r="FF23" s="91">
        <v>41</v>
      </c>
      <c r="FI23" s="2"/>
      <c r="FJ23" s="16">
        <v>16</v>
      </c>
      <c r="FK23" s="7">
        <v>900.23</v>
      </c>
      <c r="FL23" s="47">
        <v>43768</v>
      </c>
      <c r="FM23" s="7">
        <v>900.23</v>
      </c>
      <c r="FN23" s="60" t="s">
        <v>392</v>
      </c>
      <c r="FO23" s="18">
        <v>41</v>
      </c>
      <c r="FR23" s="2"/>
      <c r="FS23" s="16">
        <v>16</v>
      </c>
      <c r="FT23" s="15">
        <v>870.4</v>
      </c>
      <c r="FU23" s="119">
        <v>43769</v>
      </c>
      <c r="FV23" s="134">
        <v>870.4</v>
      </c>
      <c r="FW23" s="137" t="s">
        <v>398</v>
      </c>
      <c r="FX23" s="91">
        <v>41</v>
      </c>
      <c r="GA23" s="2"/>
      <c r="GB23" s="16">
        <v>16</v>
      </c>
      <c r="GC23" s="15">
        <v>933.49</v>
      </c>
      <c r="GD23" s="14">
        <v>43770</v>
      </c>
      <c r="GE23" s="496">
        <v>933.49</v>
      </c>
      <c r="GF23" s="32" t="s">
        <v>405</v>
      </c>
      <c r="GG23" s="18">
        <v>41</v>
      </c>
      <c r="GI23"/>
      <c r="GJ23" s="2"/>
      <c r="GK23" s="16">
        <v>16</v>
      </c>
      <c r="GL23" s="15">
        <v>926.68</v>
      </c>
      <c r="GM23" s="14">
        <v>43768</v>
      </c>
      <c r="GN23" s="15">
        <v>926.68</v>
      </c>
      <c r="GO23" s="32" t="s">
        <v>397</v>
      </c>
      <c r="GP23" s="18">
        <v>41</v>
      </c>
      <c r="GS23" s="2"/>
      <c r="GT23" s="16">
        <v>16</v>
      </c>
      <c r="GU23" s="15">
        <v>923.53</v>
      </c>
      <c r="GV23" s="14">
        <v>43771</v>
      </c>
      <c r="GW23" s="15">
        <v>923.53</v>
      </c>
      <c r="GX23" s="239" t="s">
        <v>421</v>
      </c>
      <c r="GY23" s="18">
        <v>41</v>
      </c>
      <c r="HB23" s="2"/>
      <c r="HC23" s="16">
        <v>16</v>
      </c>
      <c r="HD23" s="7">
        <v>937.6</v>
      </c>
      <c r="HE23" s="47">
        <v>43771</v>
      </c>
      <c r="HF23" s="7">
        <v>937.6</v>
      </c>
      <c r="HG23" s="60" t="s">
        <v>418</v>
      </c>
      <c r="HH23" s="18">
        <v>41</v>
      </c>
      <c r="HK23" s="2"/>
      <c r="HL23" s="16">
        <v>16</v>
      </c>
      <c r="HM23" s="15">
        <v>888.5</v>
      </c>
      <c r="HN23" s="14">
        <v>43770</v>
      </c>
      <c r="HO23" s="15">
        <v>888.5</v>
      </c>
      <c r="HP23" s="393" t="s">
        <v>410</v>
      </c>
      <c r="HQ23" s="18">
        <v>41</v>
      </c>
      <c r="HR23" s="6"/>
      <c r="HS23" s="7"/>
      <c r="HT23" s="2"/>
      <c r="HU23" s="16">
        <v>16</v>
      </c>
      <c r="HV23" s="15">
        <v>957.37</v>
      </c>
      <c r="HW23" s="47"/>
      <c r="HX23" s="15"/>
      <c r="HY23" s="60"/>
      <c r="HZ23" s="18"/>
      <c r="IC23" s="2"/>
      <c r="ID23" s="16">
        <v>16</v>
      </c>
      <c r="IE23" s="15">
        <v>890.5</v>
      </c>
      <c r="IF23" s="14">
        <v>43774</v>
      </c>
      <c r="IG23" s="15">
        <v>890.5</v>
      </c>
      <c r="IH23" s="35" t="s">
        <v>434</v>
      </c>
      <c r="II23" s="18">
        <v>42</v>
      </c>
      <c r="IL23" s="2"/>
      <c r="IM23" s="16"/>
      <c r="IN23" s="7"/>
      <c r="IO23" s="400"/>
      <c r="IP23" s="7"/>
      <c r="IQ23" s="60"/>
      <c r="IR23" s="18"/>
      <c r="IU23" s="2"/>
      <c r="IV23" s="16"/>
      <c r="IW23" s="15"/>
      <c r="IX23" s="14"/>
      <c r="IY23" s="15"/>
      <c r="IZ23" s="32"/>
      <c r="JA23" s="18"/>
      <c r="JD23" s="2"/>
      <c r="JE23" s="16"/>
      <c r="JF23" s="15"/>
      <c r="JG23" s="14"/>
      <c r="JH23" s="15"/>
      <c r="JI23" s="32"/>
      <c r="JJ23" s="18"/>
      <c r="JM23" s="2"/>
      <c r="JN23" s="16"/>
      <c r="JO23" s="15"/>
      <c r="JP23" s="14"/>
      <c r="JQ23" s="15"/>
      <c r="JR23" s="32"/>
      <c r="JS23" s="18"/>
      <c r="JV23" s="2"/>
      <c r="JW23" s="16"/>
      <c r="JX23" s="15"/>
      <c r="JY23" s="14"/>
      <c r="JZ23" s="15"/>
      <c r="KA23" s="32"/>
      <c r="KB23" s="18"/>
      <c r="KE23" s="2"/>
      <c r="KF23" s="16"/>
      <c r="KG23" s="15"/>
      <c r="KH23" s="14"/>
      <c r="KI23" s="15"/>
      <c r="KJ23" s="32"/>
      <c r="KK23" s="18"/>
      <c r="KN23" s="2"/>
      <c r="KO23" s="16">
        <v>16</v>
      </c>
      <c r="KP23" s="152"/>
      <c r="KQ23" s="85"/>
      <c r="KR23" s="152"/>
      <c r="KS23" s="101"/>
      <c r="KT23" s="83"/>
      <c r="KW23" s="2"/>
      <c r="KX23" s="16">
        <v>16</v>
      </c>
      <c r="KY23" s="152"/>
      <c r="KZ23" s="14"/>
      <c r="LA23" s="152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52"/>
      <c r="LR23" s="14"/>
      <c r="LS23" s="498"/>
      <c r="LT23" s="499"/>
      <c r="LU23" s="18"/>
      <c r="LX23" s="2"/>
      <c r="LY23" s="16"/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2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5"/>
      <c r="RP23" s="306"/>
      <c r="RQ23" s="307"/>
      <c r="RR23" s="308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TYSON FRESH MEATS</v>
      </c>
      <c r="C24" t="str">
        <f t="shared" si="20"/>
        <v xml:space="preserve">I B P </v>
      </c>
      <c r="D24" s="56" t="str">
        <f t="shared" si="20"/>
        <v>PED. 43956188</v>
      </c>
      <c r="E24" s="124">
        <f t="shared" si="20"/>
        <v>43768</v>
      </c>
      <c r="F24" s="58">
        <f t="shared" si="20"/>
        <v>18605.59</v>
      </c>
      <c r="G24" s="13">
        <f t="shared" si="20"/>
        <v>20</v>
      </c>
      <c r="H24" s="52">
        <f t="shared" si="20"/>
        <v>18693.78</v>
      </c>
      <c r="I24" s="6">
        <f t="shared" si="20"/>
        <v>-88.18999999999869</v>
      </c>
      <c r="L24" s="2"/>
      <c r="M24" s="16">
        <v>17</v>
      </c>
      <c r="N24" s="152">
        <v>935.15</v>
      </c>
      <c r="O24" s="85">
        <v>43746</v>
      </c>
      <c r="P24" s="152">
        <v>935.15</v>
      </c>
      <c r="Q24" s="101" t="s">
        <v>212</v>
      </c>
      <c r="R24" s="83">
        <v>34.5</v>
      </c>
      <c r="U24" s="2"/>
      <c r="V24" s="16">
        <v>17</v>
      </c>
      <c r="W24" s="152">
        <v>937.41</v>
      </c>
      <c r="X24" s="14">
        <v>43746</v>
      </c>
      <c r="Y24" s="152">
        <v>937.41</v>
      </c>
      <c r="Z24" s="32" t="s">
        <v>211</v>
      </c>
      <c r="AA24" s="18">
        <v>34.5</v>
      </c>
      <c r="AD24" s="2"/>
      <c r="AE24" s="16">
        <v>17</v>
      </c>
      <c r="AF24" s="15">
        <v>904.5</v>
      </c>
      <c r="AG24" s="14">
        <v>43746</v>
      </c>
      <c r="AH24" s="15">
        <v>904.5</v>
      </c>
      <c r="AI24" s="32" t="s">
        <v>206</v>
      </c>
      <c r="AJ24" s="18">
        <v>34.5</v>
      </c>
      <c r="AM24" s="2"/>
      <c r="AN24" s="16">
        <v>17</v>
      </c>
      <c r="AO24" s="152">
        <v>887</v>
      </c>
      <c r="AP24" s="119">
        <v>43748</v>
      </c>
      <c r="AQ24" s="152">
        <v>887</v>
      </c>
      <c r="AR24" s="137" t="s">
        <v>220</v>
      </c>
      <c r="AS24" s="91">
        <v>34.5</v>
      </c>
      <c r="AV24" s="2"/>
      <c r="AW24" s="16">
        <v>17</v>
      </c>
      <c r="AX24" s="15">
        <v>976.87</v>
      </c>
      <c r="AY24" s="85">
        <v>43749</v>
      </c>
      <c r="AZ24" s="15">
        <v>976.87</v>
      </c>
      <c r="BA24" s="101" t="s">
        <v>228</v>
      </c>
      <c r="BB24" s="312">
        <v>34.5</v>
      </c>
      <c r="BE24" s="2"/>
      <c r="BF24" s="16">
        <v>17</v>
      </c>
      <c r="BG24" s="15">
        <v>857.5</v>
      </c>
      <c r="BH24" s="85">
        <v>43750</v>
      </c>
      <c r="BI24" s="15">
        <v>857.5</v>
      </c>
      <c r="BJ24" s="101" t="s">
        <v>230</v>
      </c>
      <c r="BK24" s="312">
        <v>34.5</v>
      </c>
      <c r="BN24" s="2"/>
      <c r="BO24" s="16">
        <v>17</v>
      </c>
      <c r="BP24" s="15">
        <v>897.5</v>
      </c>
      <c r="BQ24" s="305">
        <v>43755</v>
      </c>
      <c r="BR24" s="15">
        <v>897.5</v>
      </c>
      <c r="BS24" s="307" t="s">
        <v>288</v>
      </c>
      <c r="BT24" s="308">
        <v>34.5</v>
      </c>
      <c r="BW24" s="2"/>
      <c r="BX24" s="16">
        <v>17</v>
      </c>
      <c r="BY24" s="15">
        <v>902.5</v>
      </c>
      <c r="BZ24" s="305">
        <v>43753</v>
      </c>
      <c r="CA24" s="15">
        <v>902.5</v>
      </c>
      <c r="CB24" s="307" t="s">
        <v>281</v>
      </c>
      <c r="CC24" s="308">
        <v>34.5</v>
      </c>
      <c r="CF24" s="2"/>
      <c r="CG24" s="16">
        <v>17</v>
      </c>
      <c r="CH24" s="15">
        <v>952.83</v>
      </c>
      <c r="CI24" s="305">
        <v>43753</v>
      </c>
      <c r="CJ24" s="15">
        <v>952.83</v>
      </c>
      <c r="CK24" s="307" t="s">
        <v>283</v>
      </c>
      <c r="CL24" s="308">
        <v>34.5</v>
      </c>
      <c r="CO24" s="2"/>
      <c r="CP24" s="16">
        <v>17</v>
      </c>
      <c r="CQ24" s="15">
        <v>920.33</v>
      </c>
      <c r="CR24" s="14">
        <v>43754</v>
      </c>
      <c r="CS24" s="15">
        <v>920.33</v>
      </c>
      <c r="CT24" s="32" t="s">
        <v>293</v>
      </c>
      <c r="CU24" s="18">
        <v>35</v>
      </c>
      <c r="CX24" s="2"/>
      <c r="CY24" s="16">
        <v>17</v>
      </c>
      <c r="CZ24" s="15">
        <v>920.18</v>
      </c>
      <c r="DA24" s="305">
        <v>43754</v>
      </c>
      <c r="DB24" s="15">
        <v>920.18</v>
      </c>
      <c r="DC24" s="307" t="s">
        <v>290</v>
      </c>
      <c r="DD24" s="308">
        <v>35</v>
      </c>
      <c r="DG24" s="2"/>
      <c r="DH24" s="16">
        <v>17</v>
      </c>
      <c r="DI24" s="15">
        <v>882.5</v>
      </c>
      <c r="DJ24" s="305">
        <v>43756</v>
      </c>
      <c r="DK24" s="15">
        <v>882.5</v>
      </c>
      <c r="DL24" s="307" t="s">
        <v>299</v>
      </c>
      <c r="DM24" s="308">
        <v>35</v>
      </c>
      <c r="DP24" s="2"/>
      <c r="DQ24" s="16">
        <v>17</v>
      </c>
      <c r="DR24" s="7">
        <v>960.54</v>
      </c>
      <c r="DS24" s="47">
        <v>43760</v>
      </c>
      <c r="DT24" s="7">
        <v>960.54</v>
      </c>
      <c r="DU24" s="60" t="s">
        <v>327</v>
      </c>
      <c r="DV24" s="18">
        <v>39</v>
      </c>
      <c r="DY24" s="2"/>
      <c r="DZ24" s="16">
        <v>17</v>
      </c>
      <c r="EA24" s="7">
        <v>947.55</v>
      </c>
      <c r="EB24" s="47">
        <v>43761</v>
      </c>
      <c r="EC24" s="7">
        <v>947.55</v>
      </c>
      <c r="ED24" s="611" t="s">
        <v>371</v>
      </c>
      <c r="EE24" s="18">
        <v>39</v>
      </c>
      <c r="EH24" s="2"/>
      <c r="EI24" s="16">
        <v>17</v>
      </c>
      <c r="EJ24" s="15">
        <v>916.71</v>
      </c>
      <c r="EK24" s="14">
        <v>43762</v>
      </c>
      <c r="EL24" s="15">
        <v>916.71</v>
      </c>
      <c r="EM24" s="35" t="s">
        <v>373</v>
      </c>
      <c r="EN24" s="18">
        <v>39</v>
      </c>
      <c r="EQ24" s="2"/>
      <c r="ER24" s="16">
        <v>17</v>
      </c>
      <c r="ES24" s="15">
        <v>897.5</v>
      </c>
      <c r="ET24" s="14">
        <v>43761</v>
      </c>
      <c r="EU24" s="15">
        <v>897.5</v>
      </c>
      <c r="EV24" s="35" t="s">
        <v>329</v>
      </c>
      <c r="EW24" s="18">
        <v>39</v>
      </c>
      <c r="EZ24" s="2"/>
      <c r="FA24" s="16">
        <v>17</v>
      </c>
      <c r="FB24" s="134">
        <v>899.5</v>
      </c>
      <c r="FC24" s="119">
        <v>43767</v>
      </c>
      <c r="FD24" s="134">
        <v>899.5</v>
      </c>
      <c r="FE24" s="90" t="s">
        <v>387</v>
      </c>
      <c r="FF24" s="91">
        <v>41</v>
      </c>
      <c r="FI24" s="2"/>
      <c r="FJ24" s="16">
        <v>17</v>
      </c>
      <c r="FK24" s="7">
        <v>946.94</v>
      </c>
      <c r="FL24" s="47">
        <v>43768</v>
      </c>
      <c r="FM24" s="7">
        <v>946.94</v>
      </c>
      <c r="FN24" s="60" t="s">
        <v>393</v>
      </c>
      <c r="FO24" s="18">
        <v>41</v>
      </c>
      <c r="FR24" s="2"/>
      <c r="FS24" s="16">
        <v>17</v>
      </c>
      <c r="FT24" s="15">
        <v>928.5</v>
      </c>
      <c r="FU24" s="119">
        <v>43769</v>
      </c>
      <c r="FV24" s="134">
        <v>928.5</v>
      </c>
      <c r="FW24" s="137" t="s">
        <v>398</v>
      </c>
      <c r="FX24" s="91">
        <v>41</v>
      </c>
      <c r="GA24" s="2"/>
      <c r="GB24" s="16">
        <v>17</v>
      </c>
      <c r="GC24" s="15">
        <v>950.72</v>
      </c>
      <c r="GD24" s="14">
        <v>43770</v>
      </c>
      <c r="GE24" s="496">
        <v>950.72</v>
      </c>
      <c r="GF24" s="32" t="s">
        <v>399</v>
      </c>
      <c r="GG24" s="18">
        <v>41</v>
      </c>
      <c r="GI24"/>
      <c r="GJ24" s="2"/>
      <c r="GK24" s="16">
        <v>17</v>
      </c>
      <c r="GL24" s="15">
        <v>950.27</v>
      </c>
      <c r="GM24" s="14">
        <v>43768</v>
      </c>
      <c r="GN24" s="15">
        <v>950.27</v>
      </c>
      <c r="GO24" s="32" t="s">
        <v>397</v>
      </c>
      <c r="GP24" s="18">
        <v>41</v>
      </c>
      <c r="GS24" s="2"/>
      <c r="GT24" s="16">
        <v>17</v>
      </c>
      <c r="GU24" s="15">
        <v>911.28</v>
      </c>
      <c r="GV24" s="14">
        <v>43771</v>
      </c>
      <c r="GW24" s="15">
        <v>911.28</v>
      </c>
      <c r="GX24" s="239" t="s">
        <v>421</v>
      </c>
      <c r="GY24" s="18">
        <v>41</v>
      </c>
      <c r="HB24" s="2"/>
      <c r="HC24" s="16">
        <v>17</v>
      </c>
      <c r="HD24" s="7">
        <v>925.3</v>
      </c>
      <c r="HE24" s="47">
        <v>43771</v>
      </c>
      <c r="HF24" s="7">
        <v>925.3</v>
      </c>
      <c r="HG24" s="60" t="s">
        <v>415</v>
      </c>
      <c r="HH24" s="18">
        <v>41</v>
      </c>
      <c r="HK24" s="2"/>
      <c r="HL24" s="16">
        <v>17</v>
      </c>
      <c r="HM24" s="15">
        <v>896</v>
      </c>
      <c r="HN24" s="14">
        <v>43770</v>
      </c>
      <c r="HO24" s="15">
        <v>896</v>
      </c>
      <c r="HP24" s="393" t="s">
        <v>410</v>
      </c>
      <c r="HQ24" s="18">
        <v>41</v>
      </c>
      <c r="HS24" s="7"/>
      <c r="HT24" s="2"/>
      <c r="HU24" s="16">
        <v>17</v>
      </c>
      <c r="HV24" s="15">
        <v>940.59</v>
      </c>
      <c r="HW24" s="47"/>
      <c r="HX24" s="15"/>
      <c r="HY24" s="60"/>
      <c r="HZ24" s="18"/>
      <c r="IC24" s="2"/>
      <c r="ID24" s="16">
        <v>17</v>
      </c>
      <c r="IE24" s="15">
        <v>906</v>
      </c>
      <c r="IF24" s="14">
        <v>43774</v>
      </c>
      <c r="IG24" s="15">
        <v>906</v>
      </c>
      <c r="IH24" s="35" t="s">
        <v>434</v>
      </c>
      <c r="II24" s="18">
        <v>42</v>
      </c>
      <c r="IL24" s="2"/>
      <c r="IM24" s="16"/>
      <c r="IN24" s="7"/>
      <c r="IO24" s="400"/>
      <c r="IP24" s="7"/>
      <c r="IQ24" s="60"/>
      <c r="IR24" s="18"/>
      <c r="IU24" s="2"/>
      <c r="IV24" s="16"/>
      <c r="IW24" s="15"/>
      <c r="IX24" s="14"/>
      <c r="IY24" s="15"/>
      <c r="IZ24" s="32"/>
      <c r="JA24" s="18"/>
      <c r="JD24" s="2"/>
      <c r="JE24" s="16"/>
      <c r="JF24" s="15"/>
      <c r="JG24" s="14"/>
      <c r="JH24" s="15"/>
      <c r="JI24" s="32"/>
      <c r="JJ24" s="18"/>
      <c r="JM24" s="2"/>
      <c r="JN24" s="16"/>
      <c r="JO24" s="15"/>
      <c r="JP24" s="14"/>
      <c r="JQ24" s="15"/>
      <c r="JR24" s="32"/>
      <c r="JS24" s="18"/>
      <c r="JV24" s="2"/>
      <c r="JW24" s="16"/>
      <c r="JX24" s="15"/>
      <c r="JY24" s="14"/>
      <c r="JZ24" s="15"/>
      <c r="KA24" s="32"/>
      <c r="KB24" s="18"/>
      <c r="KE24" s="2"/>
      <c r="KF24" s="16"/>
      <c r="KG24" s="15"/>
      <c r="KH24" s="14"/>
      <c r="KI24" s="15"/>
      <c r="KJ24" s="32"/>
      <c r="KK24" s="18"/>
      <c r="KN24" s="2"/>
      <c r="KO24" s="16">
        <v>17</v>
      </c>
      <c r="KP24" s="152"/>
      <c r="KQ24" s="85"/>
      <c r="KR24" s="152"/>
      <c r="KS24" s="101"/>
      <c r="KT24" s="83"/>
      <c r="KW24" s="2"/>
      <c r="KX24" s="16">
        <v>17</v>
      </c>
      <c r="KY24" s="152"/>
      <c r="KZ24" s="14"/>
      <c r="LA24" s="152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52"/>
      <c r="LR24" s="14"/>
      <c r="LS24" s="498"/>
      <c r="LT24" s="499"/>
      <c r="LU24" s="18"/>
      <c r="LX24" s="2"/>
      <c r="LY24" s="16"/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2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5"/>
      <c r="RP24" s="306"/>
      <c r="RQ24" s="307"/>
      <c r="RR24" s="308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SAM FARMS LLC</v>
      </c>
      <c r="C25" s="18" t="str">
        <f t="shared" si="21"/>
        <v>Seaboard</v>
      </c>
      <c r="D25" s="56" t="str">
        <f t="shared" si="21"/>
        <v>PED. 44003408</v>
      </c>
      <c r="E25" s="124">
        <f t="shared" si="21"/>
        <v>43769</v>
      </c>
      <c r="F25" s="58">
        <f t="shared" si="21"/>
        <v>19010.080000000002</v>
      </c>
      <c r="G25" s="13">
        <f t="shared" si="21"/>
        <v>21</v>
      </c>
      <c r="H25" s="52">
        <f t="shared" si="21"/>
        <v>19080.419999999998</v>
      </c>
      <c r="I25" s="6">
        <f t="shared" si="21"/>
        <v>-70.339999999996508</v>
      </c>
      <c r="L25" s="136"/>
      <c r="M25" s="16">
        <v>18</v>
      </c>
      <c r="N25" s="152">
        <v>949.66</v>
      </c>
      <c r="O25" s="85">
        <v>43746</v>
      </c>
      <c r="P25" s="152">
        <v>949.66</v>
      </c>
      <c r="Q25" s="101" t="s">
        <v>212</v>
      </c>
      <c r="R25" s="83">
        <v>34.5</v>
      </c>
      <c r="U25" s="136"/>
      <c r="V25" s="16">
        <v>18</v>
      </c>
      <c r="W25" s="152">
        <v>974.15</v>
      </c>
      <c r="X25" s="14">
        <v>43746</v>
      </c>
      <c r="Y25" s="152">
        <v>974.15</v>
      </c>
      <c r="Z25" s="32" t="s">
        <v>211</v>
      </c>
      <c r="AA25" s="18">
        <v>34.5</v>
      </c>
      <c r="AD25" s="136"/>
      <c r="AE25" s="16">
        <v>18</v>
      </c>
      <c r="AF25" s="15">
        <v>907</v>
      </c>
      <c r="AG25" s="14">
        <v>43746</v>
      </c>
      <c r="AH25" s="15">
        <v>907</v>
      </c>
      <c r="AI25" s="32" t="s">
        <v>206</v>
      </c>
      <c r="AJ25" s="18">
        <v>34.5</v>
      </c>
      <c r="AM25" s="136"/>
      <c r="AN25" s="16">
        <v>18</v>
      </c>
      <c r="AO25" s="152">
        <v>899.5</v>
      </c>
      <c r="AP25" s="119">
        <v>43748</v>
      </c>
      <c r="AQ25" s="152">
        <v>899.5</v>
      </c>
      <c r="AR25" s="137" t="s">
        <v>220</v>
      </c>
      <c r="AS25" s="91">
        <v>34.5</v>
      </c>
      <c r="AV25" s="136"/>
      <c r="AW25" s="16">
        <v>18</v>
      </c>
      <c r="AX25" s="15">
        <v>902.04</v>
      </c>
      <c r="AY25" s="85">
        <v>43749</v>
      </c>
      <c r="AZ25" s="15">
        <v>902.04</v>
      </c>
      <c r="BA25" s="101" t="s">
        <v>228</v>
      </c>
      <c r="BB25" s="312">
        <v>34.5</v>
      </c>
      <c r="BE25" s="136"/>
      <c r="BF25" s="16">
        <v>18</v>
      </c>
      <c r="BG25" s="15">
        <v>850.5</v>
      </c>
      <c r="BH25" s="85">
        <v>43750</v>
      </c>
      <c r="BI25" s="15">
        <v>850.5</v>
      </c>
      <c r="BJ25" s="101" t="s">
        <v>230</v>
      </c>
      <c r="BK25" s="312">
        <v>34.5</v>
      </c>
      <c r="BN25" s="136"/>
      <c r="BO25" s="16">
        <v>18</v>
      </c>
      <c r="BP25" s="15">
        <v>905</v>
      </c>
      <c r="BQ25" s="305">
        <v>43754</v>
      </c>
      <c r="BR25" s="15">
        <v>905</v>
      </c>
      <c r="BS25" s="307" t="s">
        <v>287</v>
      </c>
      <c r="BT25" s="308">
        <v>34.5</v>
      </c>
      <c r="BW25" s="136"/>
      <c r="BX25" s="16">
        <v>18</v>
      </c>
      <c r="BY25" s="15">
        <v>904.5</v>
      </c>
      <c r="BZ25" s="305">
        <v>43753</v>
      </c>
      <c r="CA25" s="15">
        <v>904.5</v>
      </c>
      <c r="CB25" s="307" t="s">
        <v>281</v>
      </c>
      <c r="CC25" s="308">
        <v>34.5</v>
      </c>
      <c r="CF25" s="136"/>
      <c r="CG25" s="16">
        <v>18</v>
      </c>
      <c r="CH25" s="15">
        <v>956.01</v>
      </c>
      <c r="CI25" s="305">
        <v>43753</v>
      </c>
      <c r="CJ25" s="15">
        <v>956.01</v>
      </c>
      <c r="CK25" s="307" t="s">
        <v>283</v>
      </c>
      <c r="CL25" s="308">
        <v>34.5</v>
      </c>
      <c r="CO25" s="136"/>
      <c r="CP25" s="16">
        <v>18</v>
      </c>
      <c r="CQ25" s="15">
        <v>923.06</v>
      </c>
      <c r="CR25" s="14">
        <v>43754</v>
      </c>
      <c r="CS25" s="15">
        <v>923.06</v>
      </c>
      <c r="CT25" s="32" t="s">
        <v>293</v>
      </c>
      <c r="CU25" s="18">
        <v>35</v>
      </c>
      <c r="CX25" s="136"/>
      <c r="CY25" s="16">
        <v>18</v>
      </c>
      <c r="CZ25" s="15">
        <v>953.29</v>
      </c>
      <c r="DA25" s="305">
        <v>43754</v>
      </c>
      <c r="DB25" s="15">
        <v>953.29</v>
      </c>
      <c r="DC25" s="307" t="s">
        <v>290</v>
      </c>
      <c r="DD25" s="308">
        <v>35</v>
      </c>
      <c r="DG25" s="136"/>
      <c r="DH25" s="16">
        <v>18</v>
      </c>
      <c r="DI25" s="15">
        <v>902</v>
      </c>
      <c r="DJ25" s="305">
        <v>43756</v>
      </c>
      <c r="DK25" s="15">
        <v>902</v>
      </c>
      <c r="DL25" s="307" t="s">
        <v>299</v>
      </c>
      <c r="DM25" s="308">
        <v>35</v>
      </c>
      <c r="DP25" s="136"/>
      <c r="DQ25" s="16">
        <v>18</v>
      </c>
      <c r="DR25" s="7">
        <v>938.32</v>
      </c>
      <c r="DS25" s="47">
        <v>43760</v>
      </c>
      <c r="DT25" s="7">
        <v>938.32</v>
      </c>
      <c r="DU25" s="60" t="s">
        <v>327</v>
      </c>
      <c r="DV25" s="18">
        <v>39</v>
      </c>
      <c r="DY25" s="136"/>
      <c r="DZ25" s="16">
        <v>18</v>
      </c>
      <c r="EA25" s="7">
        <v>950.72</v>
      </c>
      <c r="EB25" s="47">
        <v>43761</v>
      </c>
      <c r="EC25" s="7">
        <v>950.72</v>
      </c>
      <c r="ED25" s="611" t="s">
        <v>371</v>
      </c>
      <c r="EE25" s="18">
        <v>39</v>
      </c>
      <c r="EH25" s="136"/>
      <c r="EI25" s="16">
        <v>18</v>
      </c>
      <c r="EJ25" s="15">
        <v>949.36</v>
      </c>
      <c r="EK25" s="14">
        <v>43762</v>
      </c>
      <c r="EL25" s="723">
        <v>949.36</v>
      </c>
      <c r="EM25" s="35" t="s">
        <v>374</v>
      </c>
      <c r="EN25" s="18">
        <v>39</v>
      </c>
      <c r="EQ25" s="136"/>
      <c r="ER25" s="16">
        <v>18</v>
      </c>
      <c r="ES25" s="15">
        <v>904.5</v>
      </c>
      <c r="ET25" s="14">
        <v>43761</v>
      </c>
      <c r="EU25" s="15">
        <v>904.5</v>
      </c>
      <c r="EV25" s="35" t="s">
        <v>329</v>
      </c>
      <c r="EW25" s="18">
        <v>39</v>
      </c>
      <c r="EZ25" s="136"/>
      <c r="FA25" s="16">
        <v>18</v>
      </c>
      <c r="FB25" s="134">
        <v>903.5</v>
      </c>
      <c r="FC25" s="119">
        <v>43767</v>
      </c>
      <c r="FD25" s="134">
        <v>903.5</v>
      </c>
      <c r="FE25" s="90" t="s">
        <v>387</v>
      </c>
      <c r="FF25" s="91">
        <v>41</v>
      </c>
      <c r="FI25" s="136"/>
      <c r="FJ25" s="16">
        <v>18</v>
      </c>
      <c r="FK25" s="7">
        <v>882.99</v>
      </c>
      <c r="FL25" s="47">
        <v>43768</v>
      </c>
      <c r="FM25" s="7">
        <v>882.99</v>
      </c>
      <c r="FN25" s="60" t="s">
        <v>382</v>
      </c>
      <c r="FO25" s="18">
        <v>41</v>
      </c>
      <c r="FR25" s="136"/>
      <c r="FS25" s="16">
        <v>18</v>
      </c>
      <c r="FT25" s="15">
        <v>969.8</v>
      </c>
      <c r="FU25" s="119">
        <v>43769</v>
      </c>
      <c r="FV25" s="134">
        <v>969.8</v>
      </c>
      <c r="FW25" s="137" t="s">
        <v>398</v>
      </c>
      <c r="FX25" s="91">
        <v>41</v>
      </c>
      <c r="GA25" s="136"/>
      <c r="GB25" s="16">
        <v>18</v>
      </c>
      <c r="GC25" s="15">
        <v>917.61</v>
      </c>
      <c r="GD25" s="14">
        <v>43771</v>
      </c>
      <c r="GE25" s="496">
        <v>917.61</v>
      </c>
      <c r="GF25" s="32" t="s">
        <v>414</v>
      </c>
      <c r="GG25" s="18">
        <v>41</v>
      </c>
      <c r="GI25"/>
      <c r="GJ25" s="136"/>
      <c r="GK25" s="16">
        <v>18</v>
      </c>
      <c r="GL25" s="15">
        <v>925.32</v>
      </c>
      <c r="GM25" s="14">
        <v>43768</v>
      </c>
      <c r="GN25" s="15">
        <v>925.32</v>
      </c>
      <c r="GO25" s="32" t="s">
        <v>397</v>
      </c>
      <c r="GP25" s="18">
        <v>41</v>
      </c>
      <c r="GS25" s="405"/>
      <c r="GT25" s="16">
        <v>18</v>
      </c>
      <c r="GU25" s="15">
        <v>917.63</v>
      </c>
      <c r="GV25" s="14">
        <v>43771</v>
      </c>
      <c r="GW25" s="15">
        <v>917.63</v>
      </c>
      <c r="GX25" s="239" t="s">
        <v>423</v>
      </c>
      <c r="GY25" s="18">
        <v>41</v>
      </c>
      <c r="HB25" s="136"/>
      <c r="HC25" s="16">
        <v>18</v>
      </c>
      <c r="HD25" s="7">
        <v>935.3</v>
      </c>
      <c r="HE25" s="47">
        <v>43771</v>
      </c>
      <c r="HF25" s="7">
        <v>935.3</v>
      </c>
      <c r="HG25" s="60" t="s">
        <v>415</v>
      </c>
      <c r="HH25" s="18">
        <v>41</v>
      </c>
      <c r="HK25" s="136"/>
      <c r="HL25" s="16">
        <v>18</v>
      </c>
      <c r="HM25" s="15">
        <v>902</v>
      </c>
      <c r="HN25" s="14">
        <v>43770</v>
      </c>
      <c r="HO25" s="15">
        <v>902</v>
      </c>
      <c r="HP25" s="393" t="s">
        <v>410</v>
      </c>
      <c r="HQ25" s="18">
        <v>41</v>
      </c>
      <c r="HS25" s="7"/>
      <c r="HT25" s="136"/>
      <c r="HU25" s="16">
        <v>18</v>
      </c>
      <c r="HV25" s="15">
        <v>924.72</v>
      </c>
      <c r="HW25" s="47"/>
      <c r="HX25" s="15"/>
      <c r="HY25" s="60"/>
      <c r="HZ25" s="18"/>
      <c r="IC25" s="136"/>
      <c r="ID25" s="16">
        <v>18</v>
      </c>
      <c r="IE25" s="15">
        <v>899.5</v>
      </c>
      <c r="IF25" s="14">
        <v>43774</v>
      </c>
      <c r="IG25" s="15">
        <v>899.5</v>
      </c>
      <c r="IH25" s="35" t="s">
        <v>434</v>
      </c>
      <c r="II25" s="18">
        <v>42</v>
      </c>
      <c r="IL25" s="136"/>
      <c r="IM25" s="16"/>
      <c r="IN25" s="7"/>
      <c r="IO25" s="400"/>
      <c r="IP25" s="7"/>
      <c r="IQ25" s="60"/>
      <c r="IR25" s="18"/>
      <c r="IU25" s="136"/>
      <c r="IV25" s="16"/>
      <c r="IW25" s="15"/>
      <c r="IX25" s="14"/>
      <c r="IY25" s="15"/>
      <c r="IZ25" s="32"/>
      <c r="JA25" s="18"/>
      <c r="JD25" s="136"/>
      <c r="JE25" s="16"/>
      <c r="JF25" s="15"/>
      <c r="JG25" s="14"/>
      <c r="JH25" s="15"/>
      <c r="JI25" s="32"/>
      <c r="JJ25" s="18"/>
      <c r="JM25" s="136"/>
      <c r="JN25" s="16"/>
      <c r="JO25" s="15"/>
      <c r="JP25" s="14"/>
      <c r="JQ25" s="15"/>
      <c r="JR25" s="32"/>
      <c r="JS25" s="18"/>
      <c r="JV25" s="136"/>
      <c r="JW25" s="16"/>
      <c r="JX25" s="15"/>
      <c r="JY25" s="14"/>
      <c r="JZ25" s="15"/>
      <c r="KA25" s="32"/>
      <c r="KB25" s="18"/>
      <c r="KE25" s="136"/>
      <c r="KF25" s="16"/>
      <c r="KG25" s="15"/>
      <c r="KH25" s="14"/>
      <c r="KI25" s="15"/>
      <c r="KJ25" s="32"/>
      <c r="KK25" s="18"/>
      <c r="KN25" s="136"/>
      <c r="KO25" s="16">
        <v>18</v>
      </c>
      <c r="KP25" s="152"/>
      <c r="KQ25" s="85"/>
      <c r="KR25" s="152"/>
      <c r="KS25" s="101"/>
      <c r="KT25" s="83"/>
      <c r="KW25" s="136"/>
      <c r="KX25" s="16">
        <v>18</v>
      </c>
      <c r="KY25" s="152"/>
      <c r="KZ25" s="14"/>
      <c r="LA25" s="152"/>
      <c r="LB25" s="32"/>
      <c r="LC25" s="18"/>
      <c r="LF25" s="136"/>
      <c r="LG25" s="16"/>
      <c r="LH25" s="15"/>
      <c r="LI25" s="14"/>
      <c r="LJ25" s="15"/>
      <c r="LK25" s="32"/>
      <c r="LL25" s="18"/>
      <c r="LO25" s="136"/>
      <c r="LP25" s="16"/>
      <c r="LQ25" s="152"/>
      <c r="LR25" s="14"/>
      <c r="LS25" s="498"/>
      <c r="LT25" s="499"/>
      <c r="LU25" s="18"/>
      <c r="LX25" s="136"/>
      <c r="LY25" s="16"/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2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5"/>
      <c r="RP25" s="306"/>
      <c r="RQ25" s="307"/>
      <c r="RR25" s="308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 xml:space="preserve">ARCH MEAT SA DE CV </v>
      </c>
      <c r="C26" t="str">
        <f t="shared" si="22"/>
        <v>Seaboard</v>
      </c>
      <c r="D26" s="56" t="str">
        <f t="shared" si="22"/>
        <v>PED. 43957796</v>
      </c>
      <c r="E26" s="124">
        <f t="shared" si="22"/>
        <v>43769</v>
      </c>
      <c r="F26" s="58">
        <f t="shared" si="22"/>
        <v>18592.689999999999</v>
      </c>
      <c r="G26" s="13">
        <f t="shared" si="22"/>
        <v>21</v>
      </c>
      <c r="H26" s="52">
        <f t="shared" si="22"/>
        <v>18720.400000000001</v>
      </c>
      <c r="I26" s="6">
        <f t="shared" si="22"/>
        <v>-127.71000000000276</v>
      </c>
      <c r="L26" s="2"/>
      <c r="M26" s="16">
        <v>19</v>
      </c>
      <c r="N26" s="152">
        <v>946.49</v>
      </c>
      <c r="O26" s="85">
        <v>43746</v>
      </c>
      <c r="P26" s="152">
        <v>946.49</v>
      </c>
      <c r="Q26" s="101" t="s">
        <v>212</v>
      </c>
      <c r="R26" s="83">
        <v>34.5</v>
      </c>
      <c r="U26" s="2"/>
      <c r="V26" s="16">
        <v>19</v>
      </c>
      <c r="W26" s="152">
        <v>920.18</v>
      </c>
      <c r="X26" s="14">
        <v>43746</v>
      </c>
      <c r="Y26" s="152">
        <v>920.18</v>
      </c>
      <c r="Z26" s="32" t="s">
        <v>211</v>
      </c>
      <c r="AA26" s="18">
        <v>34.5</v>
      </c>
      <c r="AD26" s="2"/>
      <c r="AE26" s="16">
        <v>19</v>
      </c>
      <c r="AF26" s="15">
        <v>893</v>
      </c>
      <c r="AG26" s="14">
        <v>43746</v>
      </c>
      <c r="AH26" s="15">
        <v>893</v>
      </c>
      <c r="AI26" s="32" t="s">
        <v>206</v>
      </c>
      <c r="AJ26" s="18">
        <v>34.5</v>
      </c>
      <c r="AM26" s="2"/>
      <c r="AN26" s="16">
        <v>19</v>
      </c>
      <c r="AO26" s="152">
        <v>600.5</v>
      </c>
      <c r="AP26" s="119">
        <v>43748</v>
      </c>
      <c r="AQ26" s="152">
        <v>600.5</v>
      </c>
      <c r="AR26" s="137" t="s">
        <v>220</v>
      </c>
      <c r="AS26" s="91">
        <v>34.5</v>
      </c>
      <c r="AV26" s="2"/>
      <c r="AW26" s="16">
        <v>19</v>
      </c>
      <c r="AX26" s="15">
        <v>961</v>
      </c>
      <c r="AY26" s="85">
        <v>43749</v>
      </c>
      <c r="AZ26" s="15">
        <v>961</v>
      </c>
      <c r="BA26" s="101" t="s">
        <v>228</v>
      </c>
      <c r="BB26" s="312">
        <v>34.5</v>
      </c>
      <c r="BE26" s="2"/>
      <c r="BF26" s="16">
        <v>19</v>
      </c>
      <c r="BG26" s="15">
        <v>819.5</v>
      </c>
      <c r="BH26" s="85">
        <v>43750</v>
      </c>
      <c r="BI26" s="15">
        <v>819.5</v>
      </c>
      <c r="BJ26" s="101" t="s">
        <v>230</v>
      </c>
      <c r="BK26" s="312">
        <v>34.5</v>
      </c>
      <c r="BN26" s="2"/>
      <c r="BO26" s="16">
        <v>19</v>
      </c>
      <c r="BP26" s="15">
        <v>905.5</v>
      </c>
      <c r="BQ26" s="305">
        <v>43754</v>
      </c>
      <c r="BR26" s="15">
        <v>905.5</v>
      </c>
      <c r="BS26" s="307" t="s">
        <v>287</v>
      </c>
      <c r="BT26" s="308">
        <v>34.5</v>
      </c>
      <c r="BW26" s="2"/>
      <c r="BX26" s="16">
        <v>19</v>
      </c>
      <c r="BY26" s="15">
        <v>903</v>
      </c>
      <c r="BZ26" s="305">
        <v>43753</v>
      </c>
      <c r="CA26" s="15">
        <v>903</v>
      </c>
      <c r="CB26" s="307" t="s">
        <v>281</v>
      </c>
      <c r="CC26" s="308">
        <v>34.5</v>
      </c>
      <c r="CF26" s="2"/>
      <c r="CG26" s="16">
        <v>19</v>
      </c>
      <c r="CH26" s="15">
        <v>949.66</v>
      </c>
      <c r="CI26" s="305">
        <v>43753</v>
      </c>
      <c r="CJ26" s="15">
        <v>949.66</v>
      </c>
      <c r="CK26" s="307" t="s">
        <v>283</v>
      </c>
      <c r="CL26" s="308">
        <v>34.5</v>
      </c>
      <c r="CO26" s="2"/>
      <c r="CP26" s="16">
        <v>19</v>
      </c>
      <c r="CQ26" s="15">
        <v>948.91</v>
      </c>
      <c r="CR26" s="14">
        <v>43754</v>
      </c>
      <c r="CS26" s="15">
        <v>948.91</v>
      </c>
      <c r="CT26" s="32" t="s">
        <v>293</v>
      </c>
      <c r="CU26" s="18">
        <v>35</v>
      </c>
      <c r="CX26" s="2"/>
      <c r="CY26" s="16">
        <v>19</v>
      </c>
      <c r="CZ26" s="15">
        <v>975.06</v>
      </c>
      <c r="DA26" s="305">
        <v>43754</v>
      </c>
      <c r="DB26" s="15">
        <v>975.06</v>
      </c>
      <c r="DC26" s="307" t="s">
        <v>290</v>
      </c>
      <c r="DD26" s="308">
        <v>35</v>
      </c>
      <c r="DG26" s="2"/>
      <c r="DH26" s="16">
        <v>19</v>
      </c>
      <c r="DI26" s="15">
        <v>858</v>
      </c>
      <c r="DJ26" s="305">
        <v>43756</v>
      </c>
      <c r="DK26" s="15">
        <v>858</v>
      </c>
      <c r="DL26" s="307" t="s">
        <v>299</v>
      </c>
      <c r="DM26" s="308">
        <v>35</v>
      </c>
      <c r="DP26" s="2"/>
      <c r="DQ26" s="16">
        <v>19</v>
      </c>
      <c r="DR26" s="7">
        <v>920.18</v>
      </c>
      <c r="DS26" s="47">
        <v>43760</v>
      </c>
      <c r="DT26" s="7">
        <v>920.18</v>
      </c>
      <c r="DU26" s="60" t="s">
        <v>327</v>
      </c>
      <c r="DV26" s="18">
        <v>39</v>
      </c>
      <c r="DY26" s="2"/>
      <c r="DZ26" s="16">
        <v>19</v>
      </c>
      <c r="EA26" s="7">
        <v>913.08</v>
      </c>
      <c r="EB26" s="47">
        <v>43761</v>
      </c>
      <c r="EC26" s="7">
        <v>913.08</v>
      </c>
      <c r="ED26" s="611" t="s">
        <v>371</v>
      </c>
      <c r="EE26" s="18">
        <v>39</v>
      </c>
      <c r="EH26" s="2"/>
      <c r="EI26" s="16">
        <v>19</v>
      </c>
      <c r="EJ26" s="15">
        <v>942.11</v>
      </c>
      <c r="EK26" s="14">
        <v>43762</v>
      </c>
      <c r="EL26" s="723">
        <v>942.11</v>
      </c>
      <c r="EM26" s="35" t="s">
        <v>374</v>
      </c>
      <c r="EN26" s="18">
        <v>39</v>
      </c>
      <c r="EQ26" s="2"/>
      <c r="ER26" s="16">
        <v>19</v>
      </c>
      <c r="ES26" s="15">
        <v>882</v>
      </c>
      <c r="ET26" s="14">
        <v>43761</v>
      </c>
      <c r="EU26" s="15">
        <v>882</v>
      </c>
      <c r="EV26" s="35" t="s">
        <v>329</v>
      </c>
      <c r="EW26" s="18">
        <v>39</v>
      </c>
      <c r="EZ26" s="2"/>
      <c r="FA26" s="16">
        <v>19</v>
      </c>
      <c r="FB26" s="134">
        <v>847.5</v>
      </c>
      <c r="FC26" s="119">
        <v>43767</v>
      </c>
      <c r="FD26" s="134">
        <v>847.5</v>
      </c>
      <c r="FE26" s="90" t="s">
        <v>387</v>
      </c>
      <c r="FF26" s="91">
        <v>41</v>
      </c>
      <c r="FI26" s="2"/>
      <c r="FJ26" s="16">
        <v>19</v>
      </c>
      <c r="FK26" s="7">
        <v>850.34</v>
      </c>
      <c r="FL26" s="47">
        <v>43768</v>
      </c>
      <c r="FM26" s="7">
        <v>850.34</v>
      </c>
      <c r="FN26" s="60" t="s">
        <v>394</v>
      </c>
      <c r="FO26" s="18">
        <v>41</v>
      </c>
      <c r="FR26" s="2"/>
      <c r="FS26" s="16">
        <v>19</v>
      </c>
      <c r="FT26" s="15">
        <v>933.5</v>
      </c>
      <c r="FU26" s="119">
        <v>43769</v>
      </c>
      <c r="FV26" s="134">
        <v>933.5</v>
      </c>
      <c r="FW26" s="137" t="s">
        <v>398</v>
      </c>
      <c r="FX26" s="91">
        <v>41</v>
      </c>
      <c r="GA26" s="2"/>
      <c r="GB26" s="16">
        <v>19</v>
      </c>
      <c r="GC26" s="15">
        <v>940.29</v>
      </c>
      <c r="GD26" s="14">
        <v>43771</v>
      </c>
      <c r="GE26" s="496">
        <v>940.29</v>
      </c>
      <c r="GF26" s="32" t="s">
        <v>414</v>
      </c>
      <c r="GG26" s="18">
        <v>41</v>
      </c>
      <c r="GI26"/>
      <c r="GJ26" s="2"/>
      <c r="GK26" s="16">
        <v>19</v>
      </c>
      <c r="GL26" s="15">
        <v>941.65</v>
      </c>
      <c r="GM26" s="14">
        <v>43768</v>
      </c>
      <c r="GN26" s="15">
        <v>941.65</v>
      </c>
      <c r="GO26" s="32" t="s">
        <v>397</v>
      </c>
      <c r="GP26" s="18">
        <v>41</v>
      </c>
      <c r="GS26" s="405"/>
      <c r="GT26" s="16">
        <v>19</v>
      </c>
      <c r="GU26" s="15">
        <v>914</v>
      </c>
      <c r="GV26" s="14">
        <v>43771</v>
      </c>
      <c r="GW26" s="15">
        <v>914</v>
      </c>
      <c r="GX26" s="239" t="s">
        <v>421</v>
      </c>
      <c r="GY26" s="18">
        <v>41</v>
      </c>
      <c r="HB26" s="2"/>
      <c r="HC26" s="16">
        <v>19</v>
      </c>
      <c r="HD26" s="7">
        <v>880.4</v>
      </c>
      <c r="HE26" s="47">
        <v>43771</v>
      </c>
      <c r="HF26" s="7">
        <v>880.4</v>
      </c>
      <c r="HG26" s="60" t="s">
        <v>419</v>
      </c>
      <c r="HH26" s="18">
        <v>41</v>
      </c>
      <c r="HK26" s="2"/>
      <c r="HL26" s="16">
        <v>19</v>
      </c>
      <c r="HM26" s="15">
        <v>902.5</v>
      </c>
      <c r="HN26" s="14">
        <v>43770</v>
      </c>
      <c r="HO26" s="15">
        <v>902.5</v>
      </c>
      <c r="HP26" s="393" t="s">
        <v>410</v>
      </c>
      <c r="HQ26" s="18">
        <v>41</v>
      </c>
      <c r="HS26" s="7"/>
      <c r="HT26" s="2"/>
      <c r="HU26" s="16">
        <v>19</v>
      </c>
      <c r="HV26" s="15">
        <v>923.36</v>
      </c>
      <c r="HW26" s="47"/>
      <c r="HX26" s="15"/>
      <c r="HY26" s="60"/>
      <c r="HZ26" s="18"/>
      <c r="IC26" s="2"/>
      <c r="ID26" s="16">
        <v>19</v>
      </c>
      <c r="IE26" s="15">
        <v>875.5</v>
      </c>
      <c r="IF26" s="14">
        <v>43774</v>
      </c>
      <c r="IG26" s="15">
        <v>875.5</v>
      </c>
      <c r="IH26" s="35" t="s">
        <v>434</v>
      </c>
      <c r="II26" s="18">
        <v>42</v>
      </c>
      <c r="IL26" s="2"/>
      <c r="IM26" s="16"/>
      <c r="IN26" s="7"/>
      <c r="IO26" s="400"/>
      <c r="IP26" s="7"/>
      <c r="IQ26" s="60"/>
      <c r="IR26" s="18"/>
      <c r="IU26" s="2"/>
      <c r="IV26" s="16"/>
      <c r="IW26" s="15"/>
      <c r="IX26" s="14"/>
      <c r="IY26" s="15"/>
      <c r="IZ26" s="32"/>
      <c r="JA26" s="18"/>
      <c r="JD26" s="2"/>
      <c r="JE26" s="16"/>
      <c r="JF26" s="15"/>
      <c r="JG26" s="14"/>
      <c r="JH26" s="15"/>
      <c r="JI26" s="32"/>
      <c r="JJ26" s="18"/>
      <c r="JM26" s="2"/>
      <c r="JN26" s="16"/>
      <c r="JO26" s="15"/>
      <c r="JP26" s="14"/>
      <c r="JQ26" s="15"/>
      <c r="JR26" s="32"/>
      <c r="JS26" s="18"/>
      <c r="JV26" s="2"/>
      <c r="JW26" s="16"/>
      <c r="JX26" s="15"/>
      <c r="JY26" s="14"/>
      <c r="JZ26" s="15"/>
      <c r="KA26" s="32"/>
      <c r="KB26" s="18"/>
      <c r="KE26" s="2"/>
      <c r="KF26" s="16"/>
      <c r="KG26" s="15"/>
      <c r="KH26" s="14"/>
      <c r="KI26" s="15"/>
      <c r="KJ26" s="32"/>
      <c r="KK26" s="18"/>
      <c r="KN26" s="2"/>
      <c r="KO26" s="16">
        <v>19</v>
      </c>
      <c r="KP26" s="152"/>
      <c r="KQ26" s="85"/>
      <c r="KR26" s="152"/>
      <c r="KS26" s="101"/>
      <c r="KT26" s="83"/>
      <c r="KW26" s="2"/>
      <c r="KX26" s="16">
        <v>19</v>
      </c>
      <c r="KY26" s="152"/>
      <c r="KZ26" s="14"/>
      <c r="LA26" s="152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52"/>
      <c r="LR26" s="14"/>
      <c r="LS26" s="498"/>
      <c r="LT26" s="499"/>
      <c r="LU26" s="18"/>
      <c r="LX26" s="2"/>
      <c r="LY26" s="16"/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2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5"/>
      <c r="RP26" s="306"/>
      <c r="RQ26" s="307"/>
      <c r="RR26" s="308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IDEAL TRADING</v>
      </c>
      <c r="C27" t="str">
        <f t="shared" si="23"/>
        <v>SIOUX</v>
      </c>
      <c r="D27" s="56" t="str">
        <f t="shared" si="23"/>
        <v>PED. 44067963</v>
      </c>
      <c r="E27" s="124">
        <f t="shared" si="23"/>
        <v>43770</v>
      </c>
      <c r="F27" s="58">
        <f t="shared" si="23"/>
        <v>18777.87</v>
      </c>
      <c r="G27" s="13">
        <f t="shared" si="23"/>
        <v>21</v>
      </c>
      <c r="H27" s="52">
        <f t="shared" si="23"/>
        <v>18871.5</v>
      </c>
      <c r="I27" s="6">
        <f t="shared" si="23"/>
        <v>-93.630000000001019</v>
      </c>
      <c r="L27" s="2"/>
      <c r="M27" s="16">
        <v>20</v>
      </c>
      <c r="N27" s="152">
        <v>980.05</v>
      </c>
      <c r="O27" s="85">
        <v>43746</v>
      </c>
      <c r="P27" s="152">
        <v>980.05</v>
      </c>
      <c r="Q27" s="101" t="s">
        <v>212</v>
      </c>
      <c r="R27" s="83">
        <v>34.5</v>
      </c>
      <c r="U27" s="2"/>
      <c r="V27" s="16">
        <v>20</v>
      </c>
      <c r="W27" s="152">
        <v>995.01</v>
      </c>
      <c r="X27" s="14">
        <v>43746</v>
      </c>
      <c r="Y27" s="152">
        <v>995.01</v>
      </c>
      <c r="Z27" s="32" t="s">
        <v>211</v>
      </c>
      <c r="AA27" s="18">
        <v>34.5</v>
      </c>
      <c r="AD27" s="2"/>
      <c r="AE27" s="16">
        <v>20</v>
      </c>
      <c r="AF27" s="15">
        <v>890.5</v>
      </c>
      <c r="AG27" s="14">
        <v>43746</v>
      </c>
      <c r="AH27" s="15">
        <v>890.5</v>
      </c>
      <c r="AI27" s="32" t="s">
        <v>206</v>
      </c>
      <c r="AJ27" s="18">
        <v>34.5</v>
      </c>
      <c r="AM27" s="2"/>
      <c r="AN27" s="16">
        <v>20</v>
      </c>
      <c r="AO27" s="152">
        <v>904.5</v>
      </c>
      <c r="AP27" s="119">
        <v>43748</v>
      </c>
      <c r="AQ27" s="152">
        <v>904.5</v>
      </c>
      <c r="AR27" s="137" t="s">
        <v>220</v>
      </c>
      <c r="AS27" s="91">
        <v>34.5</v>
      </c>
      <c r="AV27" s="2"/>
      <c r="AW27" s="16">
        <v>20</v>
      </c>
      <c r="AX27" s="15">
        <v>973.24</v>
      </c>
      <c r="AY27" s="85">
        <v>43749</v>
      </c>
      <c r="AZ27" s="15">
        <v>973.24</v>
      </c>
      <c r="BA27" s="101" t="s">
        <v>228</v>
      </c>
      <c r="BB27" s="312">
        <v>34.5</v>
      </c>
      <c r="BE27" s="2"/>
      <c r="BF27" s="16">
        <v>20</v>
      </c>
      <c r="BG27" s="15">
        <v>860</v>
      </c>
      <c r="BH27" s="85">
        <v>43750</v>
      </c>
      <c r="BI27" s="15">
        <v>860</v>
      </c>
      <c r="BJ27" s="101" t="s">
        <v>230</v>
      </c>
      <c r="BK27" s="312">
        <v>34.5</v>
      </c>
      <c r="BN27" s="2"/>
      <c r="BO27" s="16">
        <v>20</v>
      </c>
      <c r="BP27" s="15">
        <v>875.5</v>
      </c>
      <c r="BQ27" s="305">
        <v>43754</v>
      </c>
      <c r="BR27" s="15">
        <v>875.5</v>
      </c>
      <c r="BS27" s="307" t="s">
        <v>287</v>
      </c>
      <c r="BT27" s="308">
        <v>34.5</v>
      </c>
      <c r="BW27" s="2"/>
      <c r="BX27" s="16">
        <v>20</v>
      </c>
      <c r="BY27" s="15">
        <v>866.5</v>
      </c>
      <c r="BZ27" s="305">
        <v>43753</v>
      </c>
      <c r="CA27" s="15">
        <v>866.5</v>
      </c>
      <c r="CB27" s="307" t="s">
        <v>281</v>
      </c>
      <c r="CC27" s="308">
        <v>34.5</v>
      </c>
      <c r="CF27" s="2"/>
      <c r="CG27" s="16">
        <v>20</v>
      </c>
      <c r="CH27" s="15">
        <v>965.99</v>
      </c>
      <c r="CI27" s="305">
        <v>43753</v>
      </c>
      <c r="CJ27" s="15">
        <v>965.99</v>
      </c>
      <c r="CK27" s="307" t="s">
        <v>283</v>
      </c>
      <c r="CL27" s="308">
        <v>34.5</v>
      </c>
      <c r="CO27" s="2"/>
      <c r="CP27" s="16">
        <v>20</v>
      </c>
      <c r="CQ27" s="15">
        <v>921.24</v>
      </c>
      <c r="CR27" s="14">
        <v>43754</v>
      </c>
      <c r="CS27" s="15">
        <v>921.24</v>
      </c>
      <c r="CT27" s="32" t="s">
        <v>293</v>
      </c>
      <c r="CU27" s="18">
        <v>35</v>
      </c>
      <c r="CX27" s="2"/>
      <c r="CY27" s="16">
        <v>20</v>
      </c>
      <c r="CZ27" s="15">
        <v>950.57</v>
      </c>
      <c r="DA27" s="305">
        <v>43754</v>
      </c>
      <c r="DB27" s="15">
        <v>950.57</v>
      </c>
      <c r="DC27" s="307" t="s">
        <v>290</v>
      </c>
      <c r="DD27" s="308">
        <v>35</v>
      </c>
      <c r="DG27" s="2"/>
      <c r="DH27" s="16">
        <v>20</v>
      </c>
      <c r="DI27" s="15">
        <v>906.5</v>
      </c>
      <c r="DJ27" s="305">
        <v>43756</v>
      </c>
      <c r="DK27" s="15">
        <v>906.5</v>
      </c>
      <c r="DL27" s="307" t="s">
        <v>299</v>
      </c>
      <c r="DM27" s="308">
        <v>35</v>
      </c>
      <c r="DP27" s="2"/>
      <c r="DQ27" s="16">
        <v>20</v>
      </c>
      <c r="DR27" s="7">
        <v>908.84</v>
      </c>
      <c r="DS27" s="47">
        <v>43760</v>
      </c>
      <c r="DT27" s="7">
        <v>908.84</v>
      </c>
      <c r="DU27" s="60" t="s">
        <v>327</v>
      </c>
      <c r="DV27" s="18">
        <v>39</v>
      </c>
      <c r="DY27" s="2"/>
      <c r="DZ27" s="16">
        <v>20</v>
      </c>
      <c r="EA27" s="7">
        <v>943.47</v>
      </c>
      <c r="EB27" s="47">
        <v>43761</v>
      </c>
      <c r="EC27" s="7">
        <v>943.47</v>
      </c>
      <c r="ED27" s="611" t="s">
        <v>371</v>
      </c>
      <c r="EE27" s="18">
        <v>39</v>
      </c>
      <c r="EH27" s="2"/>
      <c r="EI27" s="16">
        <v>20</v>
      </c>
      <c r="EJ27" s="15">
        <v>931.67</v>
      </c>
      <c r="EK27" s="14">
        <v>43763</v>
      </c>
      <c r="EL27" s="15">
        <v>931.67</v>
      </c>
      <c r="EM27" s="35" t="s">
        <v>380</v>
      </c>
      <c r="EN27" s="18">
        <v>39</v>
      </c>
      <c r="EQ27" s="2"/>
      <c r="ER27" s="16">
        <v>20</v>
      </c>
      <c r="ES27" s="15">
        <v>897.5</v>
      </c>
      <c r="ET27" s="14">
        <v>43761</v>
      </c>
      <c r="EU27" s="15">
        <v>897.5</v>
      </c>
      <c r="EV27" s="35" t="s">
        <v>329</v>
      </c>
      <c r="EW27" s="18">
        <v>39</v>
      </c>
      <c r="EZ27" s="2"/>
      <c r="FA27" s="16">
        <v>20</v>
      </c>
      <c r="FB27" s="134">
        <v>889</v>
      </c>
      <c r="FC27" s="119">
        <v>43767</v>
      </c>
      <c r="FD27" s="134">
        <v>889</v>
      </c>
      <c r="FE27" s="90" t="s">
        <v>387</v>
      </c>
      <c r="FF27" s="91">
        <v>41</v>
      </c>
      <c r="FI27" s="2"/>
      <c r="FJ27" s="16">
        <v>20</v>
      </c>
      <c r="FK27" s="7"/>
      <c r="FL27" s="47"/>
      <c r="FM27" s="7"/>
      <c r="FN27" s="60"/>
      <c r="FO27" s="18"/>
      <c r="FR27" s="2"/>
      <c r="FS27" s="16">
        <v>20</v>
      </c>
      <c r="FT27" s="15">
        <v>816.5</v>
      </c>
      <c r="FU27" s="119">
        <v>43769</v>
      </c>
      <c r="FV27" s="134">
        <v>816.5</v>
      </c>
      <c r="FW27" s="137" t="s">
        <v>398</v>
      </c>
      <c r="FX27" s="91">
        <v>41</v>
      </c>
      <c r="GA27" s="2"/>
      <c r="GB27" s="16">
        <v>20</v>
      </c>
      <c r="GC27" s="15">
        <v>917.61</v>
      </c>
      <c r="GD27" s="14">
        <v>43771</v>
      </c>
      <c r="GE27" s="496">
        <v>917.61</v>
      </c>
      <c r="GF27" s="32" t="s">
        <v>415</v>
      </c>
      <c r="GG27" s="18">
        <v>41</v>
      </c>
      <c r="GI27"/>
      <c r="GJ27" s="2"/>
      <c r="GK27" s="16">
        <v>20</v>
      </c>
      <c r="GL27" s="15">
        <v>894.93</v>
      </c>
      <c r="GM27" s="14">
        <v>43768</v>
      </c>
      <c r="GN27" s="15">
        <v>894.93</v>
      </c>
      <c r="GO27" s="32" t="s">
        <v>396</v>
      </c>
      <c r="GP27" s="18">
        <v>41</v>
      </c>
      <c r="GS27" s="405"/>
      <c r="GT27" s="16">
        <v>20</v>
      </c>
      <c r="GU27" s="15">
        <v>895.4</v>
      </c>
      <c r="GV27" s="14">
        <v>43771</v>
      </c>
      <c r="GW27" s="15">
        <v>895.4</v>
      </c>
      <c r="GX27" s="239" t="s">
        <v>421</v>
      </c>
      <c r="GY27" s="18">
        <v>41</v>
      </c>
      <c r="HB27" s="2"/>
      <c r="HC27" s="16">
        <v>20</v>
      </c>
      <c r="HD27" s="7">
        <v>875</v>
      </c>
      <c r="HE27" s="47">
        <v>43771</v>
      </c>
      <c r="HF27" s="7">
        <v>875</v>
      </c>
      <c r="HG27" s="60" t="s">
        <v>419</v>
      </c>
      <c r="HH27" s="18">
        <v>41</v>
      </c>
      <c r="HK27" s="2"/>
      <c r="HL27" s="16">
        <v>20</v>
      </c>
      <c r="HM27" s="15">
        <v>893</v>
      </c>
      <c r="HN27" s="14">
        <v>43770</v>
      </c>
      <c r="HO27" s="15">
        <v>893</v>
      </c>
      <c r="HP27" s="393" t="s">
        <v>410</v>
      </c>
      <c r="HQ27" s="18">
        <v>41</v>
      </c>
      <c r="HS27" s="7"/>
      <c r="HT27" s="2"/>
      <c r="HU27" s="16">
        <v>20</v>
      </c>
      <c r="HV27" s="15"/>
      <c r="HW27" s="47"/>
      <c r="HX27" s="15"/>
      <c r="HY27" s="60"/>
      <c r="HZ27" s="18"/>
      <c r="IC27" s="2"/>
      <c r="ID27" s="16">
        <v>20</v>
      </c>
      <c r="IE27" s="15">
        <v>893</v>
      </c>
      <c r="IF27" s="14">
        <v>43774</v>
      </c>
      <c r="IG27" s="15">
        <v>893</v>
      </c>
      <c r="IH27" s="35" t="s">
        <v>434</v>
      </c>
      <c r="II27" s="18">
        <v>42</v>
      </c>
      <c r="IL27" s="2"/>
      <c r="IM27" s="16"/>
      <c r="IN27" s="7"/>
      <c r="IO27" s="400"/>
      <c r="IP27" s="7"/>
      <c r="IQ27" s="60"/>
      <c r="IR27" s="18"/>
      <c r="IU27" s="2"/>
      <c r="IV27" s="16"/>
      <c r="IW27" s="15"/>
      <c r="IX27" s="14"/>
      <c r="IY27" s="15"/>
      <c r="IZ27" s="32"/>
      <c r="JA27" s="18"/>
      <c r="JD27" s="2"/>
      <c r="JE27" s="16"/>
      <c r="JF27" s="15"/>
      <c r="JG27" s="14"/>
      <c r="JH27" s="15"/>
      <c r="JI27" s="32"/>
      <c r="JJ27" s="18"/>
      <c r="JM27" s="2"/>
      <c r="JN27" s="16"/>
      <c r="JO27" s="15"/>
      <c r="JP27" s="14"/>
      <c r="JQ27" s="15"/>
      <c r="JR27" s="32"/>
      <c r="JS27" s="18"/>
      <c r="JV27" s="2"/>
      <c r="JW27" s="16"/>
      <c r="JX27" s="15"/>
      <c r="JY27" s="14"/>
      <c r="JZ27" s="15"/>
      <c r="KA27" s="32"/>
      <c r="KB27" s="18"/>
      <c r="KE27" s="2"/>
      <c r="KF27" s="16"/>
      <c r="KG27" s="15"/>
      <c r="KH27" s="14"/>
      <c r="KI27" s="15"/>
      <c r="KJ27" s="32"/>
      <c r="KK27" s="18"/>
      <c r="KN27" s="2"/>
      <c r="KO27" s="16">
        <v>20</v>
      </c>
      <c r="KP27" s="152"/>
      <c r="KQ27" s="85"/>
      <c r="KR27" s="152"/>
      <c r="KS27" s="101"/>
      <c r="KT27" s="83"/>
      <c r="KW27" s="2"/>
      <c r="KX27" s="16">
        <v>20</v>
      </c>
      <c r="KY27" s="152"/>
      <c r="KZ27" s="14"/>
      <c r="LA27" s="152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52"/>
      <c r="LR27" s="14"/>
      <c r="LS27" s="498"/>
      <c r="LT27" s="499"/>
      <c r="LU27" s="18"/>
      <c r="LX27" s="2"/>
      <c r="LY27" s="16"/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2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5"/>
      <c r="RP27" s="306"/>
      <c r="RQ27" s="307"/>
      <c r="RR27" s="308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SMITHFIELD FRESH MEATS</v>
      </c>
      <c r="C28" t="str">
        <f t="shared" si="24"/>
        <v>Smithfield</v>
      </c>
      <c r="D28" s="56" t="str">
        <f t="shared" si="24"/>
        <v>PED. 44169600</v>
      </c>
      <c r="E28" s="124">
        <f t="shared" si="24"/>
        <v>43774</v>
      </c>
      <c r="F28" s="58">
        <f t="shared" si="24"/>
        <v>17763.86</v>
      </c>
      <c r="G28" s="13">
        <f t="shared" si="24"/>
        <v>19</v>
      </c>
      <c r="H28" s="52">
        <f t="shared" si="24"/>
        <v>17904.77</v>
      </c>
      <c r="I28" s="6">
        <f t="shared" si="24"/>
        <v>-140.90999999999985</v>
      </c>
      <c r="L28" s="2"/>
      <c r="M28" s="16">
        <v>21</v>
      </c>
      <c r="N28" s="152"/>
      <c r="O28" s="85"/>
      <c r="P28" s="152"/>
      <c r="Q28" s="101"/>
      <c r="R28" s="83"/>
      <c r="U28" s="2"/>
      <c r="V28" s="16">
        <v>21</v>
      </c>
      <c r="W28" s="152"/>
      <c r="X28" s="14"/>
      <c r="Y28" s="152"/>
      <c r="Z28" s="32"/>
      <c r="AA28" s="18"/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/>
      <c r="AP28" s="119"/>
      <c r="AQ28" s="419"/>
      <c r="AR28" s="137"/>
      <c r="AS28" s="91"/>
      <c r="AV28" s="2"/>
      <c r="AW28" s="16">
        <v>21</v>
      </c>
      <c r="AX28" s="15"/>
      <c r="AY28" s="85"/>
      <c r="AZ28" s="15"/>
      <c r="BA28" s="101"/>
      <c r="BB28" s="312"/>
      <c r="BE28" s="2"/>
      <c r="BF28" s="16">
        <v>21</v>
      </c>
      <c r="BG28" s="15">
        <v>832</v>
      </c>
      <c r="BH28" s="85">
        <v>43750</v>
      </c>
      <c r="BI28" s="15">
        <v>832</v>
      </c>
      <c r="BJ28" s="101" t="s">
        <v>230</v>
      </c>
      <c r="BK28" s="312">
        <v>34.5</v>
      </c>
      <c r="BN28" s="2"/>
      <c r="BO28" s="16">
        <v>21</v>
      </c>
      <c r="BP28" s="15">
        <v>904.5</v>
      </c>
      <c r="BQ28" s="305">
        <v>43754</v>
      </c>
      <c r="BR28" s="15">
        <v>904.5</v>
      </c>
      <c r="BS28" s="307" t="s">
        <v>289</v>
      </c>
      <c r="BT28" s="308">
        <v>34.5</v>
      </c>
      <c r="BW28" s="2"/>
      <c r="BX28" s="16">
        <v>21</v>
      </c>
      <c r="BY28" s="15">
        <v>901.5</v>
      </c>
      <c r="BZ28" s="305">
        <v>43753</v>
      </c>
      <c r="CA28" s="15">
        <v>901.5</v>
      </c>
      <c r="CB28" s="307" t="s">
        <v>281</v>
      </c>
      <c r="CC28" s="308">
        <v>34.5</v>
      </c>
      <c r="CF28" s="2"/>
      <c r="CG28" s="16">
        <v>21</v>
      </c>
      <c r="CH28" s="15"/>
      <c r="CI28" s="305"/>
      <c r="CJ28" s="15"/>
      <c r="CK28" s="307"/>
      <c r="CL28" s="308"/>
      <c r="CO28" s="2"/>
      <c r="CP28" s="16">
        <v>21</v>
      </c>
      <c r="CQ28" s="15"/>
      <c r="CR28" s="14"/>
      <c r="CS28" s="15"/>
      <c r="CT28" s="32"/>
      <c r="CU28" s="18"/>
      <c r="CX28" s="2"/>
      <c r="CY28" s="16">
        <v>21</v>
      </c>
      <c r="CZ28" s="15"/>
      <c r="DA28" s="305"/>
      <c r="DB28" s="15"/>
      <c r="DC28" s="307"/>
      <c r="DD28" s="308"/>
      <c r="DG28" s="2"/>
      <c r="DH28" s="16">
        <v>21</v>
      </c>
      <c r="DI28" s="15">
        <v>889</v>
      </c>
      <c r="DJ28" s="305">
        <v>43756</v>
      </c>
      <c r="DK28" s="15">
        <v>889</v>
      </c>
      <c r="DL28" s="307" t="s">
        <v>299</v>
      </c>
      <c r="DM28" s="308">
        <v>35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/>
      <c r="EA28" s="7"/>
      <c r="EB28" s="47"/>
      <c r="EC28" s="7"/>
      <c r="ED28" s="611"/>
      <c r="EE28" s="18"/>
      <c r="EH28" s="2"/>
      <c r="EI28" s="16">
        <v>21</v>
      </c>
      <c r="EJ28" s="15"/>
      <c r="EK28" s="14"/>
      <c r="EL28" s="15"/>
      <c r="EM28" s="35"/>
      <c r="EN28" s="18" t="s">
        <v>37</v>
      </c>
      <c r="EQ28" s="2"/>
      <c r="ER28" s="16">
        <v>21</v>
      </c>
      <c r="ES28" s="15">
        <v>907</v>
      </c>
      <c r="ET28" s="14">
        <v>43761</v>
      </c>
      <c r="EU28" s="15">
        <v>907</v>
      </c>
      <c r="EV28" s="35" t="s">
        <v>329</v>
      </c>
      <c r="EW28" s="18">
        <v>39</v>
      </c>
      <c r="EZ28" s="2"/>
      <c r="FA28" s="16">
        <v>21</v>
      </c>
      <c r="FB28" s="134">
        <v>897</v>
      </c>
      <c r="FC28" s="119">
        <v>43767</v>
      </c>
      <c r="FD28" s="134">
        <v>897</v>
      </c>
      <c r="FE28" s="90" t="s">
        <v>387</v>
      </c>
      <c r="FF28" s="91">
        <v>41</v>
      </c>
      <c r="FG28" s="102"/>
      <c r="FI28" s="2"/>
      <c r="FJ28" s="16"/>
      <c r="FK28" s="7"/>
      <c r="FL28" s="47"/>
      <c r="FM28" s="7"/>
      <c r="FN28" s="60"/>
      <c r="FO28" s="18"/>
      <c r="FR28" s="2"/>
      <c r="FS28" s="16">
        <v>21</v>
      </c>
      <c r="FT28" s="15"/>
      <c r="FU28" s="119"/>
      <c r="FV28" s="134"/>
      <c r="FW28" s="137"/>
      <c r="FX28" s="91"/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3"/>
      <c r="GM28" s="14"/>
      <c r="GN28" s="313"/>
      <c r="GO28" s="32"/>
      <c r="GP28" s="18"/>
      <c r="GS28" s="2"/>
      <c r="GT28" s="16">
        <v>21</v>
      </c>
      <c r="GU28" s="15">
        <v>924.43</v>
      </c>
      <c r="GV28" s="14">
        <v>43771</v>
      </c>
      <c r="GW28" s="15">
        <v>924.43</v>
      </c>
      <c r="GX28" s="239" t="s">
        <v>421</v>
      </c>
      <c r="GY28" s="18">
        <v>41</v>
      </c>
      <c r="HB28" s="2"/>
      <c r="HC28" s="16">
        <v>21</v>
      </c>
      <c r="HD28" s="7">
        <v>863.6</v>
      </c>
      <c r="HE28" s="47">
        <v>43771</v>
      </c>
      <c r="HF28" s="7">
        <v>863.6</v>
      </c>
      <c r="HG28" s="60" t="s">
        <v>419</v>
      </c>
      <c r="HH28" s="18">
        <v>41</v>
      </c>
      <c r="HK28" s="2"/>
      <c r="HL28" s="16">
        <v>21</v>
      </c>
      <c r="HM28" s="15">
        <v>901.5</v>
      </c>
      <c r="HN28" s="14">
        <v>43770</v>
      </c>
      <c r="HO28" s="15">
        <v>901.5</v>
      </c>
      <c r="HP28" s="393" t="s">
        <v>410</v>
      </c>
      <c r="HQ28" s="18">
        <v>41</v>
      </c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/>
      <c r="IF28" s="14"/>
      <c r="IG28" s="15"/>
      <c r="IH28" s="35"/>
      <c r="II28" s="18"/>
      <c r="IL28" s="2"/>
      <c r="IM28" s="16"/>
      <c r="IN28" s="7"/>
      <c r="IO28" s="400"/>
      <c r="IP28" s="7"/>
      <c r="IQ28" s="60"/>
      <c r="IR28" s="18"/>
      <c r="IU28" s="2"/>
      <c r="IV28" s="16"/>
      <c r="IW28" s="15"/>
      <c r="IX28" s="14"/>
      <c r="IY28" s="15"/>
      <c r="IZ28" s="32"/>
      <c r="JA28" s="18"/>
      <c r="JD28" s="2"/>
      <c r="JE28" s="16"/>
      <c r="JF28" s="313"/>
      <c r="JG28" s="14"/>
      <c r="JH28" s="313"/>
      <c r="JI28" s="32"/>
      <c r="JJ28" s="18"/>
      <c r="JM28" s="2"/>
      <c r="JN28" s="16"/>
      <c r="JO28" s="15"/>
      <c r="JP28" s="14"/>
      <c r="JQ28" s="15"/>
      <c r="JR28" s="32"/>
      <c r="JS28" s="18"/>
      <c r="JV28" s="2"/>
      <c r="JW28" s="16"/>
      <c r="JX28" s="15"/>
      <c r="JY28" s="14"/>
      <c r="JZ28" s="15"/>
      <c r="KA28" s="32"/>
      <c r="KB28" s="18"/>
      <c r="KE28" s="2"/>
      <c r="KF28" s="16"/>
      <c r="KG28" s="15"/>
      <c r="KH28" s="14"/>
      <c r="KI28" s="15"/>
      <c r="KJ28" s="32"/>
      <c r="KK28" s="18"/>
      <c r="KN28" s="2"/>
      <c r="KO28" s="16">
        <v>21</v>
      </c>
      <c r="KP28" s="152"/>
      <c r="KQ28" s="85"/>
      <c r="KR28" s="152"/>
      <c r="KS28" s="101"/>
      <c r="KT28" s="83"/>
      <c r="KW28" s="2"/>
      <c r="KX28" s="16">
        <v>21</v>
      </c>
      <c r="KY28" s="152"/>
      <c r="KZ28" s="14"/>
      <c r="LA28" s="152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52"/>
      <c r="LR28" s="14"/>
      <c r="LS28" s="498"/>
      <c r="LT28" s="499"/>
      <c r="LU28" s="18"/>
      <c r="LX28" s="2"/>
      <c r="LY28" s="16"/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3"/>
      <c r="NB28" s="85"/>
      <c r="NC28" s="313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2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IDEAL TRADING FOODS</v>
      </c>
      <c r="C29" t="str">
        <f t="shared" si="25"/>
        <v>SIOUX</v>
      </c>
      <c r="D29" s="56" t="str">
        <f t="shared" si="25"/>
        <v>PED.44171944</v>
      </c>
      <c r="E29" s="124">
        <f t="shared" si="25"/>
        <v>43774</v>
      </c>
      <c r="F29" s="58">
        <f t="shared" si="25"/>
        <v>17790.259999999998</v>
      </c>
      <c r="G29" s="13">
        <f t="shared" si="25"/>
        <v>20</v>
      </c>
      <c r="H29" s="52">
        <f t="shared" si="25"/>
        <v>17897.5</v>
      </c>
      <c r="I29" s="6">
        <f t="shared" si="25"/>
        <v>-107.2400000000016</v>
      </c>
      <c r="L29" s="105"/>
      <c r="M29" s="16"/>
      <c r="N29" s="152"/>
      <c r="O29" s="85"/>
      <c r="P29" s="152"/>
      <c r="Q29" s="101"/>
      <c r="R29" s="83"/>
      <c r="U29" s="2"/>
      <c r="V29" s="16">
        <v>22</v>
      </c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2"/>
      <c r="AZ29" s="323"/>
      <c r="BA29" s="325"/>
      <c r="BB29" s="324"/>
      <c r="BE29" s="2"/>
      <c r="BF29" s="16">
        <v>22</v>
      </c>
      <c r="BG29" s="15">
        <v>922</v>
      </c>
      <c r="BH29" s="85">
        <v>43750</v>
      </c>
      <c r="BI29" s="15">
        <v>922</v>
      </c>
      <c r="BJ29" s="101" t="s">
        <v>230</v>
      </c>
      <c r="BK29" s="312">
        <v>34.5</v>
      </c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>
        <v>22</v>
      </c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>
        <v>22</v>
      </c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>
        <v>22</v>
      </c>
      <c r="GU29" s="15"/>
      <c r="GV29" s="14"/>
      <c r="GW29" s="15"/>
      <c r="GX29" s="35"/>
      <c r="GY29" s="18"/>
      <c r="HB29" s="2"/>
      <c r="HC29" s="16">
        <v>22</v>
      </c>
      <c r="HD29" s="7"/>
      <c r="HE29" s="47"/>
      <c r="HF29" s="7"/>
      <c r="HG29" s="60"/>
      <c r="HH29" s="18"/>
      <c r="HK29" s="2"/>
      <c r="HL29" s="16">
        <v>22</v>
      </c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>
        <v>22</v>
      </c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2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>
        <f t="shared" ref="B30:H30" si="26">IK5</f>
        <v>0</v>
      </c>
      <c r="C30">
        <f t="shared" si="26"/>
        <v>0</v>
      </c>
      <c r="D30" s="56">
        <f t="shared" si="26"/>
        <v>0</v>
      </c>
      <c r="E30" s="124">
        <f t="shared" si="26"/>
        <v>0</v>
      </c>
      <c r="F30" s="58">
        <f t="shared" si="26"/>
        <v>0</v>
      </c>
      <c r="G30" s="13">
        <f t="shared" si="26"/>
        <v>0</v>
      </c>
      <c r="H30" s="52">
        <f t="shared" si="26"/>
        <v>0</v>
      </c>
      <c r="I30" s="6">
        <f>F30-H30</f>
        <v>0</v>
      </c>
      <c r="L30" s="105"/>
      <c r="M30" s="16"/>
      <c r="N30" s="152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>
        <f t="shared" ref="B31:H31" si="27">IT5</f>
        <v>0</v>
      </c>
      <c r="C31">
        <f t="shared" si="27"/>
        <v>0</v>
      </c>
      <c r="D31" s="56">
        <f t="shared" si="27"/>
        <v>0</v>
      </c>
      <c r="E31" s="124">
        <f t="shared" si="27"/>
        <v>0</v>
      </c>
      <c r="F31" s="58">
        <f t="shared" si="27"/>
        <v>0</v>
      </c>
      <c r="G31" s="13">
        <f t="shared" si="27"/>
        <v>0</v>
      </c>
      <c r="H31" s="52">
        <f t="shared" si="27"/>
        <v>0</v>
      </c>
      <c r="I31" s="6">
        <f t="shared" ref="I31:I92" si="28">F31-H31</f>
        <v>0</v>
      </c>
      <c r="L31" s="112"/>
      <c r="M31" s="40"/>
      <c r="N31" s="189"/>
      <c r="O31" s="96"/>
      <c r="P31" s="25"/>
      <c r="Q31" s="104"/>
      <c r="R31" s="18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129"/>
      <c r="BG31" s="107"/>
      <c r="BH31" s="174"/>
      <c r="BI31" s="107"/>
      <c r="BJ31" s="25"/>
      <c r="BN31" s="100"/>
      <c r="BO31" s="40"/>
      <c r="BP31" s="107"/>
      <c r="BQ31" s="96">
        <v>1</v>
      </c>
      <c r="BR31" s="107"/>
      <c r="BS31" s="25"/>
      <c r="BT31" s="111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>
        <f t="shared" ref="B32:H32" si="29">JC5</f>
        <v>0</v>
      </c>
      <c r="C32" s="237">
        <f t="shared" si="29"/>
        <v>0</v>
      </c>
      <c r="D32" s="148">
        <f t="shared" si="29"/>
        <v>0</v>
      </c>
      <c r="E32" s="204">
        <f t="shared" si="29"/>
        <v>0</v>
      </c>
      <c r="F32" s="128">
        <f t="shared" si="29"/>
        <v>0</v>
      </c>
      <c r="G32" s="97">
        <f t="shared" si="29"/>
        <v>0</v>
      </c>
      <c r="H32" s="52">
        <f t="shared" si="29"/>
        <v>0</v>
      </c>
      <c r="I32" s="154">
        <f t="shared" si="28"/>
        <v>0</v>
      </c>
      <c r="N32" s="154">
        <f>SUM(N8:N31)</f>
        <v>18880.75</v>
      </c>
      <c r="P32" s="154">
        <f>SUM(P8:P31)</f>
        <v>18880.75</v>
      </c>
      <c r="W32" s="154">
        <f>SUM(W8:W31)</f>
        <v>19125.639999999996</v>
      </c>
      <c r="Y32" s="154">
        <f>SUM(Y8:Y31)</f>
        <v>19125.639999999996</v>
      </c>
      <c r="AF32" s="128">
        <f>SUM(AF8:AF31)</f>
        <v>17968</v>
      </c>
      <c r="AH32" s="128">
        <f>SUM(AH8:AH31)</f>
        <v>17968</v>
      </c>
      <c r="AO32" s="154">
        <f>SUM(AO8:AO31)</f>
        <v>17253.5</v>
      </c>
      <c r="AQ32" s="154">
        <f>SUM(AQ8:AQ31)</f>
        <v>17253.5</v>
      </c>
      <c r="AX32" s="154">
        <f>SUM(AX8:AX31)</f>
        <v>19011.349999999999</v>
      </c>
      <c r="AZ32" s="154">
        <f>SUM(AZ8:AZ31)</f>
        <v>19011.349999999999</v>
      </c>
      <c r="BG32" s="154">
        <f>SUM(BG8:BG31)</f>
        <v>18953</v>
      </c>
      <c r="BI32" s="154">
        <f>SUM(BI8:BI31)</f>
        <v>18953</v>
      </c>
      <c r="BP32" s="154">
        <f>SUM(BP8:BP31)</f>
        <v>18768.5</v>
      </c>
      <c r="BR32" s="154">
        <f>SUM(BR8:BR31)</f>
        <v>18768.5</v>
      </c>
      <c r="BY32" s="154">
        <f>SUM(BY8:BY31)</f>
        <v>18871</v>
      </c>
      <c r="CA32" s="154">
        <f>SUM(CA8:CA31)</f>
        <v>18871</v>
      </c>
      <c r="CH32" s="154">
        <f>SUM(CH8:CH31)</f>
        <v>18918.830000000002</v>
      </c>
      <c r="CJ32" s="154">
        <f>SUM(CJ8:CJ31)</f>
        <v>18918.830000000002</v>
      </c>
      <c r="CQ32" s="154">
        <f>SUM(CQ8:CQ31)</f>
        <v>18632.100000000002</v>
      </c>
      <c r="CS32" s="154">
        <f>SUM(CS8:CS31)</f>
        <v>18632.100000000002</v>
      </c>
      <c r="CZ32" s="154">
        <f>SUM(CZ8:CZ31)</f>
        <v>18817.25</v>
      </c>
      <c r="DB32" s="154">
        <f>SUM(DB8:DB31)</f>
        <v>18817.25</v>
      </c>
      <c r="DI32" s="154">
        <f>SUM(DI8:DI31)</f>
        <v>18774.5</v>
      </c>
      <c r="DK32" s="154">
        <f>SUM(DK8:DK31)</f>
        <v>18774.5</v>
      </c>
      <c r="DR32" s="154">
        <f>SUM(DR8:DR31)</f>
        <v>19125.61</v>
      </c>
      <c r="DT32" s="154">
        <f>SUM(DT8:DT31)</f>
        <v>19125.61</v>
      </c>
      <c r="EA32" s="154">
        <f>SUM(EA8:EA31)</f>
        <v>18723.29</v>
      </c>
      <c r="EC32" s="154">
        <f>SUM(EC8:EC31)</f>
        <v>18723.29</v>
      </c>
      <c r="EJ32" s="154">
        <f>SUM(EJ8:EJ31)</f>
        <v>18731.449999999997</v>
      </c>
      <c r="EL32" s="154">
        <f>SUM(EL8:EL31)</f>
        <v>18731.449999999997</v>
      </c>
      <c r="ES32" s="194">
        <f>SUM(ES8:ES31)</f>
        <v>18760</v>
      </c>
      <c r="EU32" s="154">
        <f>SUM(EU8:EU31)</f>
        <v>18760</v>
      </c>
      <c r="FB32" s="154">
        <f>SUM(FB8:FB31)</f>
        <v>18752</v>
      </c>
      <c r="FC32" s="154"/>
      <c r="FD32" s="154">
        <f>SUM(FD8:FD31)</f>
        <v>18752</v>
      </c>
      <c r="FE32" s="102" t="s">
        <v>36</v>
      </c>
      <c r="FK32" s="154">
        <f>SUM(FK8:FK31)</f>
        <v>17573.690000000002</v>
      </c>
      <c r="FM32" s="154">
        <f>SUM(FM8:FM31)</f>
        <v>17573.690000000002</v>
      </c>
      <c r="FT32" s="154">
        <f>SUM(FT8:FT31)</f>
        <v>18315.5</v>
      </c>
      <c r="FV32" s="154">
        <f>SUM(FV8:FV31)</f>
        <v>18315.5</v>
      </c>
      <c r="GC32" s="154">
        <f>SUM(GC8:GC31)</f>
        <v>18679.259999999998</v>
      </c>
      <c r="GE32" s="154">
        <f>SUM(GE8:GE31)</f>
        <v>18679.259999999998</v>
      </c>
      <c r="GL32" s="154">
        <f>SUM(GL8:GL31)</f>
        <v>18693.780000000002</v>
      </c>
      <c r="GN32" s="154">
        <f>SUM(GN8:GN31)</f>
        <v>18693.780000000002</v>
      </c>
      <c r="GU32" s="154">
        <f>SUM(GU8:GU31)</f>
        <v>19080.420000000006</v>
      </c>
      <c r="GW32" s="154">
        <f>SUM(GW8:GW31)</f>
        <v>19080.620000000003</v>
      </c>
      <c r="HD32" s="154">
        <f>SUM(HD8:HD31)</f>
        <v>18720.399999999998</v>
      </c>
      <c r="HF32" s="154">
        <f>SUM(HF8:HF31)</f>
        <v>18720.399999999998</v>
      </c>
      <c r="HM32" s="154">
        <f>SUM(HM8:HM31)</f>
        <v>18871.5</v>
      </c>
      <c r="HO32" s="154">
        <f>SUM(HO8:HO31)</f>
        <v>18871.5</v>
      </c>
      <c r="HV32" s="154">
        <f>SUM(HV8:HV31)</f>
        <v>17904.77</v>
      </c>
      <c r="HX32" s="154">
        <f>SUM(HX8:HX31)</f>
        <v>0</v>
      </c>
      <c r="IE32" s="154">
        <f>SUM(IE8:IE31)</f>
        <v>17897.5</v>
      </c>
      <c r="IG32" s="154">
        <f>SUM(IG8:IG31)</f>
        <v>17897.5</v>
      </c>
      <c r="IN32" s="154">
        <f>SUM(IN8:IN31)</f>
        <v>0</v>
      </c>
      <c r="IP32" s="154">
        <f>SUM(IP8:IP31)</f>
        <v>0</v>
      </c>
      <c r="IW32" s="154">
        <f>SUM(IW8:IW31)</f>
        <v>0</v>
      </c>
      <c r="IY32" s="154">
        <f>SUM(IY8:IY31)</f>
        <v>0</v>
      </c>
      <c r="JF32" s="154">
        <f>SUM(JF8:JF31)</f>
        <v>0</v>
      </c>
      <c r="JH32" s="154">
        <f>SUM(JH8:JH31)</f>
        <v>0</v>
      </c>
      <c r="JO32" s="154">
        <f>SUM(JO8:JO31)</f>
        <v>0</v>
      </c>
      <c r="JQ32" s="154">
        <f>SUM(JQ8:JQ31)</f>
        <v>0</v>
      </c>
      <c r="JX32" s="128">
        <f>SUM(JX8:JX31)</f>
        <v>0</v>
      </c>
      <c r="JZ32" s="154">
        <f>SUM(JZ8:JZ31)</f>
        <v>0</v>
      </c>
      <c r="KF32" s="210"/>
      <c r="KG32" s="128">
        <f>SUM(KG8:KG31)</f>
        <v>0</v>
      </c>
      <c r="KH32" s="128"/>
      <c r="KI32" s="128">
        <f>SUM(KI8:KI31)</f>
        <v>0</v>
      </c>
      <c r="KP32" s="154">
        <f>SUM(KP8:KP31)</f>
        <v>0</v>
      </c>
      <c r="KR32" s="154">
        <f>SUM(KR8:KR31)</f>
        <v>0</v>
      </c>
      <c r="KY32" s="154">
        <f>SUM(KY8:KY31)</f>
        <v>0</v>
      </c>
      <c r="LA32" s="154">
        <f>SUM(LA8:LA31)</f>
        <v>0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>
        <f t="shared" ref="B33:H33" si="30">JL5</f>
        <v>0</v>
      </c>
      <c r="C33" s="102">
        <f t="shared" si="30"/>
        <v>0</v>
      </c>
      <c r="D33" s="148">
        <f t="shared" si="30"/>
        <v>0</v>
      </c>
      <c r="E33" s="204">
        <f t="shared" si="30"/>
        <v>0</v>
      </c>
      <c r="F33" s="128">
        <f t="shared" si="30"/>
        <v>0</v>
      </c>
      <c r="G33" s="97">
        <f t="shared" si="30"/>
        <v>0</v>
      </c>
      <c r="H33" s="52">
        <f t="shared" si="30"/>
        <v>0</v>
      </c>
      <c r="I33" s="154">
        <f t="shared" si="28"/>
        <v>0</v>
      </c>
      <c r="N33" s="613" t="s">
        <v>21</v>
      </c>
      <c r="O33" s="614"/>
      <c r="P33" s="211">
        <f>Q5-P32</f>
        <v>0</v>
      </c>
      <c r="W33" s="613" t="s">
        <v>21</v>
      </c>
      <c r="X33" s="614"/>
      <c r="Y33" s="211">
        <f>Z5-Y32</f>
        <v>0</v>
      </c>
      <c r="AF33" s="314" t="s">
        <v>21</v>
      </c>
      <c r="AG33" s="315"/>
      <c r="AH33" s="211">
        <f>AI5-AH32</f>
        <v>0</v>
      </c>
      <c r="AO33" s="314" t="s">
        <v>21</v>
      </c>
      <c r="AP33" s="315"/>
      <c r="AQ33" s="211">
        <f>AR5-AQ32</f>
        <v>0</v>
      </c>
      <c r="AX33" s="314" t="s">
        <v>21</v>
      </c>
      <c r="AY33" s="315"/>
      <c r="AZ33" s="211">
        <f>AX32-AZ32</f>
        <v>0</v>
      </c>
      <c r="BG33" s="620" t="s">
        <v>21</v>
      </c>
      <c r="BH33" s="621"/>
      <c r="BI33" s="211">
        <f>BG32-BI32</f>
        <v>0</v>
      </c>
      <c r="BP33" s="620" t="s">
        <v>21</v>
      </c>
      <c r="BQ33" s="621"/>
      <c r="BR33" s="211">
        <f>BP32-BR32</f>
        <v>0</v>
      </c>
      <c r="BY33" s="620" t="s">
        <v>21</v>
      </c>
      <c r="BZ33" s="621"/>
      <c r="CA33" s="211">
        <f>BY32-CA32</f>
        <v>0</v>
      </c>
      <c r="CH33" s="620" t="s">
        <v>21</v>
      </c>
      <c r="CI33" s="621"/>
      <c r="CJ33" s="211">
        <f>CH32-CJ32</f>
        <v>0</v>
      </c>
      <c r="CQ33" s="620" t="s">
        <v>21</v>
      </c>
      <c r="CR33" s="621"/>
      <c r="CS33" s="211">
        <f>CQ32-CS32</f>
        <v>0</v>
      </c>
      <c r="CZ33" s="314" t="s">
        <v>21</v>
      </c>
      <c r="DA33" s="315"/>
      <c r="DB33" s="211">
        <f>CZ32-DB32</f>
        <v>0</v>
      </c>
      <c r="DI33" s="314" t="s">
        <v>21</v>
      </c>
      <c r="DJ33" s="315"/>
      <c r="DK33" s="211">
        <f>DI32-DK32</f>
        <v>0</v>
      </c>
      <c r="DR33" s="314" t="s">
        <v>21</v>
      </c>
      <c r="DS33" s="315"/>
      <c r="DT33" s="211">
        <f>DR32-DT32</f>
        <v>0</v>
      </c>
      <c r="EA33" s="314" t="s">
        <v>21</v>
      </c>
      <c r="EB33" s="315"/>
      <c r="EC33" s="211">
        <f>EA32-EC32</f>
        <v>0</v>
      </c>
      <c r="EJ33" s="314" t="s">
        <v>21</v>
      </c>
      <c r="EK33" s="315"/>
      <c r="EL33" s="626">
        <f>EJ32-EL32</f>
        <v>0</v>
      </c>
      <c r="ES33" s="314" t="s">
        <v>21</v>
      </c>
      <c r="ET33" s="315"/>
      <c r="EU33" s="211">
        <f>ES32-EU32</f>
        <v>0</v>
      </c>
      <c r="FB33" s="314" t="s">
        <v>21</v>
      </c>
      <c r="FC33" s="315"/>
      <c r="FD33" s="626">
        <f>FB32-FD32</f>
        <v>0</v>
      </c>
      <c r="FK33" s="314" t="s">
        <v>21</v>
      </c>
      <c r="FL33" s="315"/>
      <c r="FM33" s="211">
        <f>FN5-FM32</f>
        <v>0</v>
      </c>
      <c r="FT33" s="314" t="s">
        <v>21</v>
      </c>
      <c r="FU33" s="315"/>
      <c r="FV33" s="211">
        <f>FT32-FV32</f>
        <v>0</v>
      </c>
      <c r="GC33" s="314" t="s">
        <v>21</v>
      </c>
      <c r="GD33" s="315"/>
      <c r="GE33" s="211">
        <f>GC32-GE32</f>
        <v>0</v>
      </c>
      <c r="GL33" s="314" t="s">
        <v>21</v>
      </c>
      <c r="GM33" s="315"/>
      <c r="GN33" s="211">
        <f>GL32-GN32</f>
        <v>0</v>
      </c>
      <c r="GU33" s="314" t="s">
        <v>21</v>
      </c>
      <c r="GV33" s="315"/>
      <c r="GW33" s="211">
        <f>GU32-GW32</f>
        <v>-0.19999999999708962</v>
      </c>
      <c r="HD33" s="314" t="s">
        <v>21</v>
      </c>
      <c r="HE33" s="315"/>
      <c r="HF33" s="211">
        <f>HD32-HF32</f>
        <v>0</v>
      </c>
      <c r="HM33" s="314" t="s">
        <v>21</v>
      </c>
      <c r="HN33" s="315"/>
      <c r="HO33" s="211">
        <f>HM32-HO32</f>
        <v>0</v>
      </c>
      <c r="HV33" s="314" t="s">
        <v>21</v>
      </c>
      <c r="HW33" s="315"/>
      <c r="HX33" s="211">
        <f>HV32-HX32</f>
        <v>17904.77</v>
      </c>
      <c r="IE33" s="314" t="s">
        <v>21</v>
      </c>
      <c r="IF33" s="315"/>
      <c r="IG33" s="211">
        <f>IE32-IG32</f>
        <v>0</v>
      </c>
      <c r="IN33" s="314" t="s">
        <v>21</v>
      </c>
      <c r="IO33" s="315"/>
      <c r="IP33" s="633">
        <f>IQ5-IP32</f>
        <v>0</v>
      </c>
      <c r="IQ33" s="634"/>
      <c r="IW33" s="314" t="s">
        <v>21</v>
      </c>
      <c r="IX33" s="315"/>
      <c r="IY33" s="211">
        <f>IZ5-IY32</f>
        <v>0</v>
      </c>
      <c r="JF33" s="314" t="s">
        <v>21</v>
      </c>
      <c r="JG33" s="315"/>
      <c r="JH33" s="211">
        <f>JF32-JH32</f>
        <v>0</v>
      </c>
      <c r="JO33" s="314" t="s">
        <v>21</v>
      </c>
      <c r="JP33" s="315"/>
      <c r="JQ33" s="417">
        <f>JR5-JQ32</f>
        <v>0</v>
      </c>
      <c r="JX33" s="314" t="s">
        <v>21</v>
      </c>
      <c r="JY33" s="315"/>
      <c r="JZ33" s="211">
        <f>KA5-JZ32</f>
        <v>0</v>
      </c>
      <c r="KP33" s="314" t="s">
        <v>21</v>
      </c>
      <c r="KQ33" s="315"/>
      <c r="KR33" s="211">
        <f>KS5-KR32</f>
        <v>0</v>
      </c>
      <c r="KY33" s="314" t="s">
        <v>21</v>
      </c>
      <c r="KZ33" s="315"/>
      <c r="LA33" s="211">
        <f>LB5-LA32</f>
        <v>0</v>
      </c>
      <c r="LH33" s="314" t="s">
        <v>21</v>
      </c>
      <c r="LI33" s="315"/>
      <c r="LJ33" s="211">
        <f>LK5-LJ32</f>
        <v>0</v>
      </c>
      <c r="LQ33" s="314" t="s">
        <v>21</v>
      </c>
      <c r="LR33" s="315"/>
      <c r="LS33" s="211">
        <f>LT5-LS32</f>
        <v>0</v>
      </c>
      <c r="LZ33" s="314" t="s">
        <v>21</v>
      </c>
      <c r="MA33" s="315"/>
      <c r="MB33" s="211">
        <f>MC5-MB32</f>
        <v>0</v>
      </c>
      <c r="MI33" s="314" t="s">
        <v>21</v>
      </c>
      <c r="MJ33" s="315"/>
      <c r="MK33" s="211">
        <f>ML5-MK32</f>
        <v>0</v>
      </c>
      <c r="MR33" s="314" t="s">
        <v>21</v>
      </c>
      <c r="MS33" s="315"/>
      <c r="MT33" s="211">
        <f>MU5-MT32</f>
        <v>0</v>
      </c>
      <c r="NA33" s="314" t="s">
        <v>21</v>
      </c>
      <c r="NB33" s="315"/>
      <c r="NC33" s="211">
        <f>ND5-NC32</f>
        <v>0</v>
      </c>
      <c r="NJ33" s="314" t="s">
        <v>21</v>
      </c>
      <c r="NK33" s="315"/>
      <c r="NL33" s="211">
        <f>NM5-NL32</f>
        <v>0</v>
      </c>
      <c r="NS33" s="314" t="s">
        <v>21</v>
      </c>
      <c r="NT33" s="315"/>
      <c r="NU33" s="211">
        <f>NU32-NS32</f>
        <v>0</v>
      </c>
      <c r="OB33" s="314" t="s">
        <v>21</v>
      </c>
      <c r="OC33" s="315"/>
      <c r="OD33" s="211">
        <f>OE5-OD32</f>
        <v>0</v>
      </c>
      <c r="OK33" s="314" t="s">
        <v>21</v>
      </c>
      <c r="OL33" s="315"/>
      <c r="OM33" s="211">
        <f>ON5-OM32</f>
        <v>0</v>
      </c>
      <c r="OT33" s="314" t="s">
        <v>21</v>
      </c>
      <c r="OU33" s="315"/>
      <c r="OV33" s="211">
        <f>OW5-OV32</f>
        <v>0</v>
      </c>
      <c r="PC33" s="314" t="s">
        <v>21</v>
      </c>
      <c r="PD33" s="315"/>
      <c r="PE33" s="211">
        <f>PF5-PE32</f>
        <v>0</v>
      </c>
      <c r="PL33" s="314" t="s">
        <v>21</v>
      </c>
      <c r="PM33" s="315"/>
      <c r="PN33" s="211">
        <f>PO5-PN32</f>
        <v>0</v>
      </c>
      <c r="PU33" s="314" t="s">
        <v>21</v>
      </c>
      <c r="PV33" s="315"/>
      <c r="PW33" s="211">
        <f>PX5-PW32</f>
        <v>0</v>
      </c>
      <c r="QD33" s="314" t="s">
        <v>21</v>
      </c>
      <c r="QE33" s="315"/>
      <c r="QF33" s="211">
        <f>SUM(QG5-QF32)</f>
        <v>0</v>
      </c>
      <c r="QM33" s="761" t="s">
        <v>21</v>
      </c>
      <c r="QN33" s="762"/>
      <c r="QO33" s="211">
        <f>SUM(QP5-QO32)</f>
        <v>0</v>
      </c>
      <c r="QV33" s="761" t="s">
        <v>21</v>
      </c>
      <c r="QW33" s="762"/>
      <c r="QX33" s="417">
        <f>SUM(QY5-QX32)</f>
        <v>0</v>
      </c>
      <c r="RE33" s="761" t="s">
        <v>21</v>
      </c>
      <c r="RF33" s="762"/>
      <c r="RG33" s="211">
        <f>SUM(RH5-RG32)</f>
        <v>0</v>
      </c>
      <c r="RN33" s="761" t="s">
        <v>21</v>
      </c>
      <c r="RO33" s="762"/>
      <c r="RP33" s="211">
        <f>SUM(RQ5-RP32)</f>
        <v>0</v>
      </c>
      <c r="RW33" s="761" t="s">
        <v>21</v>
      </c>
      <c r="RX33" s="762"/>
      <c r="RY33" s="211">
        <f>SUM(RZ5-RY32)</f>
        <v>0</v>
      </c>
      <c r="SF33" s="761" t="s">
        <v>21</v>
      </c>
      <c r="SG33" s="762"/>
      <c r="SH33" s="211">
        <f>SUM(SI5-SH32)</f>
        <v>0</v>
      </c>
      <c r="SO33" s="761" t="s">
        <v>21</v>
      </c>
      <c r="SP33" s="762"/>
      <c r="SQ33" s="211">
        <f>SUM(SR5-SQ32)</f>
        <v>0</v>
      </c>
      <c r="SX33" s="761" t="s">
        <v>21</v>
      </c>
      <c r="SY33" s="762"/>
      <c r="SZ33" s="211">
        <f>SUM(TA5-SZ32)</f>
        <v>0</v>
      </c>
      <c r="TG33" s="314" t="s">
        <v>21</v>
      </c>
      <c r="TH33" s="315"/>
      <c r="TI33" s="211">
        <f>SUM(TJ5-TI32)</f>
        <v>0</v>
      </c>
      <c r="TP33" s="314" t="s">
        <v>21</v>
      </c>
      <c r="TQ33" s="315"/>
      <c r="TR33" s="211">
        <f>SUM(TS5-TR32)</f>
        <v>0</v>
      </c>
      <c r="TY33" s="761" t="s">
        <v>21</v>
      </c>
      <c r="TZ33" s="762"/>
      <c r="UA33" s="211">
        <f>UB5-UA32</f>
        <v>0</v>
      </c>
      <c r="UH33" s="761" t="s">
        <v>21</v>
      </c>
      <c r="UI33" s="762"/>
      <c r="UJ33" s="211">
        <f>UK5-UJ32</f>
        <v>0</v>
      </c>
      <c r="UQ33" s="761" t="s">
        <v>21</v>
      </c>
      <c r="UR33" s="762"/>
      <c r="US33" s="211">
        <f>UT5-US32</f>
        <v>0</v>
      </c>
      <c r="UZ33" s="761" t="s">
        <v>21</v>
      </c>
      <c r="VA33" s="762"/>
      <c r="VB33" s="211">
        <f>VC5-VB32</f>
        <v>0</v>
      </c>
      <c r="VI33" s="761" t="s">
        <v>21</v>
      </c>
      <c r="VJ33" s="762"/>
      <c r="VK33" s="211">
        <f>VL5-VK32</f>
        <v>0</v>
      </c>
      <c r="VR33" s="761" t="s">
        <v>21</v>
      </c>
      <c r="VS33" s="762"/>
      <c r="VT33" s="211">
        <f>VU5-VT32</f>
        <v>0</v>
      </c>
      <c r="WA33" s="761" t="s">
        <v>21</v>
      </c>
      <c r="WB33" s="762"/>
      <c r="WC33" s="211">
        <f>WD5-WC32</f>
        <v>0</v>
      </c>
      <c r="WJ33" s="761" t="s">
        <v>21</v>
      </c>
      <c r="WK33" s="762"/>
      <c r="WL33" s="211">
        <f>WM5-WL32</f>
        <v>0</v>
      </c>
      <c r="WS33" s="761" t="s">
        <v>21</v>
      </c>
      <c r="WT33" s="762"/>
      <c r="WU33" s="211">
        <f>WV5-WU32</f>
        <v>0</v>
      </c>
      <c r="XB33" s="761" t="s">
        <v>21</v>
      </c>
      <c r="XC33" s="762"/>
      <c r="XD33" s="211">
        <f>XE5-XD32</f>
        <v>0</v>
      </c>
      <c r="XK33" s="761" t="s">
        <v>21</v>
      </c>
      <c r="XL33" s="762"/>
      <c r="XM33" s="211">
        <f>XN5-XM32</f>
        <v>0</v>
      </c>
      <c r="XT33" s="761" t="s">
        <v>21</v>
      </c>
      <c r="XU33" s="762"/>
      <c r="XV33" s="211">
        <f>XW5-XV32</f>
        <v>0</v>
      </c>
      <c r="YC33" s="761" t="s">
        <v>21</v>
      </c>
      <c r="YD33" s="762"/>
      <c r="YE33" s="211">
        <f>YF5-YE32</f>
        <v>0</v>
      </c>
      <c r="YL33" s="761" t="s">
        <v>21</v>
      </c>
      <c r="YM33" s="762"/>
      <c r="YN33" s="211">
        <f>YO5-YN32</f>
        <v>0</v>
      </c>
      <c r="YU33" s="761" t="s">
        <v>21</v>
      </c>
      <c r="YV33" s="762"/>
      <c r="YW33" s="211">
        <f>YX5-YW32</f>
        <v>0</v>
      </c>
      <c r="ZD33" s="761" t="s">
        <v>21</v>
      </c>
      <c r="ZE33" s="762"/>
      <c r="ZF33" s="211">
        <f>ZF32-ZD32</f>
        <v>0</v>
      </c>
      <c r="ZM33" s="761" t="s">
        <v>21</v>
      </c>
      <c r="ZN33" s="762"/>
      <c r="ZO33" s="211">
        <f>ZP5-ZO32</f>
        <v>0</v>
      </c>
      <c r="ZV33" s="761" t="s">
        <v>21</v>
      </c>
      <c r="ZW33" s="762"/>
      <c r="ZX33" s="211">
        <f>ZY5-ZX32</f>
        <v>0</v>
      </c>
      <c r="AAE33" s="761" t="s">
        <v>21</v>
      </c>
      <c r="AAF33" s="762"/>
      <c r="AAG33" s="211">
        <f>AAH5-AAG32</f>
        <v>0</v>
      </c>
      <c r="AAN33" s="761" t="s">
        <v>21</v>
      </c>
      <c r="AAO33" s="762"/>
      <c r="AAP33" s="211">
        <f>AAQ5-AAP32</f>
        <v>0</v>
      </c>
      <c r="AAW33" s="761" t="s">
        <v>21</v>
      </c>
      <c r="AAX33" s="762"/>
      <c r="AAY33" s="211">
        <f>AAZ5-AAY32</f>
        <v>0</v>
      </c>
      <c r="ABF33" s="761" t="s">
        <v>21</v>
      </c>
      <c r="ABG33" s="762"/>
      <c r="ABH33" s="211">
        <f>ABI5-ABH32</f>
        <v>0</v>
      </c>
      <c r="ABO33" s="761" t="s">
        <v>21</v>
      </c>
      <c r="ABP33" s="762"/>
      <c r="ABQ33" s="211">
        <f>ABR5-ABQ32</f>
        <v>0</v>
      </c>
      <c r="ABX33" s="761" t="s">
        <v>21</v>
      </c>
      <c r="ABY33" s="762"/>
      <c r="ABZ33" s="211">
        <f>ACA5-ABZ32</f>
        <v>0</v>
      </c>
      <c r="ACG33" s="761" t="s">
        <v>21</v>
      </c>
      <c r="ACH33" s="762"/>
      <c r="ACI33" s="211">
        <f>ACJ5-ACI32</f>
        <v>0</v>
      </c>
      <c r="ACP33" s="761" t="s">
        <v>21</v>
      </c>
      <c r="ACQ33" s="762"/>
      <c r="ACR33" s="211">
        <f>ACS5-ACR32</f>
        <v>0</v>
      </c>
      <c r="ACY33" s="761" t="s">
        <v>21</v>
      </c>
      <c r="ACZ33" s="762"/>
      <c r="ADA33" s="211">
        <f>ADB5-ADA32</f>
        <v>0</v>
      </c>
    </row>
    <row r="34" spans="1:781" s="102" customFormat="1" ht="16.5" thickBot="1" x14ac:dyDescent="0.3">
      <c r="A34" s="19">
        <v>31</v>
      </c>
      <c r="B34" s="102">
        <f t="shared" ref="B34:H34" si="31">JU5</f>
        <v>0</v>
      </c>
      <c r="C34" s="102">
        <f t="shared" si="31"/>
        <v>0</v>
      </c>
      <c r="D34" s="148">
        <f t="shared" si="31"/>
        <v>0</v>
      </c>
      <c r="E34" s="204">
        <f t="shared" si="31"/>
        <v>0</v>
      </c>
      <c r="F34" s="128">
        <f t="shared" si="31"/>
        <v>0</v>
      </c>
      <c r="G34" s="97">
        <f t="shared" si="31"/>
        <v>0</v>
      </c>
      <c r="H34" s="52">
        <f t="shared" si="31"/>
        <v>0</v>
      </c>
      <c r="I34" s="154">
        <f t="shared" si="28"/>
        <v>0</v>
      </c>
      <c r="N34" s="615" t="s">
        <v>4</v>
      </c>
      <c r="O34" s="616"/>
      <c r="P34" s="53"/>
      <c r="W34" s="615" t="s">
        <v>4</v>
      </c>
      <c r="X34" s="616"/>
      <c r="Y34" s="53"/>
      <c r="AF34" s="316" t="s">
        <v>4</v>
      </c>
      <c r="AG34" s="317"/>
      <c r="AH34" s="53"/>
      <c r="AO34" s="316" t="s">
        <v>4</v>
      </c>
      <c r="AP34" s="317"/>
      <c r="AQ34" s="53"/>
      <c r="AX34" s="316" t="s">
        <v>4</v>
      </c>
      <c r="AY34" s="317"/>
      <c r="AZ34" s="53"/>
      <c r="BG34" s="622" t="s">
        <v>4</v>
      </c>
      <c r="BH34" s="623"/>
      <c r="BI34" s="53"/>
      <c r="BP34" s="622" t="s">
        <v>4</v>
      </c>
      <c r="BQ34" s="623"/>
      <c r="BR34" s="53"/>
      <c r="BY34" s="622" t="s">
        <v>4</v>
      </c>
      <c r="BZ34" s="623"/>
      <c r="CA34" s="53"/>
      <c r="CH34" s="622" t="s">
        <v>4</v>
      </c>
      <c r="CI34" s="623"/>
      <c r="CJ34" s="53"/>
      <c r="CQ34" s="622" t="s">
        <v>4</v>
      </c>
      <c r="CR34" s="623"/>
      <c r="CS34" s="53"/>
      <c r="CZ34" s="316" t="s">
        <v>4</v>
      </c>
      <c r="DA34" s="317"/>
      <c r="DB34" s="53"/>
      <c r="DI34" s="316" t="s">
        <v>4</v>
      </c>
      <c r="DJ34" s="317"/>
      <c r="DK34" s="53"/>
      <c r="DR34" s="316" t="s">
        <v>4</v>
      </c>
      <c r="DS34" s="317"/>
      <c r="DT34" s="53"/>
      <c r="EA34" s="316" t="s">
        <v>4</v>
      </c>
      <c r="EB34" s="317"/>
      <c r="EC34" s="53"/>
      <c r="EJ34" s="316" t="s">
        <v>4</v>
      </c>
      <c r="EK34" s="317"/>
      <c r="EL34" s="53">
        <v>0</v>
      </c>
      <c r="ES34" s="316" t="s">
        <v>4</v>
      </c>
      <c r="ET34" s="317"/>
      <c r="EU34" s="53"/>
      <c r="FB34" s="316" t="s">
        <v>4</v>
      </c>
      <c r="FC34" s="317"/>
      <c r="FD34" s="53"/>
      <c r="FK34" s="316" t="s">
        <v>4</v>
      </c>
      <c r="FL34" s="317"/>
      <c r="FM34" s="53"/>
      <c r="FT34" s="316" t="s">
        <v>4</v>
      </c>
      <c r="FU34" s="317"/>
      <c r="FV34" s="53"/>
      <c r="GC34" s="316" t="s">
        <v>4</v>
      </c>
      <c r="GD34" s="317"/>
      <c r="GE34" s="53"/>
      <c r="GL34" s="316" t="s">
        <v>4</v>
      </c>
      <c r="GM34" s="317"/>
      <c r="GN34" s="53"/>
      <c r="GU34" s="316" t="s">
        <v>4</v>
      </c>
      <c r="GV34" s="317"/>
      <c r="GW34" s="53">
        <v>0</v>
      </c>
      <c r="HD34" s="316" t="s">
        <v>4</v>
      </c>
      <c r="HE34" s="317"/>
      <c r="HF34" s="53"/>
      <c r="HM34" s="316" t="s">
        <v>4</v>
      </c>
      <c r="HN34" s="317"/>
      <c r="HO34" s="53"/>
      <c r="HV34" s="316" t="s">
        <v>4</v>
      </c>
      <c r="HW34" s="317"/>
      <c r="HX34" s="53"/>
      <c r="IE34" s="316" t="s">
        <v>4</v>
      </c>
      <c r="IF34" s="317"/>
      <c r="IG34" s="53">
        <v>0</v>
      </c>
      <c r="IN34" s="316" t="s">
        <v>4</v>
      </c>
      <c r="IO34" s="317"/>
      <c r="IP34" s="53"/>
      <c r="IW34" s="316" t="s">
        <v>4</v>
      </c>
      <c r="IX34" s="317"/>
      <c r="IY34" s="53"/>
      <c r="JF34" s="316" t="s">
        <v>4</v>
      </c>
      <c r="JG34" s="317"/>
      <c r="JH34" s="53"/>
      <c r="JO34" s="316" t="s">
        <v>4</v>
      </c>
      <c r="JP34" s="317"/>
      <c r="JQ34" s="53"/>
      <c r="JX34" s="316" t="s">
        <v>4</v>
      </c>
      <c r="JY34" s="317"/>
      <c r="JZ34" s="53"/>
      <c r="KG34" s="314" t="s">
        <v>21</v>
      </c>
      <c r="KH34" s="315"/>
      <c r="KI34" s="211">
        <f>KJ5-KI32</f>
        <v>0</v>
      </c>
      <c r="KP34" s="316" t="s">
        <v>4</v>
      </c>
      <c r="KQ34" s="317"/>
      <c r="KR34" s="53"/>
      <c r="KY34" s="316" t="s">
        <v>4</v>
      </c>
      <c r="KZ34" s="317"/>
      <c r="LA34" s="53"/>
      <c r="LH34" s="316" t="s">
        <v>4</v>
      </c>
      <c r="LI34" s="317"/>
      <c r="LJ34" s="53"/>
      <c r="LQ34" s="316" t="s">
        <v>4</v>
      </c>
      <c r="LR34" s="317"/>
      <c r="LS34" s="53"/>
      <c r="LZ34" s="316" t="s">
        <v>4</v>
      </c>
      <c r="MA34" s="317"/>
      <c r="MB34" s="53"/>
      <c r="MI34" s="316" t="s">
        <v>4</v>
      </c>
      <c r="MJ34" s="317"/>
      <c r="MK34" s="53"/>
      <c r="MR34" s="316" t="s">
        <v>4</v>
      </c>
      <c r="MS34" s="317"/>
      <c r="MT34" s="53"/>
      <c r="NA34" s="316" t="s">
        <v>4</v>
      </c>
      <c r="NB34" s="317"/>
      <c r="NC34" s="53"/>
      <c r="NJ34" s="316" t="s">
        <v>4</v>
      </c>
      <c r="NK34" s="317"/>
      <c r="NL34" s="53"/>
      <c r="NS34" s="316" t="s">
        <v>4</v>
      </c>
      <c r="NT34" s="317"/>
      <c r="NU34" s="53"/>
      <c r="OB34" s="316" t="s">
        <v>4</v>
      </c>
      <c r="OC34" s="317"/>
      <c r="OD34" s="53"/>
      <c r="OK34" s="316" t="s">
        <v>4</v>
      </c>
      <c r="OL34" s="317"/>
      <c r="OM34" s="53"/>
      <c r="OT34" s="316" t="s">
        <v>4</v>
      </c>
      <c r="OU34" s="317"/>
      <c r="OV34" s="53"/>
      <c r="PC34" s="316" t="s">
        <v>4</v>
      </c>
      <c r="PD34" s="317"/>
      <c r="PE34" s="53"/>
      <c r="PL34" s="316" t="s">
        <v>4</v>
      </c>
      <c r="PM34" s="317"/>
      <c r="PN34" s="53"/>
      <c r="PU34" s="316" t="s">
        <v>4</v>
      </c>
      <c r="PV34" s="317"/>
      <c r="PW34" s="53"/>
      <c r="QD34" s="316" t="s">
        <v>4</v>
      </c>
      <c r="QE34" s="317"/>
      <c r="QF34" s="53"/>
      <c r="QM34" s="763" t="s">
        <v>4</v>
      </c>
      <c r="QN34" s="764"/>
      <c r="QO34" s="53"/>
      <c r="QV34" s="763" t="s">
        <v>4</v>
      </c>
      <c r="QW34" s="764"/>
      <c r="QX34" s="53"/>
      <c r="RE34" s="763" t="s">
        <v>4</v>
      </c>
      <c r="RF34" s="764"/>
      <c r="RG34" s="53"/>
      <c r="RN34" s="763" t="s">
        <v>4</v>
      </c>
      <c r="RO34" s="764"/>
      <c r="RP34" s="53"/>
      <c r="RW34" s="763" t="s">
        <v>4</v>
      </c>
      <c r="RX34" s="764"/>
      <c r="RY34" s="53"/>
      <c r="SF34" s="763" t="s">
        <v>4</v>
      </c>
      <c r="SG34" s="764"/>
      <c r="SH34" s="53"/>
      <c r="SO34" s="763" t="s">
        <v>4</v>
      </c>
      <c r="SP34" s="764"/>
      <c r="SQ34" s="53"/>
      <c r="SX34" s="763" t="s">
        <v>4</v>
      </c>
      <c r="SY34" s="764"/>
      <c r="SZ34" s="53"/>
      <c r="TG34" s="316" t="s">
        <v>4</v>
      </c>
      <c r="TH34" s="317"/>
      <c r="TI34" s="53"/>
      <c r="TP34" s="316" t="s">
        <v>4</v>
      </c>
      <c r="TQ34" s="317"/>
      <c r="TR34" s="53"/>
      <c r="TY34" s="763" t="s">
        <v>4</v>
      </c>
      <c r="TZ34" s="764"/>
      <c r="UA34" s="53"/>
      <c r="UH34" s="763" t="s">
        <v>4</v>
      </c>
      <c r="UI34" s="764"/>
      <c r="UJ34" s="53"/>
      <c r="UQ34" s="763" t="s">
        <v>4</v>
      </c>
      <c r="UR34" s="764"/>
      <c r="US34" s="53"/>
      <c r="UZ34" s="763" t="s">
        <v>4</v>
      </c>
      <c r="VA34" s="764"/>
      <c r="VB34" s="53"/>
      <c r="VI34" s="763" t="s">
        <v>4</v>
      </c>
      <c r="VJ34" s="764"/>
      <c r="VK34" s="53"/>
      <c r="VR34" s="763" t="s">
        <v>4</v>
      </c>
      <c r="VS34" s="764"/>
      <c r="VT34" s="53"/>
      <c r="WA34" s="763" t="s">
        <v>4</v>
      </c>
      <c r="WB34" s="764"/>
      <c r="WC34" s="53"/>
      <c r="WJ34" s="763" t="s">
        <v>4</v>
      </c>
      <c r="WK34" s="764"/>
      <c r="WL34" s="53"/>
      <c r="WS34" s="763" t="s">
        <v>4</v>
      </c>
      <c r="WT34" s="764"/>
      <c r="WU34" s="53"/>
      <c r="XB34" s="763" t="s">
        <v>4</v>
      </c>
      <c r="XC34" s="764"/>
      <c r="XD34" s="53"/>
      <c r="XK34" s="763" t="s">
        <v>4</v>
      </c>
      <c r="XL34" s="764"/>
      <c r="XM34" s="53"/>
      <c r="XT34" s="763" t="s">
        <v>4</v>
      </c>
      <c r="XU34" s="764"/>
      <c r="XV34" s="53"/>
      <c r="YC34" s="763" t="s">
        <v>4</v>
      </c>
      <c r="YD34" s="764"/>
      <c r="YE34" s="53"/>
      <c r="YL34" s="763" t="s">
        <v>4</v>
      </c>
      <c r="YM34" s="764"/>
      <c r="YN34" s="53"/>
      <c r="YU34" s="763" t="s">
        <v>4</v>
      </c>
      <c r="YV34" s="764"/>
      <c r="YW34" s="53"/>
      <c r="ZD34" s="763" t="s">
        <v>4</v>
      </c>
      <c r="ZE34" s="764"/>
      <c r="ZF34" s="53"/>
      <c r="ZM34" s="763" t="s">
        <v>4</v>
      </c>
      <c r="ZN34" s="764"/>
      <c r="ZO34" s="53"/>
      <c r="ZV34" s="763" t="s">
        <v>4</v>
      </c>
      <c r="ZW34" s="764"/>
      <c r="ZX34" s="53"/>
      <c r="AAE34" s="763" t="s">
        <v>4</v>
      </c>
      <c r="AAF34" s="764"/>
      <c r="AAG34" s="53"/>
      <c r="AAN34" s="763" t="s">
        <v>4</v>
      </c>
      <c r="AAO34" s="764"/>
      <c r="AAP34" s="53"/>
      <c r="AAW34" s="763" t="s">
        <v>4</v>
      </c>
      <c r="AAX34" s="764"/>
      <c r="AAY34" s="53"/>
      <c r="ABF34" s="763" t="s">
        <v>4</v>
      </c>
      <c r="ABG34" s="764"/>
      <c r="ABH34" s="53"/>
      <c r="ABO34" s="763" t="s">
        <v>4</v>
      </c>
      <c r="ABP34" s="764"/>
      <c r="ABQ34" s="53"/>
      <c r="ABX34" s="763" t="s">
        <v>4</v>
      </c>
      <c r="ABY34" s="764"/>
      <c r="ABZ34" s="53"/>
      <c r="ACG34" s="763" t="s">
        <v>4</v>
      </c>
      <c r="ACH34" s="764"/>
      <c r="ACI34" s="53"/>
      <c r="ACP34" s="763" t="s">
        <v>4</v>
      </c>
      <c r="ACQ34" s="764"/>
      <c r="ACR34" s="53"/>
      <c r="ACY34" s="763" t="s">
        <v>4</v>
      </c>
      <c r="ACZ34" s="764"/>
      <c r="ADA34" s="53"/>
    </row>
    <row r="35" spans="1:781" s="102" customFormat="1" ht="16.5" thickBot="1" x14ac:dyDescent="0.3">
      <c r="A35" s="19">
        <v>32</v>
      </c>
      <c r="B35" s="102">
        <f t="shared" ref="B35:H35" si="32">KD5</f>
        <v>0</v>
      </c>
      <c r="C35" s="102">
        <f t="shared" si="32"/>
        <v>0</v>
      </c>
      <c r="D35" s="148">
        <f t="shared" si="32"/>
        <v>0</v>
      </c>
      <c r="E35" s="204">
        <f t="shared" si="32"/>
        <v>0</v>
      </c>
      <c r="F35" s="128">
        <f t="shared" si="32"/>
        <v>0</v>
      </c>
      <c r="G35" s="97">
        <f t="shared" si="32"/>
        <v>0</v>
      </c>
      <c r="H35" s="52">
        <f t="shared" si="32"/>
        <v>0</v>
      </c>
      <c r="I35" s="154">
        <f t="shared" si="28"/>
        <v>0</v>
      </c>
      <c r="KG35" s="316" t="s">
        <v>4</v>
      </c>
      <c r="KH35" s="317"/>
      <c r="KI35" s="53"/>
    </row>
    <row r="36" spans="1:781" s="102" customFormat="1" x14ac:dyDescent="0.25">
      <c r="A36" s="19">
        <v>33</v>
      </c>
      <c r="B36" s="102">
        <f t="shared" ref="B36:H36" si="33">KM5</f>
        <v>0</v>
      </c>
      <c r="C36" s="102">
        <f t="shared" si="33"/>
        <v>0</v>
      </c>
      <c r="D36" s="148">
        <f t="shared" si="33"/>
        <v>0</v>
      </c>
      <c r="E36" s="204">
        <f t="shared" si="33"/>
        <v>0</v>
      </c>
      <c r="F36" s="128">
        <f t="shared" si="33"/>
        <v>0</v>
      </c>
      <c r="G36" s="97">
        <f t="shared" si="33"/>
        <v>0</v>
      </c>
      <c r="H36" s="52">
        <f t="shared" si="33"/>
        <v>0</v>
      </c>
      <c r="I36" s="154">
        <f t="shared" si="28"/>
        <v>0</v>
      </c>
    </row>
    <row r="37" spans="1:781" s="102" customFormat="1" x14ac:dyDescent="0.25">
      <c r="A37" s="19">
        <v>34</v>
      </c>
      <c r="B37" s="102">
        <f t="shared" ref="B37:H37" si="34">KV5</f>
        <v>0</v>
      </c>
      <c r="C37" s="102">
        <f t="shared" si="34"/>
        <v>0</v>
      </c>
      <c r="D37" s="148">
        <f t="shared" si="34"/>
        <v>0</v>
      </c>
      <c r="E37" s="204">
        <f t="shared" si="34"/>
        <v>0</v>
      </c>
      <c r="F37" s="128">
        <f t="shared" si="34"/>
        <v>0</v>
      </c>
      <c r="G37" s="97">
        <f t="shared" si="34"/>
        <v>0</v>
      </c>
      <c r="H37" s="52">
        <f t="shared" si="34"/>
        <v>0</v>
      </c>
      <c r="I37" s="154">
        <f t="shared" si="28"/>
        <v>0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BE44" s="32"/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BE45" s="32"/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BE46" s="32"/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BE47" s="32"/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  <c r="BE48" s="32"/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  <c r="BE49" s="32"/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1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2">
        <f t="shared" ref="B62:H62" si="58">TM5</f>
        <v>0</v>
      </c>
      <c r="C62" s="292">
        <f t="shared" si="58"/>
        <v>0</v>
      </c>
      <c r="D62" s="293">
        <f t="shared" si="58"/>
        <v>0</v>
      </c>
      <c r="E62" s="294">
        <f t="shared" si="58"/>
        <v>0</v>
      </c>
      <c r="F62" s="295">
        <f t="shared" si="58"/>
        <v>0</v>
      </c>
      <c r="G62" s="296">
        <f t="shared" si="58"/>
        <v>0</v>
      </c>
      <c r="H62" s="291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2">
        <f>TV5</f>
        <v>0</v>
      </c>
      <c r="C63" s="292">
        <f>TW5</f>
        <v>0</v>
      </c>
      <c r="D63" s="293">
        <f>TX5</f>
        <v>0</v>
      </c>
      <c r="E63" s="294">
        <f>TY5</f>
        <v>0</v>
      </c>
      <c r="F63" s="295">
        <f>TZ5</f>
        <v>0</v>
      </c>
      <c r="G63" s="297">
        <f>UJ5</f>
        <v>0</v>
      </c>
      <c r="H63" s="291">
        <f>UB5</f>
        <v>0</v>
      </c>
      <c r="I63" s="6">
        <f t="shared" si="28"/>
        <v>0</v>
      </c>
    </row>
    <row r="64" spans="1:240" x14ac:dyDescent="0.25">
      <c r="A64" s="19">
        <v>61</v>
      </c>
      <c r="B64" s="292">
        <f t="shared" ref="B64:H64" si="59">UE5</f>
        <v>0</v>
      </c>
      <c r="C64" s="293">
        <f t="shared" si="59"/>
        <v>0</v>
      </c>
      <c r="D64" s="293">
        <f t="shared" si="59"/>
        <v>0</v>
      </c>
      <c r="E64" s="294">
        <f t="shared" si="59"/>
        <v>0</v>
      </c>
      <c r="F64" s="295">
        <f t="shared" si="59"/>
        <v>0</v>
      </c>
      <c r="G64" s="297">
        <f t="shared" si="59"/>
        <v>0</v>
      </c>
      <c r="H64" s="291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2">
        <f t="shared" ref="B65:H65" si="60">UN5</f>
        <v>0</v>
      </c>
      <c r="C65" s="292">
        <f t="shared" si="60"/>
        <v>0</v>
      </c>
      <c r="D65" s="293">
        <f t="shared" si="60"/>
        <v>0</v>
      </c>
      <c r="E65" s="294">
        <f t="shared" si="60"/>
        <v>0</v>
      </c>
      <c r="F65" s="295">
        <f t="shared" si="60"/>
        <v>0</v>
      </c>
      <c r="G65" s="297">
        <f t="shared" si="60"/>
        <v>0</v>
      </c>
      <c r="H65" s="291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2">
        <f t="shared" ref="B66:H66" si="61">UW5</f>
        <v>0</v>
      </c>
      <c r="C66" s="292">
        <f t="shared" si="61"/>
        <v>0</v>
      </c>
      <c r="D66" s="293">
        <f t="shared" si="61"/>
        <v>0</v>
      </c>
      <c r="E66" s="294">
        <f t="shared" si="61"/>
        <v>0</v>
      </c>
      <c r="F66" s="295">
        <f t="shared" si="61"/>
        <v>0</v>
      </c>
      <c r="G66" s="297">
        <f t="shared" si="61"/>
        <v>0</v>
      </c>
      <c r="H66" s="291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2">
        <f t="shared" ref="B67:H67" si="62">VF5</f>
        <v>0</v>
      </c>
      <c r="C67" s="292">
        <f t="shared" si="62"/>
        <v>0</v>
      </c>
      <c r="D67" s="293">
        <f t="shared" si="62"/>
        <v>0</v>
      </c>
      <c r="E67" s="294">
        <f t="shared" si="62"/>
        <v>0</v>
      </c>
      <c r="F67" s="295">
        <f t="shared" si="62"/>
        <v>0</v>
      </c>
      <c r="G67" s="297">
        <f t="shared" si="62"/>
        <v>0</v>
      </c>
      <c r="H67" s="291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2">
        <f t="shared" ref="B68:H68" si="63">VO5</f>
        <v>0</v>
      </c>
      <c r="C68" s="292">
        <f t="shared" si="63"/>
        <v>0</v>
      </c>
      <c r="D68" s="293">
        <f t="shared" si="63"/>
        <v>0</v>
      </c>
      <c r="E68" s="294">
        <f t="shared" si="63"/>
        <v>0</v>
      </c>
      <c r="F68" s="295">
        <f t="shared" si="63"/>
        <v>0</v>
      </c>
      <c r="G68" s="297">
        <f t="shared" si="63"/>
        <v>0</v>
      </c>
      <c r="H68" s="291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2">
        <f t="shared" ref="B69:H69" si="64">VX5</f>
        <v>0</v>
      </c>
      <c r="C69" s="292">
        <f t="shared" si="64"/>
        <v>0</v>
      </c>
      <c r="D69" s="293">
        <f t="shared" si="64"/>
        <v>0</v>
      </c>
      <c r="E69" s="294">
        <f t="shared" si="64"/>
        <v>0</v>
      </c>
      <c r="F69" s="295">
        <f t="shared" si="64"/>
        <v>0</v>
      </c>
      <c r="G69" s="297">
        <f t="shared" si="64"/>
        <v>0</v>
      </c>
      <c r="H69" s="291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2">
        <f t="shared" ref="B70:H70" si="65">WG5</f>
        <v>0</v>
      </c>
      <c r="C70" s="292">
        <f t="shared" si="65"/>
        <v>0</v>
      </c>
      <c r="D70" s="293">
        <f t="shared" si="65"/>
        <v>0</v>
      </c>
      <c r="E70" s="294">
        <f t="shared" si="65"/>
        <v>0</v>
      </c>
      <c r="F70" s="295">
        <f t="shared" si="65"/>
        <v>0</v>
      </c>
      <c r="G70" s="297">
        <f t="shared" si="65"/>
        <v>0</v>
      </c>
      <c r="H70" s="291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8">
        <f t="shared" ref="B71:H71" si="66">WP5</f>
        <v>0</v>
      </c>
      <c r="C71" s="292">
        <f t="shared" si="66"/>
        <v>0</v>
      </c>
      <c r="D71" s="293">
        <f t="shared" si="66"/>
        <v>0</v>
      </c>
      <c r="E71" s="294">
        <f t="shared" si="66"/>
        <v>0</v>
      </c>
      <c r="F71" s="295">
        <f t="shared" si="66"/>
        <v>0</v>
      </c>
      <c r="G71" s="297">
        <f t="shared" si="66"/>
        <v>0</v>
      </c>
      <c r="H71" s="291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2">
        <f t="shared" ref="B72:H72" si="67">WY5</f>
        <v>0</v>
      </c>
      <c r="C72" s="292">
        <f t="shared" si="67"/>
        <v>0</v>
      </c>
      <c r="D72" s="293">
        <f t="shared" si="67"/>
        <v>0</v>
      </c>
      <c r="E72" s="294">
        <f t="shared" si="67"/>
        <v>0</v>
      </c>
      <c r="F72" s="295">
        <f t="shared" si="67"/>
        <v>0</v>
      </c>
      <c r="G72" s="297">
        <f t="shared" si="67"/>
        <v>0</v>
      </c>
      <c r="H72" s="291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2">
        <f t="shared" ref="B73:H73" si="68">XH5</f>
        <v>0</v>
      </c>
      <c r="C73" s="292">
        <f t="shared" si="68"/>
        <v>0</v>
      </c>
      <c r="D73" s="293">
        <f t="shared" si="68"/>
        <v>0</v>
      </c>
      <c r="E73" s="294">
        <f t="shared" si="68"/>
        <v>0</v>
      </c>
      <c r="F73" s="295">
        <f t="shared" si="68"/>
        <v>0</v>
      </c>
      <c r="G73" s="297">
        <f t="shared" si="68"/>
        <v>0</v>
      </c>
      <c r="H73" s="291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2">
        <f t="shared" ref="B74:H74" si="69">XQ5</f>
        <v>0</v>
      </c>
      <c r="C74" s="292">
        <f t="shared" si="69"/>
        <v>0</v>
      </c>
      <c r="D74" s="293">
        <f t="shared" si="69"/>
        <v>0</v>
      </c>
      <c r="E74" s="294">
        <f t="shared" si="69"/>
        <v>0</v>
      </c>
      <c r="F74" s="295">
        <f t="shared" si="69"/>
        <v>0</v>
      </c>
      <c r="G74" s="297">
        <f t="shared" si="69"/>
        <v>0</v>
      </c>
      <c r="H74" s="291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2">
        <f t="shared" ref="B75:H75" si="70">XZ5</f>
        <v>0</v>
      </c>
      <c r="C75" s="292">
        <f t="shared" si="70"/>
        <v>0</v>
      </c>
      <c r="D75" s="293">
        <f t="shared" si="70"/>
        <v>0</v>
      </c>
      <c r="E75" s="294">
        <f t="shared" si="70"/>
        <v>0</v>
      </c>
      <c r="F75" s="295">
        <f t="shared" si="70"/>
        <v>0</v>
      </c>
      <c r="G75" s="297">
        <f t="shared" si="70"/>
        <v>0</v>
      </c>
      <c r="H75" s="291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2">
        <f t="shared" ref="B76:G76" si="71">YI5</f>
        <v>0</v>
      </c>
      <c r="C76" s="292">
        <f t="shared" si="71"/>
        <v>0</v>
      </c>
      <c r="D76" s="293">
        <f t="shared" si="71"/>
        <v>0</v>
      </c>
      <c r="E76" s="294">
        <f t="shared" si="71"/>
        <v>0</v>
      </c>
      <c r="F76" s="295">
        <f t="shared" si="71"/>
        <v>0</v>
      </c>
      <c r="G76" s="297">
        <f t="shared" si="71"/>
        <v>0</v>
      </c>
      <c r="H76" s="291">
        <f>YX5</f>
        <v>0</v>
      </c>
      <c r="I76" s="6">
        <f t="shared" si="28"/>
        <v>0</v>
      </c>
    </row>
    <row r="77" spans="1:9" x14ac:dyDescent="0.25">
      <c r="A77" s="19">
        <v>74</v>
      </c>
      <c r="B77" s="292">
        <f t="shared" ref="B77:H77" si="72">YR5</f>
        <v>0</v>
      </c>
      <c r="C77" s="292">
        <f t="shared" si="72"/>
        <v>0</v>
      </c>
      <c r="D77" s="293">
        <f t="shared" si="72"/>
        <v>0</v>
      </c>
      <c r="E77" s="294">
        <f t="shared" si="72"/>
        <v>0</v>
      </c>
      <c r="F77" s="295">
        <f t="shared" si="72"/>
        <v>0</v>
      </c>
      <c r="G77" s="297">
        <f t="shared" si="72"/>
        <v>0</v>
      </c>
      <c r="H77" s="291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2">
        <f t="shared" ref="B78:H78" si="73">ZA5</f>
        <v>0</v>
      </c>
      <c r="C78" s="292">
        <f t="shared" si="73"/>
        <v>0</v>
      </c>
      <c r="D78" s="293">
        <f t="shared" si="73"/>
        <v>0</v>
      </c>
      <c r="E78" s="294">
        <f t="shared" si="73"/>
        <v>0</v>
      </c>
      <c r="F78" s="295">
        <f t="shared" si="73"/>
        <v>0</v>
      </c>
      <c r="G78" s="297">
        <f t="shared" si="73"/>
        <v>0</v>
      </c>
      <c r="H78" s="291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2">
        <f>ZJ5</f>
        <v>0</v>
      </c>
      <c r="C79" s="292">
        <f>ZK5</f>
        <v>0</v>
      </c>
      <c r="D79" s="293">
        <f>ZL5</f>
        <v>0</v>
      </c>
      <c r="E79" s="294">
        <f>ZM5</f>
        <v>0</v>
      </c>
      <c r="F79" s="295">
        <f>ZN5</f>
        <v>0</v>
      </c>
      <c r="G79" s="297">
        <f>ZX5</f>
        <v>0</v>
      </c>
      <c r="H79" s="291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2">
        <f t="shared" ref="B81:H81" si="75">AAB5</f>
        <v>0</v>
      </c>
      <c r="C81" s="292">
        <f t="shared" si="75"/>
        <v>0</v>
      </c>
      <c r="D81" s="293">
        <f t="shared" si="75"/>
        <v>0</v>
      </c>
      <c r="E81" s="294">
        <f t="shared" si="75"/>
        <v>0</v>
      </c>
      <c r="F81" s="295">
        <f t="shared" si="75"/>
        <v>0</v>
      </c>
      <c r="G81" s="297">
        <f t="shared" si="75"/>
        <v>0</v>
      </c>
      <c r="H81" s="291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2">
        <f>AAK5</f>
        <v>0</v>
      </c>
      <c r="C82" s="292">
        <f>AAL5</f>
        <v>0</v>
      </c>
      <c r="D82" s="293">
        <f>AAM5</f>
        <v>0</v>
      </c>
      <c r="E82" s="294">
        <f>AAE5</f>
        <v>0</v>
      </c>
      <c r="F82" s="295">
        <f>AAO5</f>
        <v>0</v>
      </c>
      <c r="G82" s="299">
        <f>AAP5</f>
        <v>0</v>
      </c>
      <c r="H82" s="291">
        <f>AAQ5</f>
        <v>0</v>
      </c>
      <c r="I82" s="6">
        <f t="shared" si="28"/>
        <v>0</v>
      </c>
    </row>
    <row r="83" spans="1:9" x14ac:dyDescent="0.25">
      <c r="A83" s="19">
        <v>80</v>
      </c>
      <c r="B83" s="292">
        <f t="shared" ref="B83:H83" si="76">AAT5</f>
        <v>0</v>
      </c>
      <c r="C83" s="292">
        <f t="shared" si="76"/>
        <v>0</v>
      </c>
      <c r="D83" s="293">
        <f t="shared" si="76"/>
        <v>0</v>
      </c>
      <c r="E83" s="294">
        <f t="shared" si="76"/>
        <v>0</v>
      </c>
      <c r="F83" s="295">
        <f t="shared" si="76"/>
        <v>0</v>
      </c>
      <c r="G83" s="297">
        <f t="shared" si="76"/>
        <v>0</v>
      </c>
      <c r="H83" s="291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2">
        <f>ABC5</f>
        <v>0</v>
      </c>
      <c r="C84" s="292">
        <f>ABD5</f>
        <v>0</v>
      </c>
      <c r="D84" s="293">
        <f>ABE5</f>
        <v>0</v>
      </c>
      <c r="E84" s="294">
        <f>ABF5</f>
        <v>0</v>
      </c>
      <c r="F84" s="295">
        <f>ABG5</f>
        <v>0</v>
      </c>
      <c r="G84" s="299">
        <f>ABZ5</f>
        <v>0</v>
      </c>
      <c r="H84" s="291">
        <f>ABI5</f>
        <v>0</v>
      </c>
      <c r="I84" s="6">
        <f t="shared" si="28"/>
        <v>0</v>
      </c>
    </row>
    <row r="85" spans="1:9" x14ac:dyDescent="0.25">
      <c r="A85" s="19">
        <v>82</v>
      </c>
      <c r="B85" s="292">
        <f>ABL5</f>
        <v>0</v>
      </c>
      <c r="C85" s="292">
        <f>ABM5</f>
        <v>0</v>
      </c>
      <c r="D85" s="293">
        <f>ABN5</f>
        <v>0</v>
      </c>
      <c r="E85" s="294">
        <f>ABO5</f>
        <v>0</v>
      </c>
      <c r="F85" s="295">
        <f>ACH5</f>
        <v>0</v>
      </c>
      <c r="G85" s="299">
        <f>ABQ5</f>
        <v>0</v>
      </c>
      <c r="H85" s="291">
        <f>ABR5</f>
        <v>0</v>
      </c>
      <c r="I85" s="6">
        <f t="shared" si="28"/>
        <v>0</v>
      </c>
    </row>
    <row r="86" spans="1:9" x14ac:dyDescent="0.25">
      <c r="A86" s="207">
        <v>83</v>
      </c>
      <c r="B86" s="292">
        <f t="shared" ref="B86:H86" si="77">ABU5</f>
        <v>0</v>
      </c>
      <c r="C86" s="292">
        <f t="shared" si="77"/>
        <v>0</v>
      </c>
      <c r="D86" s="293">
        <f t="shared" si="77"/>
        <v>0</v>
      </c>
      <c r="E86" s="294">
        <f t="shared" si="77"/>
        <v>0</v>
      </c>
      <c r="F86" s="295">
        <f t="shared" si="77"/>
        <v>0</v>
      </c>
      <c r="G86" s="297">
        <f t="shared" si="77"/>
        <v>0</v>
      </c>
      <c r="H86" s="291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2">
        <f t="shared" ref="B87:H87" si="78">ACD5</f>
        <v>0</v>
      </c>
      <c r="C87" s="292">
        <f t="shared" si="78"/>
        <v>0</v>
      </c>
      <c r="D87" s="293">
        <f t="shared" si="78"/>
        <v>0</v>
      </c>
      <c r="E87" s="294">
        <f t="shared" si="78"/>
        <v>0</v>
      </c>
      <c r="F87" s="295">
        <f t="shared" si="78"/>
        <v>0</v>
      </c>
      <c r="G87" s="297">
        <f t="shared" si="78"/>
        <v>0</v>
      </c>
      <c r="H87" s="291">
        <f t="shared" si="78"/>
        <v>0</v>
      </c>
      <c r="I87" s="295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61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1" ht="45.75" x14ac:dyDescent="0.65">
      <c r="A1" s="760" t="s">
        <v>144</v>
      </c>
      <c r="B1" s="760"/>
      <c r="C1" s="760"/>
      <c r="D1" s="760"/>
      <c r="E1" s="760"/>
      <c r="F1" s="760"/>
      <c r="G1" s="760"/>
      <c r="H1" s="14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1" ht="17.25" thickTop="1" thickBot="1" x14ac:dyDescent="0.3">
      <c r="A4" s="102"/>
      <c r="B4" s="216"/>
      <c r="C4" s="18"/>
      <c r="D4" s="194"/>
      <c r="E4" s="333"/>
      <c r="F4" s="215"/>
    </row>
    <row r="5" spans="1:11" ht="15" customHeight="1" thickBot="1" x14ac:dyDescent="0.3">
      <c r="A5" s="797" t="s">
        <v>304</v>
      </c>
      <c r="B5" s="799" t="s">
        <v>305</v>
      </c>
      <c r="C5" s="167">
        <v>40</v>
      </c>
      <c r="D5" s="171">
        <v>43760</v>
      </c>
      <c r="E5" s="285">
        <v>612.45000000000005</v>
      </c>
      <c r="F5" s="215">
        <v>45</v>
      </c>
      <c r="G5" s="601">
        <f>F44</f>
        <v>612.45000000000005</v>
      </c>
      <c r="H5" s="76">
        <f>E4+E5+E6-G5</f>
        <v>0</v>
      </c>
    </row>
    <row r="6" spans="1:11" ht="17.25" thickTop="1" thickBot="1" x14ac:dyDescent="0.3">
      <c r="A6" s="798"/>
      <c r="B6" s="800"/>
      <c r="C6" s="300"/>
      <c r="E6" s="216"/>
      <c r="F6" s="286"/>
      <c r="I6" s="801" t="s">
        <v>3</v>
      </c>
      <c r="J6" s="795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02"/>
      <c r="J7" s="796"/>
    </row>
    <row r="8" spans="1:11" ht="15.75" thickTop="1" x14ac:dyDescent="0.25">
      <c r="A8" s="120" t="s">
        <v>32</v>
      </c>
      <c r="B8" s="125"/>
      <c r="C8" s="16">
        <v>45</v>
      </c>
      <c r="D8" s="318">
        <v>612.45000000000005</v>
      </c>
      <c r="E8" s="126">
        <v>43760</v>
      </c>
      <c r="F8" s="89">
        <f t="shared" ref="F8:F13" si="0">D8</f>
        <v>612.45000000000005</v>
      </c>
      <c r="G8" s="727" t="s">
        <v>325</v>
      </c>
      <c r="H8" s="728">
        <v>44</v>
      </c>
      <c r="I8" s="729">
        <f>E5+E4-F8+E6</f>
        <v>0</v>
      </c>
      <c r="J8" s="188">
        <f>F4+F5+F6-C8</f>
        <v>0</v>
      </c>
    </row>
    <row r="9" spans="1:11" x14ac:dyDescent="0.25">
      <c r="A9" s="364"/>
      <c r="B9" s="125"/>
      <c r="C9" s="16"/>
      <c r="D9" s="318"/>
      <c r="E9" s="126"/>
      <c r="F9" s="89">
        <f t="shared" si="0"/>
        <v>0</v>
      </c>
      <c r="G9" s="727"/>
      <c r="H9" s="728"/>
      <c r="I9" s="729">
        <f>I8-F9</f>
        <v>0</v>
      </c>
      <c r="J9" s="488">
        <f>J8-C9</f>
        <v>0</v>
      </c>
      <c r="K9" s="438"/>
    </row>
    <row r="10" spans="1:11" x14ac:dyDescent="0.25">
      <c r="A10" s="342"/>
      <c r="B10" s="125"/>
      <c r="C10" s="16"/>
      <c r="D10" s="318">
        <f t="shared" ref="D10:D13" si="1">C10*B10</f>
        <v>0</v>
      </c>
      <c r="E10" s="126"/>
      <c r="F10" s="89">
        <f t="shared" si="0"/>
        <v>0</v>
      </c>
      <c r="G10" s="727"/>
      <c r="H10" s="728"/>
      <c r="I10" s="729">
        <f t="shared" ref="I10:I42" si="2">I9-F10</f>
        <v>0</v>
      </c>
      <c r="J10" s="488">
        <f t="shared" ref="J10:J42" si="3">J9-C10</f>
        <v>0</v>
      </c>
      <c r="K10" s="438"/>
    </row>
    <row r="11" spans="1:11" x14ac:dyDescent="0.25">
      <c r="A11" s="122" t="s">
        <v>33</v>
      </c>
      <c r="B11" s="125"/>
      <c r="C11" s="16"/>
      <c r="D11" s="318">
        <f t="shared" si="1"/>
        <v>0</v>
      </c>
      <c r="E11" s="126"/>
      <c r="F11" s="89">
        <f t="shared" si="0"/>
        <v>0</v>
      </c>
      <c r="G11" s="727"/>
      <c r="H11" s="728"/>
      <c r="I11" s="729">
        <f t="shared" si="2"/>
        <v>0</v>
      </c>
      <c r="J11" s="488">
        <f t="shared" si="3"/>
        <v>0</v>
      </c>
      <c r="K11" s="438"/>
    </row>
    <row r="12" spans="1:11" x14ac:dyDescent="0.25">
      <c r="A12" s="97"/>
      <c r="B12" s="125"/>
      <c r="C12" s="16"/>
      <c r="D12" s="318">
        <f t="shared" si="1"/>
        <v>0</v>
      </c>
      <c r="E12" s="126"/>
      <c r="F12" s="89">
        <f t="shared" si="0"/>
        <v>0</v>
      </c>
      <c r="G12" s="727"/>
      <c r="H12" s="728"/>
      <c r="I12" s="729">
        <f t="shared" si="2"/>
        <v>0</v>
      </c>
      <c r="J12" s="488">
        <f t="shared" si="3"/>
        <v>0</v>
      </c>
      <c r="K12" s="438"/>
    </row>
    <row r="13" spans="1:11" x14ac:dyDescent="0.25">
      <c r="A13" s="97"/>
      <c r="B13" s="125"/>
      <c r="C13" s="16"/>
      <c r="D13" s="318">
        <f t="shared" si="1"/>
        <v>0</v>
      </c>
      <c r="E13" s="119"/>
      <c r="F13" s="89">
        <f t="shared" si="0"/>
        <v>0</v>
      </c>
      <c r="G13" s="727"/>
      <c r="H13" s="728"/>
      <c r="I13" s="729">
        <f t="shared" si="2"/>
        <v>0</v>
      </c>
      <c r="J13" s="488">
        <f t="shared" si="3"/>
        <v>0</v>
      </c>
      <c r="K13" s="438"/>
    </row>
    <row r="14" spans="1:11" x14ac:dyDescent="0.25">
      <c r="B14" s="125"/>
      <c r="C14" s="16"/>
      <c r="D14" s="318">
        <f>C14*B14</f>
        <v>0</v>
      </c>
      <c r="E14" s="119"/>
      <c r="F14" s="89">
        <f>D14</f>
        <v>0</v>
      </c>
      <c r="G14" s="727"/>
      <c r="H14" s="728"/>
      <c r="I14" s="729">
        <f t="shared" si="2"/>
        <v>0</v>
      </c>
      <c r="J14" s="488">
        <f t="shared" si="3"/>
        <v>0</v>
      </c>
      <c r="K14" s="438"/>
    </row>
    <row r="15" spans="1:11" x14ac:dyDescent="0.25">
      <c r="B15" s="125"/>
      <c r="C15" s="16"/>
      <c r="D15" s="318">
        <f>C15*B15</f>
        <v>0</v>
      </c>
      <c r="E15" s="119"/>
      <c r="F15" s="89">
        <f>D15</f>
        <v>0</v>
      </c>
      <c r="G15" s="90"/>
      <c r="H15" s="486"/>
      <c r="I15" s="487">
        <f t="shared" si="2"/>
        <v>0</v>
      </c>
      <c r="J15" s="488">
        <f t="shared" si="3"/>
        <v>0</v>
      </c>
      <c r="K15" s="438"/>
    </row>
    <row r="16" spans="1:11" x14ac:dyDescent="0.25">
      <c r="A16" s="121"/>
      <c r="B16" s="125"/>
      <c r="C16" s="16"/>
      <c r="D16" s="318">
        <f>C16*B16</f>
        <v>0</v>
      </c>
      <c r="E16" s="135"/>
      <c r="F16" s="89">
        <f>D16</f>
        <v>0</v>
      </c>
      <c r="G16" s="90"/>
      <c r="H16" s="486"/>
      <c r="I16" s="487">
        <f t="shared" si="2"/>
        <v>0</v>
      </c>
      <c r="J16" s="488">
        <f t="shared" si="3"/>
        <v>0</v>
      </c>
      <c r="K16" s="438"/>
    </row>
    <row r="17" spans="1:11" x14ac:dyDescent="0.25">
      <c r="A17" s="125"/>
      <c r="B17" s="125"/>
      <c r="C17" s="429"/>
      <c r="D17" s="318">
        <f t="shared" ref="D17:D42" si="4">C17*B17</f>
        <v>0</v>
      </c>
      <c r="E17" s="135"/>
      <c r="F17" s="89">
        <f t="shared" ref="F17:F43" si="5">D17</f>
        <v>0</v>
      </c>
      <c r="G17" s="360"/>
      <c r="H17" s="486"/>
      <c r="I17" s="487">
        <f t="shared" si="2"/>
        <v>0</v>
      </c>
      <c r="J17" s="488">
        <f t="shared" si="3"/>
        <v>0</v>
      </c>
      <c r="K17" s="438"/>
    </row>
    <row r="18" spans="1:11" x14ac:dyDescent="0.25">
      <c r="A18" s="2"/>
      <c r="B18" s="125"/>
      <c r="C18" s="429"/>
      <c r="D18" s="318">
        <f t="shared" si="4"/>
        <v>0</v>
      </c>
      <c r="E18" s="135"/>
      <c r="F18" s="89">
        <f t="shared" si="5"/>
        <v>0</v>
      </c>
      <c r="G18" s="90"/>
      <c r="H18" s="91"/>
      <c r="I18" s="396">
        <f t="shared" si="2"/>
        <v>0</v>
      </c>
      <c r="J18" s="188">
        <f t="shared" si="3"/>
        <v>0</v>
      </c>
    </row>
    <row r="19" spans="1:11" x14ac:dyDescent="0.25">
      <c r="A19" s="2"/>
      <c r="B19" s="125"/>
      <c r="C19" s="429"/>
      <c r="D19" s="318">
        <f t="shared" si="4"/>
        <v>0</v>
      </c>
      <c r="E19" s="135"/>
      <c r="F19" s="89">
        <f t="shared" si="5"/>
        <v>0</v>
      </c>
      <c r="G19" s="90"/>
      <c r="H19" s="91"/>
      <c r="I19" s="396">
        <f t="shared" si="2"/>
        <v>0</v>
      </c>
      <c r="J19" s="188">
        <f t="shared" si="3"/>
        <v>0</v>
      </c>
    </row>
    <row r="20" spans="1:11" x14ac:dyDescent="0.25">
      <c r="A20" s="2"/>
      <c r="B20" s="125"/>
      <c r="C20" s="429"/>
      <c r="D20" s="318">
        <f t="shared" si="4"/>
        <v>0</v>
      </c>
      <c r="E20" s="119"/>
      <c r="F20" s="89">
        <f t="shared" si="5"/>
        <v>0</v>
      </c>
      <c r="G20" s="90"/>
      <c r="H20" s="91"/>
      <c r="I20" s="396">
        <f t="shared" si="2"/>
        <v>0</v>
      </c>
      <c r="J20" s="188">
        <f t="shared" si="3"/>
        <v>0</v>
      </c>
    </row>
    <row r="21" spans="1:11" x14ac:dyDescent="0.25">
      <c r="A21" s="2"/>
      <c r="B21" s="125"/>
      <c r="C21" s="429"/>
      <c r="D21" s="318">
        <f t="shared" si="4"/>
        <v>0</v>
      </c>
      <c r="E21" s="119"/>
      <c r="F21" s="89">
        <f t="shared" si="5"/>
        <v>0</v>
      </c>
      <c r="G21" s="90"/>
      <c r="H21" s="91"/>
      <c r="I21" s="396">
        <f t="shared" si="2"/>
        <v>0</v>
      </c>
      <c r="J21" s="188">
        <f t="shared" si="3"/>
        <v>0</v>
      </c>
    </row>
    <row r="22" spans="1:11" x14ac:dyDescent="0.25">
      <c r="A22" s="2"/>
      <c r="B22" s="125"/>
      <c r="C22" s="429"/>
      <c r="D22" s="318">
        <f t="shared" si="4"/>
        <v>0</v>
      </c>
      <c r="E22" s="119"/>
      <c r="F22" s="89">
        <f t="shared" si="5"/>
        <v>0</v>
      </c>
      <c r="G22" s="90"/>
      <c r="H22" s="91"/>
      <c r="I22" s="396">
        <f t="shared" si="2"/>
        <v>0</v>
      </c>
      <c r="J22" s="188">
        <f t="shared" si="3"/>
        <v>0</v>
      </c>
    </row>
    <row r="23" spans="1:11" x14ac:dyDescent="0.25">
      <c r="A23" s="2"/>
      <c r="B23" s="125"/>
      <c r="C23" s="429"/>
      <c r="D23" s="318">
        <f t="shared" si="4"/>
        <v>0</v>
      </c>
      <c r="E23" s="119"/>
      <c r="F23" s="89">
        <f t="shared" si="5"/>
        <v>0</v>
      </c>
      <c r="G23" s="90"/>
      <c r="H23" s="91"/>
      <c r="I23" s="396">
        <f t="shared" si="2"/>
        <v>0</v>
      </c>
      <c r="J23" s="188">
        <f t="shared" si="3"/>
        <v>0</v>
      </c>
    </row>
    <row r="24" spans="1:11" x14ac:dyDescent="0.25">
      <c r="A24" s="2"/>
      <c r="B24" s="125"/>
      <c r="C24" s="429"/>
      <c r="D24" s="318">
        <f t="shared" si="4"/>
        <v>0</v>
      </c>
      <c r="E24" s="135"/>
      <c r="F24" s="89">
        <f t="shared" si="5"/>
        <v>0</v>
      </c>
      <c r="G24" s="90"/>
      <c r="H24" s="91"/>
      <c r="I24" s="396">
        <f t="shared" si="2"/>
        <v>0</v>
      </c>
      <c r="J24" s="188">
        <f t="shared" si="3"/>
        <v>0</v>
      </c>
    </row>
    <row r="25" spans="1:11" x14ac:dyDescent="0.25">
      <c r="A25" s="2"/>
      <c r="B25" s="125"/>
      <c r="C25" s="429"/>
      <c r="D25" s="318">
        <f t="shared" si="4"/>
        <v>0</v>
      </c>
      <c r="E25" s="135"/>
      <c r="F25" s="89">
        <f t="shared" si="5"/>
        <v>0</v>
      </c>
      <c r="G25" s="90"/>
      <c r="H25" s="91"/>
      <c r="I25" s="396">
        <f t="shared" si="2"/>
        <v>0</v>
      </c>
      <c r="J25" s="188">
        <f t="shared" si="3"/>
        <v>0</v>
      </c>
    </row>
    <row r="26" spans="1:11" x14ac:dyDescent="0.25">
      <c r="A26" s="2"/>
      <c r="B26" s="125"/>
      <c r="C26" s="429"/>
      <c r="D26" s="318">
        <f t="shared" si="4"/>
        <v>0</v>
      </c>
      <c r="E26" s="135"/>
      <c r="F26" s="89">
        <f t="shared" si="5"/>
        <v>0</v>
      </c>
      <c r="G26" s="90"/>
      <c r="H26" s="91"/>
      <c r="I26" s="396">
        <f t="shared" si="2"/>
        <v>0</v>
      </c>
      <c r="J26" s="188">
        <f t="shared" si="3"/>
        <v>0</v>
      </c>
    </row>
    <row r="27" spans="1:11" x14ac:dyDescent="0.25">
      <c r="A27" s="319"/>
      <c r="B27" s="125"/>
      <c r="C27" s="429"/>
      <c r="D27" s="318">
        <f t="shared" si="4"/>
        <v>0</v>
      </c>
      <c r="E27" s="135"/>
      <c r="F27" s="89">
        <f t="shared" si="5"/>
        <v>0</v>
      </c>
      <c r="G27" s="90"/>
      <c r="H27" s="91"/>
      <c r="I27" s="396">
        <f t="shared" si="2"/>
        <v>0</v>
      </c>
      <c r="J27" s="188">
        <f t="shared" si="3"/>
        <v>0</v>
      </c>
    </row>
    <row r="28" spans="1:11" x14ac:dyDescent="0.25">
      <c r="A28" s="319"/>
      <c r="B28" s="125"/>
      <c r="C28" s="429"/>
      <c r="D28" s="318">
        <f t="shared" si="4"/>
        <v>0</v>
      </c>
      <c r="E28" s="119"/>
      <c r="F28" s="89">
        <f t="shared" si="5"/>
        <v>0</v>
      </c>
      <c r="G28" s="90"/>
      <c r="H28" s="91"/>
      <c r="I28" s="396">
        <f t="shared" si="2"/>
        <v>0</v>
      </c>
      <c r="J28" s="188">
        <f t="shared" si="3"/>
        <v>0</v>
      </c>
    </row>
    <row r="29" spans="1:11" x14ac:dyDescent="0.25">
      <c r="A29" s="319"/>
      <c r="B29" s="125"/>
      <c r="C29" s="429"/>
      <c r="D29" s="318">
        <f t="shared" si="4"/>
        <v>0</v>
      </c>
      <c r="E29" s="119"/>
      <c r="F29" s="89">
        <f t="shared" si="5"/>
        <v>0</v>
      </c>
      <c r="G29" s="90"/>
      <c r="H29" s="91"/>
      <c r="I29" s="396">
        <f t="shared" si="2"/>
        <v>0</v>
      </c>
      <c r="J29" s="188">
        <f t="shared" si="3"/>
        <v>0</v>
      </c>
    </row>
    <row r="30" spans="1:11" x14ac:dyDescent="0.25">
      <c r="A30" s="319"/>
      <c r="B30" s="125"/>
      <c r="C30" s="429"/>
      <c r="D30" s="318">
        <f t="shared" si="4"/>
        <v>0</v>
      </c>
      <c r="E30" s="119"/>
      <c r="F30" s="89">
        <f t="shared" si="5"/>
        <v>0</v>
      </c>
      <c r="G30" s="90"/>
      <c r="H30" s="91"/>
      <c r="I30" s="396">
        <f t="shared" si="2"/>
        <v>0</v>
      </c>
      <c r="J30" s="188">
        <f t="shared" si="3"/>
        <v>0</v>
      </c>
    </row>
    <row r="31" spans="1:11" x14ac:dyDescent="0.25">
      <c r="A31" s="319"/>
      <c r="B31" s="125"/>
      <c r="C31" s="429"/>
      <c r="D31" s="318">
        <f t="shared" si="4"/>
        <v>0</v>
      </c>
      <c r="E31" s="119"/>
      <c r="F31" s="89">
        <f t="shared" si="5"/>
        <v>0</v>
      </c>
      <c r="G31" s="90"/>
      <c r="H31" s="91"/>
      <c r="I31" s="396">
        <f t="shared" si="2"/>
        <v>0</v>
      </c>
      <c r="J31" s="188">
        <f t="shared" si="3"/>
        <v>0</v>
      </c>
    </row>
    <row r="32" spans="1:11" x14ac:dyDescent="0.25">
      <c r="A32" s="2"/>
      <c r="B32" s="125"/>
      <c r="C32" s="429"/>
      <c r="D32" s="318">
        <f t="shared" si="4"/>
        <v>0</v>
      </c>
      <c r="E32" s="119"/>
      <c r="F32" s="89">
        <f t="shared" si="5"/>
        <v>0</v>
      </c>
      <c r="G32" s="90"/>
      <c r="H32" s="91"/>
      <c r="I32" s="396">
        <f t="shared" si="2"/>
        <v>0</v>
      </c>
      <c r="J32" s="188">
        <f t="shared" si="3"/>
        <v>0</v>
      </c>
    </row>
    <row r="33" spans="1:10" x14ac:dyDescent="0.25">
      <c r="A33" s="2"/>
      <c r="B33" s="125"/>
      <c r="C33" s="429"/>
      <c r="D33" s="318">
        <f t="shared" si="4"/>
        <v>0</v>
      </c>
      <c r="E33" s="119"/>
      <c r="F33" s="89">
        <f t="shared" si="5"/>
        <v>0</v>
      </c>
      <c r="G33" s="90"/>
      <c r="H33" s="91"/>
      <c r="I33" s="396">
        <f t="shared" si="2"/>
        <v>0</v>
      </c>
      <c r="J33" s="188">
        <f t="shared" si="3"/>
        <v>0</v>
      </c>
    </row>
    <row r="34" spans="1:10" x14ac:dyDescent="0.25">
      <c r="A34" s="2"/>
      <c r="B34" s="125"/>
      <c r="C34" s="429"/>
      <c r="D34" s="318">
        <f t="shared" si="4"/>
        <v>0</v>
      </c>
      <c r="E34" s="119"/>
      <c r="F34" s="89">
        <f t="shared" si="5"/>
        <v>0</v>
      </c>
      <c r="G34" s="90"/>
      <c r="H34" s="91"/>
      <c r="I34" s="396">
        <f t="shared" si="2"/>
        <v>0</v>
      </c>
      <c r="J34" s="188">
        <f t="shared" si="3"/>
        <v>0</v>
      </c>
    </row>
    <row r="35" spans="1:10" x14ac:dyDescent="0.25">
      <c r="A35" s="2"/>
      <c r="B35" s="125"/>
      <c r="C35" s="429"/>
      <c r="D35" s="318">
        <f t="shared" si="4"/>
        <v>0</v>
      </c>
      <c r="E35" s="126"/>
      <c r="F35" s="89">
        <f t="shared" si="5"/>
        <v>0</v>
      </c>
      <c r="G35" s="90"/>
      <c r="H35" s="91"/>
      <c r="I35" s="396">
        <f t="shared" si="2"/>
        <v>0</v>
      </c>
      <c r="J35" s="188">
        <f t="shared" si="3"/>
        <v>0</v>
      </c>
    </row>
    <row r="36" spans="1:10" x14ac:dyDescent="0.25">
      <c r="A36" s="2"/>
      <c r="B36" s="125"/>
      <c r="C36" s="429"/>
      <c r="D36" s="318">
        <f t="shared" si="4"/>
        <v>0</v>
      </c>
      <c r="E36" s="126"/>
      <c r="F36" s="89">
        <f t="shared" si="5"/>
        <v>0</v>
      </c>
      <c r="G36" s="90"/>
      <c r="H36" s="91"/>
      <c r="I36" s="396">
        <f t="shared" si="2"/>
        <v>0</v>
      </c>
      <c r="J36" s="188">
        <f t="shared" si="3"/>
        <v>0</v>
      </c>
    </row>
    <row r="37" spans="1:10" x14ac:dyDescent="0.25">
      <c r="A37" s="2"/>
      <c r="B37" s="125"/>
      <c r="C37" s="429"/>
      <c r="D37" s="318">
        <f t="shared" si="4"/>
        <v>0</v>
      </c>
      <c r="E37" s="126"/>
      <c r="F37" s="89">
        <f t="shared" si="5"/>
        <v>0</v>
      </c>
      <c r="G37" s="90"/>
      <c r="H37" s="91"/>
      <c r="I37" s="396">
        <f t="shared" si="2"/>
        <v>0</v>
      </c>
      <c r="J37" s="188">
        <f t="shared" si="3"/>
        <v>0</v>
      </c>
    </row>
    <row r="38" spans="1:10" x14ac:dyDescent="0.25">
      <c r="A38" s="2"/>
      <c r="B38" s="125"/>
      <c r="C38" s="429"/>
      <c r="D38" s="318">
        <f t="shared" si="4"/>
        <v>0</v>
      </c>
      <c r="E38" s="126"/>
      <c r="F38" s="89">
        <f t="shared" si="5"/>
        <v>0</v>
      </c>
      <c r="G38" s="90"/>
      <c r="H38" s="91"/>
      <c r="I38" s="396">
        <f t="shared" si="2"/>
        <v>0</v>
      </c>
      <c r="J38" s="188">
        <f t="shared" si="3"/>
        <v>0</v>
      </c>
    </row>
    <row r="39" spans="1:10" x14ac:dyDescent="0.25">
      <c r="A39" s="2"/>
      <c r="B39" s="125"/>
      <c r="C39" s="16"/>
      <c r="D39" s="318">
        <f t="shared" si="4"/>
        <v>0</v>
      </c>
      <c r="E39" s="126"/>
      <c r="F39" s="89">
        <f t="shared" si="5"/>
        <v>0</v>
      </c>
      <c r="G39" s="90"/>
      <c r="H39" s="91"/>
      <c r="I39" s="396">
        <f t="shared" si="2"/>
        <v>0</v>
      </c>
      <c r="J39" s="188">
        <f t="shared" si="3"/>
        <v>0</v>
      </c>
    </row>
    <row r="40" spans="1:10" x14ac:dyDescent="0.25">
      <c r="A40" s="2"/>
      <c r="B40" s="125"/>
      <c r="C40" s="16"/>
      <c r="D40" s="318">
        <f t="shared" si="4"/>
        <v>0</v>
      </c>
      <c r="E40" s="126"/>
      <c r="F40" s="89">
        <f t="shared" si="5"/>
        <v>0</v>
      </c>
      <c r="G40" s="90"/>
      <c r="H40" s="91"/>
      <c r="I40" s="396">
        <f t="shared" si="2"/>
        <v>0</v>
      </c>
      <c r="J40" s="188">
        <f t="shared" si="3"/>
        <v>0</v>
      </c>
    </row>
    <row r="41" spans="1:10" x14ac:dyDescent="0.25">
      <c r="A41" s="2"/>
      <c r="B41" s="125"/>
      <c r="C41" s="16"/>
      <c r="D41" s="318">
        <f t="shared" si="4"/>
        <v>0</v>
      </c>
      <c r="E41" s="126"/>
      <c r="F41" s="89">
        <f t="shared" si="5"/>
        <v>0</v>
      </c>
      <c r="G41" s="90"/>
      <c r="H41" s="91"/>
      <c r="I41" s="396">
        <f t="shared" si="2"/>
        <v>0</v>
      </c>
      <c r="J41" s="188">
        <f t="shared" si="3"/>
        <v>0</v>
      </c>
    </row>
    <row r="42" spans="1:10" x14ac:dyDescent="0.25">
      <c r="A42" s="2"/>
      <c r="B42" s="125"/>
      <c r="C42" s="16"/>
      <c r="D42" s="318">
        <f t="shared" si="4"/>
        <v>0</v>
      </c>
      <c r="E42" s="126"/>
      <c r="F42" s="89">
        <f t="shared" si="5"/>
        <v>0</v>
      </c>
      <c r="G42" s="90"/>
      <c r="H42" s="91"/>
      <c r="I42" s="396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/>
      <c r="C43" s="40"/>
      <c r="D43" s="375">
        <f>C43*B33</f>
        <v>0</v>
      </c>
      <c r="E43" s="376"/>
      <c r="F43" s="377">
        <f t="shared" si="5"/>
        <v>0</v>
      </c>
      <c r="G43" s="378"/>
      <c r="H43" s="356"/>
      <c r="J43" s="97"/>
    </row>
    <row r="44" spans="1:10" ht="16.5" thickTop="1" thickBot="1" x14ac:dyDescent="0.3">
      <c r="C44" s="132">
        <f>SUM(C8:C43)</f>
        <v>45</v>
      </c>
      <c r="D44" s="52">
        <f>SUM(D10:D43)</f>
        <v>0</v>
      </c>
      <c r="E44" s="41"/>
      <c r="F44" s="6">
        <f>SUM(F8:F43)</f>
        <v>612.45000000000005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78" t="s">
        <v>11</v>
      </c>
      <c r="D47" s="779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topLeftCell="B1" workbookViewId="0">
      <pane ySplit="7" topLeftCell="A8" activePane="bottomLeft" state="frozen"/>
      <selection pane="bottomLeft"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60" t="s">
        <v>144</v>
      </c>
      <c r="B1" s="760"/>
      <c r="C1" s="760"/>
      <c r="D1" s="760"/>
      <c r="E1" s="760"/>
      <c r="F1" s="760"/>
      <c r="G1" s="76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501"/>
      <c r="E4" s="333"/>
      <c r="F4" s="215"/>
    </row>
    <row r="5" spans="1:10" ht="15" customHeight="1" thickBot="1" x14ac:dyDescent="0.3">
      <c r="A5" s="774" t="s">
        <v>178</v>
      </c>
      <c r="B5" s="804" t="s">
        <v>92</v>
      </c>
      <c r="C5" s="167">
        <v>59</v>
      </c>
      <c r="D5" s="203">
        <v>43755</v>
      </c>
      <c r="E5" s="713">
        <v>3012.31</v>
      </c>
      <c r="F5" s="188">
        <v>148</v>
      </c>
      <c r="G5" s="714">
        <f>F44</f>
        <v>3012.31</v>
      </c>
      <c r="H5" s="76">
        <f>E4+E5+E6-G5</f>
        <v>0</v>
      </c>
    </row>
    <row r="6" spans="1:10" ht="17.25" thickTop="1" thickBot="1" x14ac:dyDescent="0.3">
      <c r="A6" s="775"/>
      <c r="B6" s="805"/>
      <c r="C6" s="300"/>
      <c r="E6" s="216"/>
      <c r="F6" s="286"/>
      <c r="I6" s="801" t="s">
        <v>3</v>
      </c>
      <c r="J6" s="79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02"/>
      <c r="J7" s="803"/>
    </row>
    <row r="8" spans="1:10" ht="15.75" thickTop="1" x14ac:dyDescent="0.25">
      <c r="A8" s="120" t="s">
        <v>32</v>
      </c>
      <c r="B8" s="125"/>
      <c r="C8" s="16">
        <v>148</v>
      </c>
      <c r="D8" s="318">
        <v>3012.31</v>
      </c>
      <c r="E8" s="126">
        <v>43755</v>
      </c>
      <c r="F8" s="89">
        <f t="shared" ref="F8:F43" si="0">D8</f>
        <v>3012.31</v>
      </c>
      <c r="G8" s="90" t="s">
        <v>313</v>
      </c>
      <c r="H8" s="91">
        <v>70</v>
      </c>
      <c r="I8" s="116">
        <f>E5+E4-F8</f>
        <v>0</v>
      </c>
      <c r="J8" s="425">
        <f>F4+F5+F6-C8</f>
        <v>0</v>
      </c>
    </row>
    <row r="9" spans="1:10" x14ac:dyDescent="0.25">
      <c r="A9" s="364"/>
      <c r="B9" s="125"/>
      <c r="C9" s="16"/>
      <c r="D9" s="318"/>
      <c r="E9" s="126"/>
      <c r="F9" s="89">
        <f t="shared" si="0"/>
        <v>0</v>
      </c>
      <c r="G9" s="707"/>
      <c r="H9" s="708"/>
      <c r="I9" s="612">
        <f>I8-F9</f>
        <v>0</v>
      </c>
      <c r="J9" s="426">
        <f>J8-C9</f>
        <v>0</v>
      </c>
    </row>
    <row r="10" spans="1:10" x14ac:dyDescent="0.25">
      <c r="A10" s="342"/>
      <c r="B10" s="125"/>
      <c r="C10" s="16"/>
      <c r="D10" s="318"/>
      <c r="E10" s="126"/>
      <c r="F10" s="89">
        <f t="shared" si="0"/>
        <v>0</v>
      </c>
      <c r="G10" s="707"/>
      <c r="H10" s="708"/>
      <c r="I10" s="612">
        <f t="shared" ref="I10:I42" si="1">I9-F10</f>
        <v>0</v>
      </c>
      <c r="J10" s="426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18"/>
      <c r="E11" s="126"/>
      <c r="F11" s="89">
        <f t="shared" si="0"/>
        <v>0</v>
      </c>
      <c r="G11" s="707"/>
      <c r="H11" s="708"/>
      <c r="I11" s="612">
        <f t="shared" si="1"/>
        <v>0</v>
      </c>
      <c r="J11" s="426">
        <f t="shared" si="2"/>
        <v>0</v>
      </c>
    </row>
    <row r="12" spans="1:10" x14ac:dyDescent="0.25">
      <c r="A12" s="97"/>
      <c r="B12" s="125"/>
      <c r="C12" s="16"/>
      <c r="D12" s="318"/>
      <c r="E12" s="126"/>
      <c r="F12" s="89">
        <f t="shared" si="0"/>
        <v>0</v>
      </c>
      <c r="G12" s="707"/>
      <c r="H12" s="708"/>
      <c r="I12" s="612">
        <f t="shared" si="1"/>
        <v>0</v>
      </c>
      <c r="J12" s="426">
        <f t="shared" si="2"/>
        <v>0</v>
      </c>
    </row>
    <row r="13" spans="1:10" x14ac:dyDescent="0.25">
      <c r="A13" s="97"/>
      <c r="B13" s="125"/>
      <c r="C13" s="16"/>
      <c r="D13" s="318"/>
      <c r="E13" s="119"/>
      <c r="F13" s="89">
        <f t="shared" si="0"/>
        <v>0</v>
      </c>
      <c r="G13" s="90"/>
      <c r="H13" s="91"/>
      <c r="I13" s="116">
        <f t="shared" si="1"/>
        <v>0</v>
      </c>
      <c r="J13" s="426">
        <f t="shared" si="2"/>
        <v>0</v>
      </c>
    </row>
    <row r="14" spans="1:10" x14ac:dyDescent="0.25">
      <c r="B14" s="125"/>
      <c r="C14" s="16"/>
      <c r="D14" s="318"/>
      <c r="E14" s="119"/>
      <c r="F14" s="89">
        <f t="shared" si="0"/>
        <v>0</v>
      </c>
      <c r="G14" s="90"/>
      <c r="H14" s="91"/>
      <c r="I14" s="116">
        <f t="shared" si="1"/>
        <v>0</v>
      </c>
      <c r="J14" s="426">
        <f t="shared" si="2"/>
        <v>0</v>
      </c>
    </row>
    <row r="15" spans="1:10" x14ac:dyDescent="0.25">
      <c r="B15" s="125"/>
      <c r="C15" s="16"/>
      <c r="D15" s="318"/>
      <c r="E15" s="119"/>
      <c r="F15" s="89">
        <f t="shared" si="0"/>
        <v>0</v>
      </c>
      <c r="G15" s="90"/>
      <c r="H15" s="91"/>
      <c r="I15" s="116">
        <f t="shared" si="1"/>
        <v>0</v>
      </c>
      <c r="J15" s="426">
        <f t="shared" si="2"/>
        <v>0</v>
      </c>
    </row>
    <row r="16" spans="1:10" x14ac:dyDescent="0.25">
      <c r="A16" s="121"/>
      <c r="B16" s="125"/>
      <c r="C16" s="16"/>
      <c r="D16" s="318"/>
      <c r="E16" s="135"/>
      <c r="F16" s="89">
        <f t="shared" si="0"/>
        <v>0</v>
      </c>
      <c r="G16" s="90"/>
      <c r="H16" s="91"/>
      <c r="I16" s="116">
        <f t="shared" si="1"/>
        <v>0</v>
      </c>
      <c r="J16" s="426">
        <f t="shared" si="2"/>
        <v>0</v>
      </c>
    </row>
    <row r="17" spans="1:10" x14ac:dyDescent="0.25">
      <c r="A17" s="125"/>
      <c r="B17" s="125"/>
      <c r="C17" s="16"/>
      <c r="D17" s="318"/>
      <c r="E17" s="135"/>
      <c r="F17" s="89">
        <f t="shared" si="0"/>
        <v>0</v>
      </c>
      <c r="G17" s="360"/>
      <c r="H17" s="91"/>
      <c r="I17" s="116">
        <f t="shared" si="1"/>
        <v>0</v>
      </c>
      <c r="J17" s="426">
        <f t="shared" si="2"/>
        <v>0</v>
      </c>
    </row>
    <row r="18" spans="1:10" x14ac:dyDescent="0.25">
      <c r="A18" s="2"/>
      <c r="B18" s="125"/>
      <c r="C18" s="16"/>
      <c r="D18" s="318"/>
      <c r="E18" s="135"/>
      <c r="F18" s="89">
        <f t="shared" si="0"/>
        <v>0</v>
      </c>
      <c r="G18" s="90"/>
      <c r="H18" s="91"/>
      <c r="I18" s="116">
        <f t="shared" si="1"/>
        <v>0</v>
      </c>
      <c r="J18" s="426">
        <f t="shared" si="2"/>
        <v>0</v>
      </c>
    </row>
    <row r="19" spans="1:10" x14ac:dyDescent="0.25">
      <c r="A19" s="2"/>
      <c r="B19" s="125"/>
      <c r="C19" s="16"/>
      <c r="D19" s="318"/>
      <c r="E19" s="135"/>
      <c r="F19" s="89">
        <f t="shared" si="0"/>
        <v>0</v>
      </c>
      <c r="G19" s="90"/>
      <c r="H19" s="91"/>
      <c r="I19" s="116">
        <f t="shared" si="1"/>
        <v>0</v>
      </c>
      <c r="J19" s="426">
        <f t="shared" si="2"/>
        <v>0</v>
      </c>
    </row>
    <row r="20" spans="1:10" x14ac:dyDescent="0.25">
      <c r="A20" s="2"/>
      <c r="B20" s="125"/>
      <c r="C20" s="16"/>
      <c r="D20" s="318"/>
      <c r="E20" s="119"/>
      <c r="F20" s="89">
        <f t="shared" si="0"/>
        <v>0</v>
      </c>
      <c r="G20" s="90"/>
      <c r="H20" s="91"/>
      <c r="I20" s="116">
        <f t="shared" si="1"/>
        <v>0</v>
      </c>
      <c r="J20" s="426">
        <f t="shared" si="2"/>
        <v>0</v>
      </c>
    </row>
    <row r="21" spans="1:10" x14ac:dyDescent="0.25">
      <c r="A21" s="2"/>
      <c r="B21" s="125"/>
      <c r="C21" s="16"/>
      <c r="D21" s="318"/>
      <c r="E21" s="119"/>
      <c r="F21" s="89">
        <f t="shared" si="0"/>
        <v>0</v>
      </c>
      <c r="G21" s="90"/>
      <c r="H21" s="91"/>
      <c r="I21" s="116">
        <f t="shared" si="1"/>
        <v>0</v>
      </c>
      <c r="J21" s="426">
        <f t="shared" si="2"/>
        <v>0</v>
      </c>
    </row>
    <row r="22" spans="1:10" x14ac:dyDescent="0.25">
      <c r="A22" s="2"/>
      <c r="B22" s="125"/>
      <c r="C22" s="16"/>
      <c r="D22" s="318"/>
      <c r="E22" s="119"/>
      <c r="F22" s="89">
        <f t="shared" si="0"/>
        <v>0</v>
      </c>
      <c r="G22" s="90"/>
      <c r="H22" s="91"/>
      <c r="I22" s="116">
        <f t="shared" si="1"/>
        <v>0</v>
      </c>
      <c r="J22" s="426">
        <f t="shared" si="2"/>
        <v>0</v>
      </c>
    </row>
    <row r="23" spans="1:10" x14ac:dyDescent="0.25">
      <c r="A23" s="2"/>
      <c r="B23" s="125"/>
      <c r="C23" s="16"/>
      <c r="D23" s="318"/>
      <c r="E23" s="119"/>
      <c r="F23" s="89">
        <f t="shared" si="0"/>
        <v>0</v>
      </c>
      <c r="G23" s="90"/>
      <c r="H23" s="91"/>
      <c r="I23" s="116">
        <f t="shared" si="1"/>
        <v>0</v>
      </c>
      <c r="J23" s="426">
        <f t="shared" si="2"/>
        <v>0</v>
      </c>
    </row>
    <row r="24" spans="1:10" x14ac:dyDescent="0.25">
      <c r="A24" s="2"/>
      <c r="B24" s="125"/>
      <c r="C24" s="16"/>
      <c r="D24" s="318"/>
      <c r="E24" s="135"/>
      <c r="F24" s="89">
        <f t="shared" si="0"/>
        <v>0</v>
      </c>
      <c r="G24" s="90"/>
      <c r="H24" s="91"/>
      <c r="I24" s="116">
        <f t="shared" si="1"/>
        <v>0</v>
      </c>
      <c r="J24" s="426">
        <f t="shared" si="2"/>
        <v>0</v>
      </c>
    </row>
    <row r="25" spans="1:10" x14ac:dyDescent="0.25">
      <c r="A25" s="2"/>
      <c r="B25" s="125"/>
      <c r="C25" s="16"/>
      <c r="D25" s="318"/>
      <c r="E25" s="135"/>
      <c r="F25" s="89">
        <f t="shared" si="0"/>
        <v>0</v>
      </c>
      <c r="G25" s="90"/>
      <c r="H25" s="91"/>
      <c r="I25" s="116">
        <f t="shared" si="1"/>
        <v>0</v>
      </c>
      <c r="J25" s="426">
        <f t="shared" si="2"/>
        <v>0</v>
      </c>
    </row>
    <row r="26" spans="1:10" x14ac:dyDescent="0.25">
      <c r="A26" s="2"/>
      <c r="B26" s="125"/>
      <c r="C26" s="16"/>
      <c r="D26" s="318"/>
      <c r="E26" s="135"/>
      <c r="F26" s="89">
        <f t="shared" si="0"/>
        <v>0</v>
      </c>
      <c r="G26" s="90"/>
      <c r="H26" s="91"/>
      <c r="I26" s="116">
        <f t="shared" si="1"/>
        <v>0</v>
      </c>
      <c r="J26" s="426">
        <f t="shared" si="2"/>
        <v>0</v>
      </c>
    </row>
    <row r="27" spans="1:10" x14ac:dyDescent="0.25">
      <c r="A27" s="319"/>
      <c r="B27" s="125"/>
      <c r="C27" s="16"/>
      <c r="D27" s="318"/>
      <c r="E27" s="135"/>
      <c r="F27" s="89">
        <f t="shared" si="0"/>
        <v>0</v>
      </c>
      <c r="G27" s="90"/>
      <c r="H27" s="91"/>
      <c r="I27" s="116">
        <f t="shared" si="1"/>
        <v>0</v>
      </c>
      <c r="J27" s="426">
        <f t="shared" si="2"/>
        <v>0</v>
      </c>
    </row>
    <row r="28" spans="1:10" x14ac:dyDescent="0.25">
      <c r="A28" s="319"/>
      <c r="B28" s="125"/>
      <c r="C28" s="16"/>
      <c r="D28" s="318"/>
      <c r="E28" s="119"/>
      <c r="F28" s="89">
        <f t="shared" si="0"/>
        <v>0</v>
      </c>
      <c r="G28" s="90"/>
      <c r="H28" s="91"/>
      <c r="I28" s="116">
        <f t="shared" si="1"/>
        <v>0</v>
      </c>
      <c r="J28" s="426">
        <f t="shared" si="2"/>
        <v>0</v>
      </c>
    </row>
    <row r="29" spans="1:10" x14ac:dyDescent="0.25">
      <c r="A29" s="319"/>
      <c r="B29" s="125"/>
      <c r="C29" s="483"/>
      <c r="D29" s="593"/>
      <c r="E29" s="594"/>
      <c r="F29" s="484">
        <f t="shared" si="0"/>
        <v>0</v>
      </c>
      <c r="G29" s="485"/>
      <c r="H29" s="486"/>
      <c r="I29" s="478">
        <f t="shared" si="1"/>
        <v>0</v>
      </c>
      <c r="J29" s="712">
        <f t="shared" si="2"/>
        <v>0</v>
      </c>
    </row>
    <row r="30" spans="1:10" x14ac:dyDescent="0.25">
      <c r="A30" s="319"/>
      <c r="B30" s="125"/>
      <c r="C30" s="16"/>
      <c r="D30" s="318"/>
      <c r="E30" s="119"/>
      <c r="F30" s="89">
        <f t="shared" si="0"/>
        <v>0</v>
      </c>
      <c r="G30" s="90"/>
      <c r="H30" s="91"/>
      <c r="I30" s="116">
        <f t="shared" si="1"/>
        <v>0</v>
      </c>
      <c r="J30" s="426">
        <f t="shared" si="2"/>
        <v>0</v>
      </c>
    </row>
    <row r="31" spans="1:10" x14ac:dyDescent="0.25">
      <c r="A31" s="319"/>
      <c r="B31" s="125"/>
      <c r="C31" s="16"/>
      <c r="D31" s="318"/>
      <c r="E31" s="119"/>
      <c r="F31" s="89">
        <f t="shared" si="0"/>
        <v>0</v>
      </c>
      <c r="G31" s="90"/>
      <c r="H31" s="91"/>
      <c r="I31" s="116">
        <f t="shared" si="1"/>
        <v>0</v>
      </c>
      <c r="J31" s="426">
        <f t="shared" si="2"/>
        <v>0</v>
      </c>
    </row>
    <row r="32" spans="1:10" x14ac:dyDescent="0.25">
      <c r="A32" s="2"/>
      <c r="B32" s="125"/>
      <c r="C32" s="16"/>
      <c r="D32" s="318"/>
      <c r="E32" s="119"/>
      <c r="F32" s="89">
        <f t="shared" si="0"/>
        <v>0</v>
      </c>
      <c r="G32" s="90"/>
      <c r="H32" s="91"/>
      <c r="I32" s="116">
        <f t="shared" si="1"/>
        <v>0</v>
      </c>
      <c r="J32" s="426">
        <f t="shared" si="2"/>
        <v>0</v>
      </c>
    </row>
    <row r="33" spans="1:10" x14ac:dyDescent="0.25">
      <c r="A33" s="2"/>
      <c r="B33" s="125"/>
      <c r="C33" s="16"/>
      <c r="D33" s="318"/>
      <c r="E33" s="119"/>
      <c r="F33" s="89">
        <f t="shared" si="0"/>
        <v>0</v>
      </c>
      <c r="G33" s="90"/>
      <c r="H33" s="91"/>
      <c r="I33" s="116">
        <f t="shared" si="1"/>
        <v>0</v>
      </c>
      <c r="J33" s="426">
        <f t="shared" si="2"/>
        <v>0</v>
      </c>
    </row>
    <row r="34" spans="1:10" x14ac:dyDescent="0.25">
      <c r="A34" s="2"/>
      <c r="B34" s="125"/>
      <c r="C34" s="16"/>
      <c r="D34" s="318"/>
      <c r="E34" s="119"/>
      <c r="F34" s="89">
        <f t="shared" si="0"/>
        <v>0</v>
      </c>
      <c r="G34" s="90"/>
      <c r="H34" s="91"/>
      <c r="I34" s="116">
        <f t="shared" si="1"/>
        <v>0</v>
      </c>
      <c r="J34" s="426">
        <f t="shared" si="2"/>
        <v>0</v>
      </c>
    </row>
    <row r="35" spans="1:10" x14ac:dyDescent="0.25">
      <c r="A35" s="2"/>
      <c r="B35" s="125"/>
      <c r="C35" s="16"/>
      <c r="D35" s="318"/>
      <c r="E35" s="126"/>
      <c r="F35" s="89">
        <f t="shared" si="0"/>
        <v>0</v>
      </c>
      <c r="G35" s="90"/>
      <c r="H35" s="91"/>
      <c r="I35" s="116">
        <f t="shared" si="1"/>
        <v>0</v>
      </c>
      <c r="J35" s="426">
        <f t="shared" si="2"/>
        <v>0</v>
      </c>
    </row>
    <row r="36" spans="1:10" x14ac:dyDescent="0.25">
      <c r="A36" s="2"/>
      <c r="B36" s="125"/>
      <c r="C36" s="16"/>
      <c r="D36" s="318"/>
      <c r="E36" s="126"/>
      <c r="F36" s="89">
        <f t="shared" si="0"/>
        <v>0</v>
      </c>
      <c r="G36" s="90"/>
      <c r="H36" s="91"/>
      <c r="I36" s="116">
        <f t="shared" si="1"/>
        <v>0</v>
      </c>
      <c r="J36" s="426">
        <f t="shared" si="2"/>
        <v>0</v>
      </c>
    </row>
    <row r="37" spans="1:10" x14ac:dyDescent="0.25">
      <c r="A37" s="2"/>
      <c r="B37" s="125"/>
      <c r="C37" s="16"/>
      <c r="D37" s="318"/>
      <c r="E37" s="126"/>
      <c r="F37" s="89">
        <f t="shared" si="0"/>
        <v>0</v>
      </c>
      <c r="G37" s="90"/>
      <c r="H37" s="91"/>
      <c r="I37" s="116">
        <f t="shared" si="1"/>
        <v>0</v>
      </c>
      <c r="J37" s="426">
        <f t="shared" si="2"/>
        <v>0</v>
      </c>
    </row>
    <row r="38" spans="1:10" x14ac:dyDescent="0.25">
      <c r="A38" s="2"/>
      <c r="B38" s="125"/>
      <c r="C38" s="16"/>
      <c r="D38" s="318"/>
      <c r="E38" s="126"/>
      <c r="F38" s="89">
        <f t="shared" si="0"/>
        <v>0</v>
      </c>
      <c r="G38" s="90"/>
      <c r="H38" s="91"/>
      <c r="I38" s="116">
        <f t="shared" si="1"/>
        <v>0</v>
      </c>
      <c r="J38" s="426">
        <f t="shared" si="2"/>
        <v>0</v>
      </c>
    </row>
    <row r="39" spans="1:10" x14ac:dyDescent="0.25">
      <c r="A39" s="2"/>
      <c r="B39" s="125"/>
      <c r="C39" s="16"/>
      <c r="D39" s="318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26">
        <f t="shared" si="2"/>
        <v>0</v>
      </c>
    </row>
    <row r="40" spans="1:10" x14ac:dyDescent="0.25">
      <c r="A40" s="2"/>
      <c r="B40" s="125"/>
      <c r="C40" s="16"/>
      <c r="D40" s="318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26">
        <f t="shared" si="2"/>
        <v>0</v>
      </c>
    </row>
    <row r="41" spans="1:10" x14ac:dyDescent="0.25">
      <c r="A41" s="2"/>
      <c r="B41" s="125"/>
      <c r="C41" s="16"/>
      <c r="D41" s="318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26">
        <f t="shared" si="2"/>
        <v>0</v>
      </c>
    </row>
    <row r="42" spans="1:10" ht="15.75" thickBot="1" x14ac:dyDescent="0.3">
      <c r="A42" s="2"/>
      <c r="B42" s="125"/>
      <c r="C42" s="16"/>
      <c r="D42" s="318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27">
        <f t="shared" si="2"/>
        <v>0</v>
      </c>
    </row>
    <row r="43" spans="1:10" ht="15.75" thickBot="1" x14ac:dyDescent="0.3">
      <c r="A43" s="4"/>
      <c r="B43" s="125"/>
      <c r="C43" s="40"/>
      <c r="D43" s="375">
        <f>C43*B33</f>
        <v>0</v>
      </c>
      <c r="E43" s="376"/>
      <c r="F43" s="377">
        <f t="shared" si="0"/>
        <v>0</v>
      </c>
      <c r="G43" s="378"/>
      <c r="H43" s="356"/>
    </row>
    <row r="44" spans="1:10" ht="16.5" thickTop="1" thickBot="1" x14ac:dyDescent="0.3">
      <c r="C44" s="132">
        <f>SUM(C8:C43)</f>
        <v>148</v>
      </c>
      <c r="D44" s="52">
        <f>SUM(D10:D43)</f>
        <v>0</v>
      </c>
      <c r="E44" s="41"/>
      <c r="F44" s="6">
        <f>SUM(F8:F43)</f>
        <v>3012.31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78" t="s">
        <v>11</v>
      </c>
      <c r="D47" s="779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topLeftCell="B16" workbookViewId="0">
      <selection activeCell="B22" sqref="B22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68" t="s">
        <v>79</v>
      </c>
      <c r="B1" s="768"/>
      <c r="C1" s="768"/>
      <c r="D1" s="768"/>
      <c r="E1" s="768"/>
      <c r="F1" s="768"/>
      <c r="G1" s="768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66" t="s">
        <v>76</v>
      </c>
      <c r="B5" s="806" t="s">
        <v>77</v>
      </c>
      <c r="C5" s="806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807"/>
      <c r="C6" s="807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6">
        <v>100</v>
      </c>
      <c r="E8" s="305">
        <v>42726</v>
      </c>
      <c r="F8" s="362">
        <f t="shared" ref="F8:F45" si="0">D8</f>
        <v>100</v>
      </c>
      <c r="G8" s="363" t="s">
        <v>67</v>
      </c>
      <c r="H8" s="308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68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69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70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70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71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72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73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74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75</v>
      </c>
      <c r="H17" s="18">
        <v>90</v>
      </c>
    </row>
    <row r="18" spans="1:8" x14ac:dyDescent="0.25">
      <c r="A18"/>
      <c r="B18" s="136"/>
      <c r="C18" s="16">
        <v>1</v>
      </c>
      <c r="D18" s="357">
        <v>1</v>
      </c>
      <c r="E18" s="255">
        <v>42748</v>
      </c>
      <c r="F18" s="355">
        <f t="shared" si="0"/>
        <v>1</v>
      </c>
      <c r="G18" s="367" t="s">
        <v>78</v>
      </c>
      <c r="H18" s="356">
        <v>90</v>
      </c>
    </row>
    <row r="19" spans="1:8" x14ac:dyDescent="0.25">
      <c r="A19"/>
      <c r="B19" s="136"/>
      <c r="C19" s="16">
        <v>567</v>
      </c>
      <c r="D19" s="357">
        <v>567</v>
      </c>
      <c r="E19" s="255">
        <v>43306</v>
      </c>
      <c r="F19" s="355">
        <f t="shared" si="0"/>
        <v>567</v>
      </c>
      <c r="G19" s="367" t="s">
        <v>90</v>
      </c>
      <c r="H19" s="356">
        <v>90</v>
      </c>
    </row>
    <row r="20" spans="1:8" x14ac:dyDescent="0.25">
      <c r="A20"/>
      <c r="B20" s="136"/>
      <c r="C20" s="16">
        <v>596</v>
      </c>
      <c r="D20" s="357">
        <v>596</v>
      </c>
      <c r="E20" s="255">
        <v>43309</v>
      </c>
      <c r="F20" s="355">
        <f t="shared" si="0"/>
        <v>596</v>
      </c>
      <c r="G20" s="367" t="s">
        <v>91</v>
      </c>
      <c r="H20" s="356">
        <v>90</v>
      </c>
    </row>
    <row r="21" spans="1:8" x14ac:dyDescent="0.25">
      <c r="A21"/>
      <c r="B21" s="136"/>
      <c r="C21" s="16"/>
      <c r="D21" s="535"/>
      <c r="E21" s="407"/>
      <c r="F21" s="404"/>
      <c r="G21" s="691"/>
      <c r="H21" s="170"/>
    </row>
    <row r="22" spans="1:8" x14ac:dyDescent="0.25">
      <c r="A22"/>
      <c r="B22" s="2"/>
      <c r="C22" s="16"/>
      <c r="D22" s="692"/>
      <c r="E22" s="693"/>
      <c r="F22" s="694">
        <f t="shared" si="0"/>
        <v>0</v>
      </c>
      <c r="G22" s="695"/>
      <c r="H22" s="696"/>
    </row>
    <row r="23" spans="1:8" x14ac:dyDescent="0.25">
      <c r="A23"/>
      <c r="B23" s="136"/>
      <c r="C23" s="16"/>
      <c r="D23" s="692"/>
      <c r="E23" s="693"/>
      <c r="F23" s="694">
        <f t="shared" si="0"/>
        <v>0</v>
      </c>
      <c r="G23" s="695"/>
      <c r="H23" s="696"/>
    </row>
    <row r="24" spans="1:8" x14ac:dyDescent="0.25">
      <c r="A24"/>
      <c r="B24" s="136"/>
      <c r="C24" s="16"/>
      <c r="D24" s="692"/>
      <c r="E24" s="693"/>
      <c r="F24" s="694">
        <f t="shared" si="0"/>
        <v>0</v>
      </c>
      <c r="G24" s="695"/>
      <c r="H24" s="696"/>
    </row>
    <row r="25" spans="1:8" x14ac:dyDescent="0.25">
      <c r="A25"/>
      <c r="B25" s="136"/>
      <c r="C25" s="16"/>
      <c r="D25" s="692"/>
      <c r="E25" s="693"/>
      <c r="F25" s="694">
        <f t="shared" si="0"/>
        <v>0</v>
      </c>
      <c r="G25" s="695"/>
      <c r="H25" s="696"/>
    </row>
    <row r="26" spans="1:8" x14ac:dyDescent="0.25">
      <c r="A26"/>
      <c r="B26" s="136"/>
      <c r="C26" s="16"/>
      <c r="D26" s="692"/>
      <c r="E26" s="693"/>
      <c r="F26" s="694">
        <f t="shared" si="0"/>
        <v>0</v>
      </c>
      <c r="G26" s="695"/>
      <c r="H26" s="696"/>
    </row>
    <row r="27" spans="1:8" x14ac:dyDescent="0.25">
      <c r="A27"/>
      <c r="B27" s="136"/>
      <c r="C27" s="16"/>
      <c r="D27" s="692"/>
      <c r="E27" s="693"/>
      <c r="F27" s="694">
        <f t="shared" si="0"/>
        <v>0</v>
      </c>
      <c r="G27" s="695"/>
      <c r="H27" s="696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4" t="s">
        <v>21</v>
      </c>
      <c r="E48" s="315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16" t="s">
        <v>4</v>
      </c>
      <c r="E49" s="317"/>
      <c r="F49" s="358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B5" sqref="B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7" ht="40.5" x14ac:dyDescent="0.55000000000000004">
      <c r="A1" s="760"/>
      <c r="B1" s="760"/>
      <c r="C1" s="760"/>
      <c r="D1" s="760"/>
      <c r="E1" s="760"/>
      <c r="F1" s="760"/>
      <c r="G1" s="760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7" ht="15" customHeight="1" x14ac:dyDescent="0.25">
      <c r="A5" s="765"/>
      <c r="B5" s="441"/>
      <c r="C5" s="502"/>
      <c r="D5" s="446"/>
      <c r="E5" s="478"/>
      <c r="F5" s="454"/>
      <c r="G5" s="479">
        <f>F78</f>
        <v>0</v>
      </c>
    </row>
    <row r="6" spans="1:17" x14ac:dyDescent="0.25">
      <c r="A6" s="765"/>
      <c r="B6" s="441"/>
      <c r="C6" s="503"/>
      <c r="D6" s="446"/>
      <c r="E6" s="487"/>
      <c r="F6" s="454"/>
      <c r="G6" s="482"/>
      <c r="H6" s="8">
        <f>E6-G6+E7+E5-G5</f>
        <v>0</v>
      </c>
    </row>
    <row r="7" spans="1:17" ht="15.75" thickBot="1" x14ac:dyDescent="0.3">
      <c r="A7" s="438"/>
      <c r="B7" s="504"/>
      <c r="C7" s="505"/>
      <c r="D7" s="506"/>
      <c r="E7" s="478"/>
      <c r="F7" s="454"/>
    </row>
    <row r="8" spans="1:17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20" t="s">
        <v>32</v>
      </c>
      <c r="B9" s="125">
        <f>F6-C9+F5</f>
        <v>0</v>
      </c>
      <c r="C9" s="16"/>
      <c r="D9" s="484"/>
      <c r="E9" s="583"/>
      <c r="F9" s="484">
        <f t="shared" ref="F9:F18" si="0">D9</f>
        <v>0</v>
      </c>
      <c r="G9" s="485"/>
      <c r="H9" s="486"/>
      <c r="I9" s="507">
        <f>E6-F9+E5</f>
        <v>0</v>
      </c>
    </row>
    <row r="10" spans="1:17" x14ac:dyDescent="0.25">
      <c r="A10" s="364"/>
      <c r="B10" s="125">
        <f>B9-C10</f>
        <v>0</v>
      </c>
      <c r="C10" s="16"/>
      <c r="D10" s="484"/>
      <c r="E10" s="583"/>
      <c r="F10" s="484">
        <f t="shared" si="0"/>
        <v>0</v>
      </c>
      <c r="G10" s="485"/>
      <c r="H10" s="486"/>
      <c r="I10" s="507">
        <f>I9-F10</f>
        <v>0</v>
      </c>
    </row>
    <row r="11" spans="1:17" x14ac:dyDescent="0.25">
      <c r="A11" s="342"/>
      <c r="B11" s="125">
        <f t="shared" ref="B11:B24" si="1">B10-C11</f>
        <v>0</v>
      </c>
      <c r="C11" s="16"/>
      <c r="D11" s="484"/>
      <c r="E11" s="583"/>
      <c r="F11" s="484">
        <f t="shared" si="0"/>
        <v>0</v>
      </c>
      <c r="G11" s="485"/>
      <c r="H11" s="486"/>
      <c r="I11" s="507">
        <f t="shared" ref="I11:I15" si="2">I10-F11</f>
        <v>0</v>
      </c>
      <c r="J11" s="438"/>
    </row>
    <row r="12" spans="1:17" x14ac:dyDescent="0.25">
      <c r="A12" s="342"/>
      <c r="B12" s="125">
        <f t="shared" si="1"/>
        <v>0</v>
      </c>
      <c r="C12" s="16"/>
      <c r="D12" s="484"/>
      <c r="E12" s="583"/>
      <c r="F12" s="484">
        <f t="shared" si="0"/>
        <v>0</v>
      </c>
      <c r="G12" s="485"/>
      <c r="H12" s="486"/>
      <c r="I12" s="507">
        <f t="shared" si="2"/>
        <v>0</v>
      </c>
      <c r="J12" s="438"/>
    </row>
    <row r="13" spans="1:17" x14ac:dyDescent="0.25">
      <c r="A13" s="122" t="s">
        <v>33</v>
      </c>
      <c r="B13" s="125">
        <f t="shared" si="1"/>
        <v>0</v>
      </c>
      <c r="C13" s="16"/>
      <c r="D13" s="484"/>
      <c r="E13" s="583"/>
      <c r="F13" s="484">
        <f t="shared" si="0"/>
        <v>0</v>
      </c>
      <c r="G13" s="485"/>
      <c r="H13" s="486"/>
      <c r="I13" s="507">
        <f t="shared" si="2"/>
        <v>0</v>
      </c>
      <c r="J13" s="438"/>
    </row>
    <row r="14" spans="1:17" x14ac:dyDescent="0.25">
      <c r="A14" s="97"/>
      <c r="B14" s="125">
        <f t="shared" si="1"/>
        <v>0</v>
      </c>
      <c r="C14" s="16"/>
      <c r="D14" s="484"/>
      <c r="E14" s="583"/>
      <c r="F14" s="484">
        <f t="shared" si="0"/>
        <v>0</v>
      </c>
      <c r="G14" s="485"/>
      <c r="H14" s="486"/>
      <c r="I14" s="507">
        <f t="shared" si="2"/>
        <v>0</v>
      </c>
      <c r="J14" s="438"/>
    </row>
    <row r="15" spans="1:17" x14ac:dyDescent="0.25">
      <c r="A15" s="97"/>
      <c r="B15" s="125">
        <f t="shared" si="1"/>
        <v>0</v>
      </c>
      <c r="C15" s="16"/>
      <c r="D15" s="484"/>
      <c r="E15" s="583"/>
      <c r="F15" s="484">
        <f t="shared" si="0"/>
        <v>0</v>
      </c>
      <c r="G15" s="485"/>
      <c r="H15" s="486"/>
      <c r="I15" s="507">
        <f t="shared" si="2"/>
        <v>0</v>
      </c>
      <c r="J15" s="438"/>
    </row>
    <row r="16" spans="1:17" x14ac:dyDescent="0.25">
      <c r="B16" s="125">
        <f t="shared" si="1"/>
        <v>0</v>
      </c>
      <c r="C16" s="16"/>
      <c r="D16" s="484"/>
      <c r="E16" s="583"/>
      <c r="F16" s="484">
        <f t="shared" si="0"/>
        <v>0</v>
      </c>
      <c r="G16" s="485"/>
      <c r="H16" s="486"/>
      <c r="I16" s="507">
        <f t="shared" ref="I16:I75" si="3">I15-F16</f>
        <v>0</v>
      </c>
      <c r="J16" s="438"/>
    </row>
    <row r="17" spans="1:10" x14ac:dyDescent="0.25">
      <c r="B17" s="125">
        <f t="shared" si="1"/>
        <v>0</v>
      </c>
      <c r="C17" s="16"/>
      <c r="D17" s="484"/>
      <c r="E17" s="583"/>
      <c r="F17" s="484">
        <f t="shared" si="0"/>
        <v>0</v>
      </c>
      <c r="G17" s="485"/>
      <c r="H17" s="486"/>
      <c r="I17" s="507">
        <f t="shared" si="3"/>
        <v>0</v>
      </c>
      <c r="J17" s="438"/>
    </row>
    <row r="18" spans="1:10" x14ac:dyDescent="0.25">
      <c r="A18" s="180"/>
      <c r="B18" s="125">
        <f t="shared" si="1"/>
        <v>0</v>
      </c>
      <c r="C18" s="16"/>
      <c r="D18" s="484"/>
      <c r="E18" s="583"/>
      <c r="F18" s="484">
        <f t="shared" si="0"/>
        <v>0</v>
      </c>
      <c r="G18" s="485"/>
      <c r="H18" s="486"/>
      <c r="I18" s="507">
        <f t="shared" si="3"/>
        <v>0</v>
      </c>
      <c r="J18" s="438"/>
    </row>
    <row r="19" spans="1:10" x14ac:dyDescent="0.25">
      <c r="A19" s="180"/>
      <c r="B19" s="125">
        <f t="shared" si="1"/>
        <v>0</v>
      </c>
      <c r="C19" s="16"/>
      <c r="D19" s="484"/>
      <c r="E19" s="583"/>
      <c r="F19" s="484">
        <f t="shared" ref="F19:F73" si="4">D19</f>
        <v>0</v>
      </c>
      <c r="G19" s="485"/>
      <c r="H19" s="486"/>
      <c r="I19" s="507">
        <f t="shared" si="3"/>
        <v>0</v>
      </c>
    </row>
    <row r="20" spans="1:10" x14ac:dyDescent="0.25">
      <c r="A20" s="180"/>
      <c r="B20" s="125">
        <f t="shared" si="1"/>
        <v>0</v>
      </c>
      <c r="C20" s="16"/>
      <c r="D20" s="484"/>
      <c r="E20" s="583"/>
      <c r="F20" s="484">
        <f t="shared" si="4"/>
        <v>0</v>
      </c>
      <c r="G20" s="485"/>
      <c r="H20" s="486"/>
      <c r="I20" s="507">
        <f t="shared" si="3"/>
        <v>0</v>
      </c>
    </row>
    <row r="21" spans="1:10" x14ac:dyDescent="0.25">
      <c r="A21" s="180"/>
      <c r="B21" s="125">
        <f t="shared" si="1"/>
        <v>0</v>
      </c>
      <c r="C21" s="16"/>
      <c r="D21" s="484"/>
      <c r="E21" s="583"/>
      <c r="F21" s="484">
        <f t="shared" si="4"/>
        <v>0</v>
      </c>
      <c r="G21" s="485"/>
      <c r="H21" s="486"/>
      <c r="I21" s="507">
        <f t="shared" si="3"/>
        <v>0</v>
      </c>
    </row>
    <row r="22" spans="1:10" x14ac:dyDescent="0.25">
      <c r="A22" s="180"/>
      <c r="B22" s="518">
        <f t="shared" si="1"/>
        <v>0</v>
      </c>
      <c r="C22" s="16"/>
      <c r="D22" s="484"/>
      <c r="E22" s="583"/>
      <c r="F22" s="484">
        <f t="shared" si="4"/>
        <v>0</v>
      </c>
      <c r="G22" s="485"/>
      <c r="H22" s="486"/>
      <c r="I22" s="507">
        <f t="shared" si="3"/>
        <v>0</v>
      </c>
    </row>
    <row r="23" spans="1:10" x14ac:dyDescent="0.25">
      <c r="A23" s="181"/>
      <c r="B23" s="518">
        <f t="shared" si="1"/>
        <v>0</v>
      </c>
      <c r="C23" s="16"/>
      <c r="D23" s="484"/>
      <c r="E23" s="583"/>
      <c r="F23" s="484">
        <f t="shared" si="4"/>
        <v>0</v>
      </c>
      <c r="G23" s="485"/>
      <c r="H23" s="486"/>
      <c r="I23" s="507">
        <f t="shared" si="3"/>
        <v>0</v>
      </c>
    </row>
    <row r="24" spans="1:10" x14ac:dyDescent="0.25">
      <c r="A24" s="180"/>
      <c r="B24" s="518">
        <f t="shared" si="1"/>
        <v>0</v>
      </c>
      <c r="C24" s="16"/>
      <c r="D24" s="484"/>
      <c r="E24" s="583"/>
      <c r="F24" s="484">
        <f t="shared" si="4"/>
        <v>0</v>
      </c>
      <c r="G24" s="485"/>
      <c r="H24" s="486"/>
      <c r="I24" s="507">
        <f t="shared" si="3"/>
        <v>0</v>
      </c>
    </row>
    <row r="25" spans="1:10" x14ac:dyDescent="0.25">
      <c r="A25" s="180"/>
      <c r="B25" s="518">
        <f t="shared" ref="B25:B54" si="5">B24-C25</f>
        <v>0</v>
      </c>
      <c r="C25" s="16"/>
      <c r="D25" s="484"/>
      <c r="E25" s="583"/>
      <c r="F25" s="484">
        <f t="shared" si="4"/>
        <v>0</v>
      </c>
      <c r="G25" s="485"/>
      <c r="H25" s="486"/>
      <c r="I25" s="507">
        <f t="shared" si="3"/>
        <v>0</v>
      </c>
    </row>
    <row r="26" spans="1:10" x14ac:dyDescent="0.25">
      <c r="A26" s="180"/>
      <c r="B26" s="342">
        <f t="shared" si="5"/>
        <v>0</v>
      </c>
      <c r="C26" s="16"/>
      <c r="D26" s="484"/>
      <c r="E26" s="583"/>
      <c r="F26" s="484">
        <f t="shared" si="4"/>
        <v>0</v>
      </c>
      <c r="G26" s="485"/>
      <c r="H26" s="486"/>
      <c r="I26" s="507">
        <f t="shared" si="3"/>
        <v>0</v>
      </c>
    </row>
    <row r="27" spans="1:10" x14ac:dyDescent="0.25">
      <c r="A27" s="180"/>
      <c r="B27" s="518">
        <f t="shared" si="5"/>
        <v>0</v>
      </c>
      <c r="C27" s="16"/>
      <c r="D27" s="484"/>
      <c r="E27" s="583"/>
      <c r="F27" s="484">
        <f t="shared" si="4"/>
        <v>0</v>
      </c>
      <c r="G27" s="485"/>
      <c r="H27" s="486"/>
      <c r="I27" s="507">
        <f t="shared" si="3"/>
        <v>0</v>
      </c>
    </row>
    <row r="28" spans="1:10" x14ac:dyDescent="0.25">
      <c r="A28" s="180"/>
      <c r="B28" s="342">
        <f t="shared" si="5"/>
        <v>0</v>
      </c>
      <c r="C28" s="16"/>
      <c r="D28" s="484"/>
      <c r="E28" s="583"/>
      <c r="F28" s="484">
        <f t="shared" si="4"/>
        <v>0</v>
      </c>
      <c r="G28" s="485"/>
      <c r="H28" s="486"/>
      <c r="I28" s="507">
        <f t="shared" si="3"/>
        <v>0</v>
      </c>
    </row>
    <row r="29" spans="1:10" x14ac:dyDescent="0.25">
      <c r="A29" s="180"/>
      <c r="B29" s="518">
        <f t="shared" si="5"/>
        <v>0</v>
      </c>
      <c r="C29" s="16"/>
      <c r="D29" s="484"/>
      <c r="E29" s="583"/>
      <c r="F29" s="484">
        <f t="shared" si="4"/>
        <v>0</v>
      </c>
      <c r="G29" s="485"/>
      <c r="H29" s="486"/>
      <c r="I29" s="507">
        <f t="shared" si="3"/>
        <v>0</v>
      </c>
    </row>
    <row r="30" spans="1:10" x14ac:dyDescent="0.25">
      <c r="A30" s="180"/>
      <c r="B30" s="518">
        <f t="shared" si="5"/>
        <v>0</v>
      </c>
      <c r="C30" s="16"/>
      <c r="D30" s="484"/>
      <c r="E30" s="583"/>
      <c r="F30" s="484">
        <f t="shared" si="4"/>
        <v>0</v>
      </c>
      <c r="G30" s="485"/>
      <c r="H30" s="486"/>
      <c r="I30" s="507">
        <f t="shared" si="3"/>
        <v>0</v>
      </c>
    </row>
    <row r="31" spans="1:10" x14ac:dyDescent="0.25">
      <c r="A31" s="180"/>
      <c r="B31" s="518">
        <f t="shared" si="5"/>
        <v>0</v>
      </c>
      <c r="C31" s="16"/>
      <c r="D31" s="484"/>
      <c r="E31" s="583"/>
      <c r="F31" s="484">
        <f t="shared" si="4"/>
        <v>0</v>
      </c>
      <c r="G31" s="485"/>
      <c r="H31" s="486"/>
      <c r="I31" s="507">
        <f t="shared" si="3"/>
        <v>0</v>
      </c>
    </row>
    <row r="32" spans="1:10" x14ac:dyDescent="0.25">
      <c r="A32" s="180"/>
      <c r="B32" s="518">
        <f t="shared" si="5"/>
        <v>0</v>
      </c>
      <c r="C32" s="16"/>
      <c r="D32" s="484"/>
      <c r="E32" s="583"/>
      <c r="F32" s="484">
        <f t="shared" si="4"/>
        <v>0</v>
      </c>
      <c r="G32" s="485"/>
      <c r="H32" s="486"/>
      <c r="I32" s="507">
        <f t="shared" si="3"/>
        <v>0</v>
      </c>
    </row>
    <row r="33" spans="1:9" x14ac:dyDescent="0.25">
      <c r="A33" s="180"/>
      <c r="B33" s="518">
        <f t="shared" si="5"/>
        <v>0</v>
      </c>
      <c r="C33" s="16"/>
      <c r="D33" s="484"/>
      <c r="E33" s="583"/>
      <c r="F33" s="484">
        <f t="shared" si="4"/>
        <v>0</v>
      </c>
      <c r="G33" s="485"/>
      <c r="H33" s="486"/>
      <c r="I33" s="507">
        <f t="shared" si="3"/>
        <v>0</v>
      </c>
    </row>
    <row r="34" spans="1:9" x14ac:dyDescent="0.25">
      <c r="A34" s="180"/>
      <c r="B34" s="518">
        <f t="shared" si="5"/>
        <v>0</v>
      </c>
      <c r="C34" s="16"/>
      <c r="D34" s="484"/>
      <c r="E34" s="583"/>
      <c r="F34" s="484">
        <f t="shared" si="4"/>
        <v>0</v>
      </c>
      <c r="G34" s="485"/>
      <c r="H34" s="486"/>
      <c r="I34" s="507">
        <f t="shared" si="3"/>
        <v>0</v>
      </c>
    </row>
    <row r="35" spans="1:9" x14ac:dyDescent="0.25">
      <c r="A35" s="180"/>
      <c r="B35" s="518">
        <f t="shared" si="5"/>
        <v>0</v>
      </c>
      <c r="C35" s="16"/>
      <c r="D35" s="484"/>
      <c r="E35" s="583"/>
      <c r="F35" s="484">
        <f t="shared" si="4"/>
        <v>0</v>
      </c>
      <c r="G35" s="485"/>
      <c r="H35" s="486"/>
      <c r="I35" s="507">
        <f t="shared" si="3"/>
        <v>0</v>
      </c>
    </row>
    <row r="36" spans="1:9" x14ac:dyDescent="0.25">
      <c r="A36" s="180" t="s">
        <v>22</v>
      </c>
      <c r="B36" s="518">
        <f t="shared" si="5"/>
        <v>0</v>
      </c>
      <c r="C36" s="16"/>
      <c r="D36" s="484"/>
      <c r="E36" s="583"/>
      <c r="F36" s="484">
        <f t="shared" si="4"/>
        <v>0</v>
      </c>
      <c r="G36" s="485"/>
      <c r="H36" s="486"/>
      <c r="I36" s="507">
        <f t="shared" si="3"/>
        <v>0</v>
      </c>
    </row>
    <row r="37" spans="1:9" x14ac:dyDescent="0.25">
      <c r="A37" s="181"/>
      <c r="B37" s="518">
        <f t="shared" si="5"/>
        <v>0</v>
      </c>
      <c r="C37" s="16"/>
      <c r="D37" s="484"/>
      <c r="E37" s="583"/>
      <c r="F37" s="484">
        <f t="shared" si="4"/>
        <v>0</v>
      </c>
      <c r="G37" s="485"/>
      <c r="H37" s="486"/>
      <c r="I37" s="507">
        <f t="shared" si="3"/>
        <v>0</v>
      </c>
    </row>
    <row r="38" spans="1:9" x14ac:dyDescent="0.25">
      <c r="A38" s="180"/>
      <c r="B38" s="518">
        <f t="shared" si="5"/>
        <v>0</v>
      </c>
      <c r="C38" s="16"/>
      <c r="D38" s="484"/>
      <c r="E38" s="583"/>
      <c r="F38" s="484">
        <f t="shared" si="4"/>
        <v>0</v>
      </c>
      <c r="G38" s="485"/>
      <c r="H38" s="486"/>
      <c r="I38" s="507">
        <f t="shared" si="3"/>
        <v>0</v>
      </c>
    </row>
    <row r="39" spans="1:9" x14ac:dyDescent="0.25">
      <c r="A39" s="180"/>
      <c r="B39" s="125">
        <f t="shared" si="5"/>
        <v>0</v>
      </c>
      <c r="C39" s="16"/>
      <c r="D39" s="484"/>
      <c r="E39" s="583"/>
      <c r="F39" s="484">
        <f t="shared" si="4"/>
        <v>0</v>
      </c>
      <c r="G39" s="485"/>
      <c r="H39" s="486"/>
      <c r="I39" s="507">
        <f t="shared" si="3"/>
        <v>0</v>
      </c>
    </row>
    <row r="40" spans="1:9" x14ac:dyDescent="0.25">
      <c r="A40" s="180"/>
      <c r="B40" s="125">
        <f t="shared" si="5"/>
        <v>0</v>
      </c>
      <c r="C40" s="16"/>
      <c r="D40" s="484"/>
      <c r="E40" s="583"/>
      <c r="F40" s="484">
        <f t="shared" si="4"/>
        <v>0</v>
      </c>
      <c r="G40" s="485"/>
      <c r="H40" s="486"/>
      <c r="I40" s="507">
        <f t="shared" si="3"/>
        <v>0</v>
      </c>
    </row>
    <row r="41" spans="1:9" x14ac:dyDescent="0.25">
      <c r="A41" s="180"/>
      <c r="B41" s="125">
        <f t="shared" si="5"/>
        <v>0</v>
      </c>
      <c r="C41" s="16"/>
      <c r="D41" s="484"/>
      <c r="E41" s="583"/>
      <c r="F41" s="484">
        <f t="shared" si="4"/>
        <v>0</v>
      </c>
      <c r="G41" s="485"/>
      <c r="H41" s="486"/>
      <c r="I41" s="507">
        <f t="shared" si="3"/>
        <v>0</v>
      </c>
    </row>
    <row r="42" spans="1:9" x14ac:dyDescent="0.25">
      <c r="A42" s="180"/>
      <c r="B42" s="125">
        <f t="shared" si="5"/>
        <v>0</v>
      </c>
      <c r="C42" s="16"/>
      <c r="D42" s="484"/>
      <c r="E42" s="583"/>
      <c r="F42" s="484">
        <f t="shared" si="4"/>
        <v>0</v>
      </c>
      <c r="G42" s="485"/>
      <c r="H42" s="486"/>
      <c r="I42" s="507">
        <f t="shared" si="3"/>
        <v>0</v>
      </c>
    </row>
    <row r="43" spans="1:9" x14ac:dyDescent="0.25">
      <c r="A43" s="180"/>
      <c r="B43" s="125">
        <f t="shared" si="5"/>
        <v>0</v>
      </c>
      <c r="C43" s="16"/>
      <c r="D43" s="484"/>
      <c r="E43" s="583"/>
      <c r="F43" s="484">
        <f t="shared" si="4"/>
        <v>0</v>
      </c>
      <c r="G43" s="485"/>
      <c r="H43" s="486"/>
      <c r="I43" s="507">
        <f t="shared" si="3"/>
        <v>0</v>
      </c>
    </row>
    <row r="44" spans="1:9" x14ac:dyDescent="0.25">
      <c r="A44" s="180"/>
      <c r="B44" s="125">
        <f t="shared" si="5"/>
        <v>0</v>
      </c>
      <c r="C44" s="16"/>
      <c r="D44" s="484"/>
      <c r="E44" s="583"/>
      <c r="F44" s="484">
        <f t="shared" si="4"/>
        <v>0</v>
      </c>
      <c r="G44" s="485"/>
      <c r="H44" s="486"/>
      <c r="I44" s="507">
        <f t="shared" si="3"/>
        <v>0</v>
      </c>
    </row>
    <row r="45" spans="1:9" x14ac:dyDescent="0.25">
      <c r="A45" s="180"/>
      <c r="B45" s="125">
        <f t="shared" si="5"/>
        <v>0</v>
      </c>
      <c r="C45" s="16"/>
      <c r="D45" s="484"/>
      <c r="E45" s="583"/>
      <c r="F45" s="484">
        <f t="shared" si="4"/>
        <v>0</v>
      </c>
      <c r="G45" s="485"/>
      <c r="H45" s="486"/>
      <c r="I45" s="507">
        <f t="shared" si="3"/>
        <v>0</v>
      </c>
    </row>
    <row r="46" spans="1:9" x14ac:dyDescent="0.25">
      <c r="A46" s="180"/>
      <c r="B46" s="125">
        <f t="shared" si="5"/>
        <v>0</v>
      </c>
      <c r="C46" s="16"/>
      <c r="D46" s="484"/>
      <c r="E46" s="583"/>
      <c r="F46" s="484">
        <f t="shared" si="4"/>
        <v>0</v>
      </c>
      <c r="G46" s="485"/>
      <c r="H46" s="486"/>
      <c r="I46" s="507">
        <f t="shared" si="3"/>
        <v>0</v>
      </c>
    </row>
    <row r="47" spans="1:9" x14ac:dyDescent="0.25">
      <c r="A47" s="180"/>
      <c r="B47" s="125">
        <f t="shared" si="5"/>
        <v>0</v>
      </c>
      <c r="C47" s="16"/>
      <c r="D47" s="484"/>
      <c r="E47" s="583"/>
      <c r="F47" s="484">
        <f t="shared" si="4"/>
        <v>0</v>
      </c>
      <c r="G47" s="485"/>
      <c r="H47" s="486"/>
      <c r="I47" s="507">
        <f t="shared" si="3"/>
        <v>0</v>
      </c>
    </row>
    <row r="48" spans="1:9" x14ac:dyDescent="0.25">
      <c r="A48" s="180"/>
      <c r="B48" s="125">
        <f t="shared" si="5"/>
        <v>0</v>
      </c>
      <c r="C48" s="16"/>
      <c r="D48" s="484"/>
      <c r="E48" s="583"/>
      <c r="F48" s="484">
        <f t="shared" si="4"/>
        <v>0</v>
      </c>
      <c r="G48" s="485"/>
      <c r="H48" s="486"/>
      <c r="I48" s="507">
        <f t="shared" si="3"/>
        <v>0</v>
      </c>
    </row>
    <row r="49" spans="1:9" x14ac:dyDescent="0.25">
      <c r="A49" s="180"/>
      <c r="B49" s="125">
        <f t="shared" si="5"/>
        <v>0</v>
      </c>
      <c r="C49" s="16"/>
      <c r="D49" s="484"/>
      <c r="E49" s="583"/>
      <c r="F49" s="484">
        <f t="shared" si="4"/>
        <v>0</v>
      </c>
      <c r="G49" s="485"/>
      <c r="H49" s="486"/>
      <c r="I49" s="507">
        <f t="shared" si="3"/>
        <v>0</v>
      </c>
    </row>
    <row r="50" spans="1:9" x14ac:dyDescent="0.25">
      <c r="A50" s="180"/>
      <c r="B50" s="125">
        <f t="shared" si="5"/>
        <v>0</v>
      </c>
      <c r="C50" s="16"/>
      <c r="D50" s="484"/>
      <c r="E50" s="583"/>
      <c r="F50" s="484">
        <f t="shared" si="4"/>
        <v>0</v>
      </c>
      <c r="G50" s="485"/>
      <c r="H50" s="486"/>
      <c r="I50" s="507">
        <f t="shared" si="3"/>
        <v>0</v>
      </c>
    </row>
    <row r="51" spans="1:9" x14ac:dyDescent="0.25">
      <c r="A51" s="180"/>
      <c r="B51" s="125">
        <f t="shared" si="5"/>
        <v>0</v>
      </c>
      <c r="C51" s="16"/>
      <c r="D51" s="484"/>
      <c r="E51" s="583"/>
      <c r="F51" s="484">
        <f t="shared" si="4"/>
        <v>0</v>
      </c>
      <c r="G51" s="485"/>
      <c r="H51" s="486"/>
      <c r="I51" s="507">
        <f t="shared" si="3"/>
        <v>0</v>
      </c>
    </row>
    <row r="52" spans="1:9" x14ac:dyDescent="0.25">
      <c r="A52" s="180"/>
      <c r="B52" s="125">
        <f t="shared" si="5"/>
        <v>0</v>
      </c>
      <c r="C52" s="16"/>
      <c r="D52" s="484"/>
      <c r="E52" s="583"/>
      <c r="F52" s="484">
        <f t="shared" si="4"/>
        <v>0</v>
      </c>
      <c r="G52" s="485"/>
      <c r="H52" s="486"/>
      <c r="I52" s="507">
        <f t="shared" si="3"/>
        <v>0</v>
      </c>
    </row>
    <row r="53" spans="1:9" x14ac:dyDescent="0.25">
      <c r="A53" s="180"/>
      <c r="B53" s="125">
        <f t="shared" si="5"/>
        <v>0</v>
      </c>
      <c r="C53" s="16"/>
      <c r="D53" s="484"/>
      <c r="E53" s="583"/>
      <c r="F53" s="484">
        <f t="shared" si="4"/>
        <v>0</v>
      </c>
      <c r="G53" s="485"/>
      <c r="H53" s="486"/>
      <c r="I53" s="507">
        <f t="shared" si="3"/>
        <v>0</v>
      </c>
    </row>
    <row r="54" spans="1:9" x14ac:dyDescent="0.25">
      <c r="A54" s="180"/>
      <c r="B54" s="125">
        <f t="shared" si="5"/>
        <v>0</v>
      </c>
      <c r="C54" s="16"/>
      <c r="D54" s="484"/>
      <c r="E54" s="583"/>
      <c r="F54" s="484">
        <f t="shared" si="4"/>
        <v>0</v>
      </c>
      <c r="G54" s="485"/>
      <c r="H54" s="486"/>
      <c r="I54" s="507">
        <f t="shared" si="3"/>
        <v>0</v>
      </c>
    </row>
    <row r="55" spans="1:9" x14ac:dyDescent="0.25">
      <c r="A55" s="180"/>
      <c r="B55" s="13">
        <f>B54-C55</f>
        <v>0</v>
      </c>
      <c r="C55" s="16"/>
      <c r="D55" s="484"/>
      <c r="E55" s="583"/>
      <c r="F55" s="484">
        <f t="shared" si="4"/>
        <v>0</v>
      </c>
      <c r="G55" s="485"/>
      <c r="H55" s="486"/>
      <c r="I55" s="507">
        <f t="shared" si="3"/>
        <v>0</v>
      </c>
    </row>
    <row r="56" spans="1:9" x14ac:dyDescent="0.25">
      <c r="A56" s="180"/>
      <c r="B56" s="13">
        <f t="shared" ref="B56:B75" si="6">B55-C56</f>
        <v>0</v>
      </c>
      <c r="C56" s="16"/>
      <c r="D56" s="484"/>
      <c r="E56" s="583"/>
      <c r="F56" s="484">
        <f t="shared" si="4"/>
        <v>0</v>
      </c>
      <c r="G56" s="485"/>
      <c r="H56" s="486"/>
      <c r="I56" s="507">
        <f t="shared" si="3"/>
        <v>0</v>
      </c>
    </row>
    <row r="57" spans="1:9" x14ac:dyDescent="0.25">
      <c r="A57" s="180"/>
      <c r="B57" s="13">
        <f t="shared" si="6"/>
        <v>0</v>
      </c>
      <c r="C57" s="16"/>
      <c r="D57" s="484"/>
      <c r="E57" s="583"/>
      <c r="F57" s="484">
        <f t="shared" si="4"/>
        <v>0</v>
      </c>
      <c r="G57" s="485"/>
      <c r="H57" s="486"/>
      <c r="I57" s="507">
        <f t="shared" si="3"/>
        <v>0</v>
      </c>
    </row>
    <row r="58" spans="1:9" x14ac:dyDescent="0.25">
      <c r="A58" s="180"/>
      <c r="B58" s="13">
        <f t="shared" si="6"/>
        <v>0</v>
      </c>
      <c r="C58" s="16"/>
      <c r="D58" s="484"/>
      <c r="E58" s="583"/>
      <c r="F58" s="484">
        <f t="shared" si="4"/>
        <v>0</v>
      </c>
      <c r="G58" s="485"/>
      <c r="H58" s="486"/>
      <c r="I58" s="507">
        <f t="shared" si="3"/>
        <v>0</v>
      </c>
    </row>
    <row r="59" spans="1:9" x14ac:dyDescent="0.25">
      <c r="A59" s="180"/>
      <c r="B59" s="13">
        <f t="shared" si="6"/>
        <v>0</v>
      </c>
      <c r="C59" s="16"/>
      <c r="D59" s="484"/>
      <c r="E59" s="583"/>
      <c r="F59" s="484">
        <f t="shared" si="4"/>
        <v>0</v>
      </c>
      <c r="G59" s="485"/>
      <c r="H59" s="486"/>
      <c r="I59" s="507">
        <f t="shared" si="3"/>
        <v>0</v>
      </c>
    </row>
    <row r="60" spans="1:9" x14ac:dyDescent="0.25">
      <c r="A60" s="180"/>
      <c r="B60" s="13">
        <f t="shared" si="6"/>
        <v>0</v>
      </c>
      <c r="C60" s="16"/>
      <c r="D60" s="484"/>
      <c r="E60" s="583"/>
      <c r="F60" s="484">
        <f t="shared" si="4"/>
        <v>0</v>
      </c>
      <c r="G60" s="485"/>
      <c r="H60" s="486"/>
      <c r="I60" s="507">
        <f t="shared" si="3"/>
        <v>0</v>
      </c>
    </row>
    <row r="61" spans="1:9" x14ac:dyDescent="0.25">
      <c r="A61" s="180"/>
      <c r="B61" s="13">
        <f t="shared" si="6"/>
        <v>0</v>
      </c>
      <c r="C61" s="16"/>
      <c r="D61" s="484"/>
      <c r="E61" s="583"/>
      <c r="F61" s="484">
        <f t="shared" si="4"/>
        <v>0</v>
      </c>
      <c r="G61" s="485"/>
      <c r="H61" s="486"/>
      <c r="I61" s="507">
        <f t="shared" si="3"/>
        <v>0</v>
      </c>
    </row>
    <row r="62" spans="1:9" x14ac:dyDescent="0.25">
      <c r="A62" s="180"/>
      <c r="B62" s="13">
        <f t="shared" si="6"/>
        <v>0</v>
      </c>
      <c r="C62" s="16"/>
      <c r="D62" s="484"/>
      <c r="E62" s="583"/>
      <c r="F62" s="484">
        <f t="shared" si="4"/>
        <v>0</v>
      </c>
      <c r="G62" s="485"/>
      <c r="H62" s="486"/>
      <c r="I62" s="507">
        <f t="shared" si="3"/>
        <v>0</v>
      </c>
    </row>
    <row r="63" spans="1:9" x14ac:dyDescent="0.25">
      <c r="A63" s="180"/>
      <c r="B63" s="13">
        <f t="shared" si="6"/>
        <v>0</v>
      </c>
      <c r="C63" s="16"/>
      <c r="D63" s="484"/>
      <c r="E63" s="583"/>
      <c r="F63" s="484">
        <f t="shared" si="4"/>
        <v>0</v>
      </c>
      <c r="G63" s="485"/>
      <c r="H63" s="486"/>
      <c r="I63" s="507">
        <f t="shared" si="3"/>
        <v>0</v>
      </c>
    </row>
    <row r="64" spans="1:9" x14ac:dyDescent="0.25">
      <c r="A64" s="180"/>
      <c r="B64" s="13">
        <f t="shared" si="6"/>
        <v>0</v>
      </c>
      <c r="C64" s="16"/>
      <c r="D64" s="484"/>
      <c r="E64" s="583"/>
      <c r="F64" s="484">
        <f t="shared" si="4"/>
        <v>0</v>
      </c>
      <c r="G64" s="485"/>
      <c r="H64" s="486"/>
      <c r="I64" s="507">
        <f t="shared" si="3"/>
        <v>0</v>
      </c>
    </row>
    <row r="65" spans="1:9" x14ac:dyDescent="0.25">
      <c r="A65" s="180"/>
      <c r="B65" s="13">
        <f t="shared" si="6"/>
        <v>0</v>
      </c>
      <c r="C65" s="16"/>
      <c r="D65" s="484"/>
      <c r="E65" s="583"/>
      <c r="F65" s="484">
        <f t="shared" si="4"/>
        <v>0</v>
      </c>
      <c r="G65" s="485"/>
      <c r="H65" s="486"/>
      <c r="I65" s="507">
        <f t="shared" si="3"/>
        <v>0</v>
      </c>
    </row>
    <row r="66" spans="1:9" x14ac:dyDescent="0.25">
      <c r="A66" s="180"/>
      <c r="B66" s="13">
        <f t="shared" si="6"/>
        <v>0</v>
      </c>
      <c r="C66" s="16"/>
      <c r="D66" s="484"/>
      <c r="E66" s="583"/>
      <c r="F66" s="484">
        <f t="shared" si="4"/>
        <v>0</v>
      </c>
      <c r="G66" s="485"/>
      <c r="H66" s="486"/>
      <c r="I66" s="507">
        <f t="shared" si="3"/>
        <v>0</v>
      </c>
    </row>
    <row r="67" spans="1:9" x14ac:dyDescent="0.25">
      <c r="A67" s="180"/>
      <c r="B67" s="13">
        <f t="shared" si="6"/>
        <v>0</v>
      </c>
      <c r="C67" s="16"/>
      <c r="D67" s="89"/>
      <c r="E67" s="381"/>
      <c r="F67" s="89">
        <f t="shared" si="4"/>
        <v>0</v>
      </c>
      <c r="G67" s="90"/>
      <c r="H67" s="91"/>
      <c r="I67" s="154">
        <f t="shared" si="3"/>
        <v>0</v>
      </c>
    </row>
    <row r="68" spans="1:9" x14ac:dyDescent="0.25">
      <c r="A68" s="180"/>
      <c r="B68" s="13">
        <f t="shared" si="6"/>
        <v>0</v>
      </c>
      <c r="C68" s="16"/>
      <c r="D68" s="77"/>
      <c r="E68" s="399"/>
      <c r="F68" s="89">
        <f t="shared" si="4"/>
        <v>0</v>
      </c>
      <c r="G68" s="90"/>
      <c r="H68" s="91"/>
      <c r="I68" s="154">
        <f t="shared" si="3"/>
        <v>0</v>
      </c>
    </row>
    <row r="69" spans="1:9" x14ac:dyDescent="0.25">
      <c r="A69" s="180"/>
      <c r="B69" s="13">
        <f t="shared" si="6"/>
        <v>0</v>
      </c>
      <c r="C69" s="16"/>
      <c r="D69" s="77"/>
      <c r="E69" s="399"/>
      <c r="F69" s="89">
        <f t="shared" si="4"/>
        <v>0</v>
      </c>
      <c r="G69" s="90"/>
      <c r="H69" s="91"/>
      <c r="I69" s="154">
        <f t="shared" si="3"/>
        <v>0</v>
      </c>
    </row>
    <row r="70" spans="1:9" x14ac:dyDescent="0.25">
      <c r="A70" s="180"/>
      <c r="B70" s="13">
        <f t="shared" si="6"/>
        <v>0</v>
      </c>
      <c r="C70" s="16"/>
      <c r="D70" s="77"/>
      <c r="E70" s="399"/>
      <c r="F70" s="89">
        <f t="shared" si="4"/>
        <v>0</v>
      </c>
      <c r="G70" s="90"/>
      <c r="H70" s="91"/>
      <c r="I70" s="154">
        <f t="shared" si="3"/>
        <v>0</v>
      </c>
    </row>
    <row r="71" spans="1:9" x14ac:dyDescent="0.25">
      <c r="A71" s="180"/>
      <c r="B71" s="13">
        <f t="shared" si="6"/>
        <v>0</v>
      </c>
      <c r="C71" s="16"/>
      <c r="D71" s="77"/>
      <c r="E71" s="399"/>
      <c r="F71" s="89">
        <f t="shared" si="4"/>
        <v>0</v>
      </c>
      <c r="G71" s="90"/>
      <c r="H71" s="91"/>
      <c r="I71" s="154">
        <f t="shared" si="3"/>
        <v>0</v>
      </c>
    </row>
    <row r="72" spans="1:9" x14ac:dyDescent="0.25">
      <c r="A72" s="180"/>
      <c r="B72" s="13">
        <f t="shared" si="6"/>
        <v>0</v>
      </c>
      <c r="C72" s="16"/>
      <c r="D72" s="77"/>
      <c r="E72" s="399"/>
      <c r="F72" s="89">
        <f t="shared" si="4"/>
        <v>0</v>
      </c>
      <c r="G72" s="90"/>
      <c r="H72" s="91"/>
      <c r="I72" s="154">
        <f t="shared" si="3"/>
        <v>0</v>
      </c>
    </row>
    <row r="73" spans="1:9" x14ac:dyDescent="0.25">
      <c r="A73" s="180"/>
      <c r="B73" s="13">
        <f t="shared" si="6"/>
        <v>0</v>
      </c>
      <c r="C73" s="16"/>
      <c r="D73" s="77"/>
      <c r="E73" s="399"/>
      <c r="F73" s="89">
        <f t="shared" si="4"/>
        <v>0</v>
      </c>
      <c r="G73" s="90"/>
      <c r="H73" s="91"/>
      <c r="I73" s="154">
        <f t="shared" si="3"/>
        <v>0</v>
      </c>
    </row>
    <row r="74" spans="1:9" x14ac:dyDescent="0.25">
      <c r="A74" s="180"/>
      <c r="B74" s="13">
        <f t="shared" si="6"/>
        <v>0</v>
      </c>
      <c r="C74" s="16"/>
      <c r="D74" s="77"/>
      <c r="E74" s="399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B75" s="13">
        <f t="shared" si="6"/>
        <v>0</v>
      </c>
      <c r="C75" s="16"/>
      <c r="D75" s="77"/>
      <c r="E75" s="399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399"/>
      <c r="F76" s="89">
        <f>D76</f>
        <v>0</v>
      </c>
      <c r="G76" s="90"/>
      <c r="H76" s="91"/>
      <c r="I76" s="154">
        <f t="shared" ref="I76" si="7">I75-F76</f>
        <v>0</v>
      </c>
    </row>
    <row r="77" spans="1:9" ht="15.75" thickBot="1" x14ac:dyDescent="0.3">
      <c r="A77" s="180"/>
      <c r="B77" s="17"/>
      <c r="C77" s="61"/>
      <c r="D77" s="156"/>
      <c r="E77" s="368"/>
      <c r="F77" s="149"/>
      <c r="G77" s="150"/>
      <c r="H77" s="78"/>
    </row>
    <row r="78" spans="1:9" x14ac:dyDescent="0.25">
      <c r="C78" s="62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766" t="s">
        <v>11</v>
      </c>
      <c r="D83" s="767"/>
      <c r="E83" s="74">
        <f>E5+E6-F78+E7</f>
        <v>0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U83"/>
  <sheetViews>
    <sheetView topLeftCell="M1" zoomScaleNormal="100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7.140625" customWidth="1"/>
    <col min="2" max="2" width="16.28515625" bestFit="1" customWidth="1"/>
    <col min="12" max="12" width="37.140625" customWidth="1"/>
    <col min="13" max="13" width="16.28515625" bestFit="1" customWidth="1"/>
  </cols>
  <sheetData>
    <row r="1" spans="1:21" ht="40.5" x14ac:dyDescent="0.55000000000000004">
      <c r="A1" s="768" t="s">
        <v>160</v>
      </c>
      <c r="B1" s="768"/>
      <c r="C1" s="768"/>
      <c r="D1" s="768"/>
      <c r="E1" s="768"/>
      <c r="F1" s="768"/>
      <c r="G1" s="768"/>
      <c r="H1" s="12">
        <v>1</v>
      </c>
      <c r="I1" s="79"/>
      <c r="L1" s="760" t="s">
        <v>144</v>
      </c>
      <c r="M1" s="760"/>
      <c r="N1" s="760"/>
      <c r="O1" s="760"/>
      <c r="P1" s="760"/>
      <c r="Q1" s="760"/>
      <c r="R1" s="760"/>
      <c r="S1" s="12">
        <v>2</v>
      </c>
      <c r="T1" s="79"/>
    </row>
    <row r="2" spans="1:21" ht="15.75" thickBot="1" x14ac:dyDescent="0.3">
      <c r="C2" s="13"/>
      <c r="D2" s="13"/>
      <c r="F2" s="13"/>
      <c r="I2" s="79"/>
      <c r="N2" s="13"/>
      <c r="O2" s="13"/>
      <c r="Q2" s="13"/>
      <c r="T2" s="79"/>
    </row>
    <row r="3" spans="1:2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34</v>
      </c>
      <c r="S3" s="38" t="s">
        <v>11</v>
      </c>
      <c r="T3" s="79"/>
    </row>
    <row r="4" spans="1:21" ht="16.5" thickTop="1" x14ac:dyDescent="0.25">
      <c r="A4" s="13"/>
      <c r="B4" s="13"/>
      <c r="C4" s="207"/>
      <c r="D4" s="420"/>
      <c r="E4" s="137"/>
      <c r="F4" s="13"/>
      <c r="G4" s="246"/>
      <c r="H4" s="246"/>
      <c r="I4" s="79"/>
      <c r="L4" s="13"/>
      <c r="M4" s="13"/>
      <c r="N4" s="207"/>
      <c r="O4" s="420"/>
      <c r="P4" s="137"/>
      <c r="Q4" s="13"/>
      <c r="R4" s="246"/>
      <c r="S4" s="246"/>
      <c r="T4" s="79"/>
    </row>
    <row r="5" spans="1:21" ht="15" customHeight="1" x14ac:dyDescent="0.25">
      <c r="A5" s="769" t="s">
        <v>125</v>
      </c>
      <c r="B5" s="770" t="s">
        <v>103</v>
      </c>
      <c r="C5" s="502"/>
      <c r="D5" s="446">
        <v>119</v>
      </c>
      <c r="E5" s="478">
        <v>18599.3</v>
      </c>
      <c r="F5" s="454">
        <v>639</v>
      </c>
      <c r="G5" s="479">
        <f>F77</f>
        <v>18742.699999999993</v>
      </c>
      <c r="I5" s="79"/>
      <c r="L5" s="769" t="s">
        <v>125</v>
      </c>
      <c r="M5" s="770" t="s">
        <v>103</v>
      </c>
      <c r="N5" s="502"/>
      <c r="O5" s="446">
        <v>43761</v>
      </c>
      <c r="P5" s="478">
        <v>18300.61</v>
      </c>
      <c r="Q5" s="454">
        <v>598</v>
      </c>
      <c r="R5" s="479">
        <f>Q77</f>
        <v>1983.62</v>
      </c>
      <c r="T5" s="79"/>
    </row>
    <row r="6" spans="1:21" ht="15.75" x14ac:dyDescent="0.25">
      <c r="A6" s="769"/>
      <c r="B6" s="770"/>
      <c r="C6" s="531"/>
      <c r="D6" s="446"/>
      <c r="E6" s="497">
        <v>143.4</v>
      </c>
      <c r="F6" s="454">
        <v>5</v>
      </c>
      <c r="G6" s="482"/>
      <c r="H6" s="8">
        <f>E6-G6+E7+E5-G5+E4</f>
        <v>7.2759576141834259E-12</v>
      </c>
      <c r="I6" s="79"/>
      <c r="L6" s="769"/>
      <c r="M6" s="770"/>
      <c r="N6" s="531"/>
      <c r="O6" s="446"/>
      <c r="P6" s="497">
        <v>279.98</v>
      </c>
      <c r="Q6" s="454">
        <v>9</v>
      </c>
      <c r="R6" s="482"/>
      <c r="S6" s="8">
        <f>P6-R6+P7+P5-R5+P4</f>
        <v>16596.97</v>
      </c>
      <c r="T6" s="79"/>
    </row>
    <row r="7" spans="1:21" ht="15.75" thickBot="1" x14ac:dyDescent="0.3">
      <c r="B7" s="20"/>
      <c r="C7" s="220"/>
      <c r="D7" s="241"/>
      <c r="E7" s="116"/>
      <c r="F7" s="80"/>
      <c r="G7" s="438"/>
      <c r="I7" s="79"/>
      <c r="M7" s="20"/>
      <c r="N7" s="220"/>
      <c r="O7" s="241"/>
      <c r="P7" s="116"/>
      <c r="Q7" s="80"/>
      <c r="R7" s="438"/>
      <c r="T7" s="79"/>
    </row>
    <row r="8" spans="1:21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M8" s="82" t="s">
        <v>7</v>
      </c>
      <c r="N8" s="28"/>
      <c r="O8" s="33"/>
      <c r="P8" s="34"/>
      <c r="Q8" s="10" t="s">
        <v>9</v>
      </c>
      <c r="R8" s="11" t="s">
        <v>15</v>
      </c>
      <c r="S8" s="25"/>
      <c r="T8" s="79"/>
    </row>
    <row r="9" spans="1:21" ht="15.75" thickTop="1" x14ac:dyDescent="0.25">
      <c r="A9" s="120" t="s">
        <v>32</v>
      </c>
      <c r="B9" s="125">
        <f>F6-C9+F5+F4+F7</f>
        <v>614</v>
      </c>
      <c r="C9" s="16">
        <v>30</v>
      </c>
      <c r="D9" s="89">
        <v>815.97</v>
      </c>
      <c r="E9" s="381">
        <v>43734</v>
      </c>
      <c r="F9" s="89">
        <f t="shared" ref="F9:F72" si="0">D9</f>
        <v>815.97</v>
      </c>
      <c r="G9" s="90" t="s">
        <v>135</v>
      </c>
      <c r="H9" s="91">
        <v>96</v>
      </c>
      <c r="I9" s="154">
        <f>E6-F9+E5+E4+E7</f>
        <v>17926.73</v>
      </c>
      <c r="L9" s="120" t="s">
        <v>32</v>
      </c>
      <c r="M9" s="125">
        <f>Q6-N9+Q5+Q4+Q7</f>
        <v>577</v>
      </c>
      <c r="N9" s="16">
        <v>30</v>
      </c>
      <c r="O9" s="404">
        <v>943.91</v>
      </c>
      <c r="P9" s="617">
        <v>43771</v>
      </c>
      <c r="Q9" s="404">
        <f t="shared" ref="Q9" si="1">O9</f>
        <v>943.91</v>
      </c>
      <c r="R9" s="279" t="s">
        <v>420</v>
      </c>
      <c r="S9" s="170">
        <v>96</v>
      </c>
      <c r="T9" s="154">
        <f>P6-Q9+P5+P4+P7</f>
        <v>17636.68</v>
      </c>
    </row>
    <row r="10" spans="1:21" x14ac:dyDescent="0.25">
      <c r="A10" s="364"/>
      <c r="B10" s="125">
        <f>B9-C10</f>
        <v>584</v>
      </c>
      <c r="C10" s="16">
        <v>30</v>
      </c>
      <c r="D10" s="89">
        <v>819.42</v>
      </c>
      <c r="E10" s="381">
        <v>43735</v>
      </c>
      <c r="F10" s="89">
        <f t="shared" si="0"/>
        <v>819.42</v>
      </c>
      <c r="G10" s="485" t="s">
        <v>137</v>
      </c>
      <c r="H10" s="486">
        <v>96</v>
      </c>
      <c r="I10" s="507">
        <f>I9-F10</f>
        <v>17107.310000000001</v>
      </c>
      <c r="L10" s="364"/>
      <c r="M10" s="125">
        <f>M9-N10</f>
        <v>573</v>
      </c>
      <c r="N10" s="16">
        <v>4</v>
      </c>
      <c r="O10" s="404">
        <v>123.61</v>
      </c>
      <c r="P10" s="617">
        <v>43774</v>
      </c>
      <c r="Q10" s="404">
        <f t="shared" ref="Q10:Q72" si="2">O10</f>
        <v>123.61</v>
      </c>
      <c r="R10" s="533" t="s">
        <v>425</v>
      </c>
      <c r="S10" s="534">
        <v>96</v>
      </c>
      <c r="T10" s="507">
        <f>T9-Q10</f>
        <v>17513.07</v>
      </c>
    </row>
    <row r="11" spans="1:21" x14ac:dyDescent="0.25">
      <c r="A11" s="342"/>
      <c r="B11" s="125">
        <f t="shared" ref="B11" si="3">B10-C11</f>
        <v>554</v>
      </c>
      <c r="C11" s="16">
        <v>30</v>
      </c>
      <c r="D11" s="89">
        <v>843.06</v>
      </c>
      <c r="E11" s="381">
        <v>43736</v>
      </c>
      <c r="F11" s="89">
        <f t="shared" si="0"/>
        <v>843.06</v>
      </c>
      <c r="G11" s="485" t="s">
        <v>140</v>
      </c>
      <c r="H11" s="486">
        <v>96</v>
      </c>
      <c r="I11" s="507">
        <f t="shared" ref="I11:I74" si="4">I10-F11</f>
        <v>16264.250000000002</v>
      </c>
      <c r="L11" s="342"/>
      <c r="M11" s="125">
        <f t="shared" ref="M11" si="5">M10-N11</f>
        <v>543</v>
      </c>
      <c r="N11" s="16">
        <v>30</v>
      </c>
      <c r="O11" s="404">
        <v>916.1</v>
      </c>
      <c r="P11" s="617">
        <v>43774</v>
      </c>
      <c r="Q11" s="404">
        <f t="shared" si="2"/>
        <v>916.1</v>
      </c>
      <c r="R11" s="533" t="s">
        <v>425</v>
      </c>
      <c r="S11" s="534">
        <v>96</v>
      </c>
      <c r="T11" s="507">
        <f t="shared" ref="T11:T74" si="6">T10-Q11</f>
        <v>16596.97</v>
      </c>
    </row>
    <row r="12" spans="1:21" x14ac:dyDescent="0.25">
      <c r="A12" s="122" t="s">
        <v>33</v>
      </c>
      <c r="B12" s="125">
        <f>B11-C12</f>
        <v>524</v>
      </c>
      <c r="C12" s="16">
        <v>30</v>
      </c>
      <c r="D12" s="89">
        <v>907.77</v>
      </c>
      <c r="E12" s="381">
        <v>43738</v>
      </c>
      <c r="F12" s="89">
        <f t="shared" si="0"/>
        <v>907.77</v>
      </c>
      <c r="G12" s="485" t="s">
        <v>141</v>
      </c>
      <c r="H12" s="486">
        <v>96</v>
      </c>
      <c r="I12" s="507">
        <f t="shared" si="4"/>
        <v>15356.480000000001</v>
      </c>
      <c r="L12" s="122" t="s">
        <v>33</v>
      </c>
      <c r="M12" s="125">
        <f>M11-N12</f>
        <v>543</v>
      </c>
      <c r="N12" s="16"/>
      <c r="O12" s="89"/>
      <c r="P12" s="381"/>
      <c r="Q12" s="89">
        <f t="shared" si="2"/>
        <v>0</v>
      </c>
      <c r="R12" s="485"/>
      <c r="S12" s="486"/>
      <c r="T12" s="507">
        <f t="shared" si="6"/>
        <v>16596.97</v>
      </c>
    </row>
    <row r="13" spans="1:21" x14ac:dyDescent="0.25">
      <c r="A13" s="97"/>
      <c r="B13" s="125">
        <f>B12-C13</f>
        <v>523</v>
      </c>
      <c r="C13" s="16">
        <v>1</v>
      </c>
      <c r="D13" s="89">
        <v>27.62</v>
      </c>
      <c r="E13" s="381">
        <v>43738</v>
      </c>
      <c r="F13" s="89">
        <f t="shared" si="0"/>
        <v>27.62</v>
      </c>
      <c r="G13" s="485" t="s">
        <v>142</v>
      </c>
      <c r="H13" s="486">
        <v>96</v>
      </c>
      <c r="I13" s="507">
        <f t="shared" si="4"/>
        <v>15328.86</v>
      </c>
      <c r="L13" s="97"/>
      <c r="M13" s="125">
        <f>M12-N13</f>
        <v>543</v>
      </c>
      <c r="N13" s="16"/>
      <c r="O13" s="89"/>
      <c r="P13" s="381"/>
      <c r="Q13" s="89">
        <f t="shared" si="2"/>
        <v>0</v>
      </c>
      <c r="R13" s="485"/>
      <c r="S13" s="486"/>
      <c r="T13" s="507">
        <f t="shared" si="6"/>
        <v>16596.97</v>
      </c>
    </row>
    <row r="14" spans="1:21" x14ac:dyDescent="0.25">
      <c r="A14" s="97"/>
      <c r="B14" s="125">
        <f t="shared" ref="B14:B21" si="7">B13-C14</f>
        <v>503</v>
      </c>
      <c r="C14" s="16">
        <v>20</v>
      </c>
      <c r="D14" s="89">
        <v>605.9</v>
      </c>
      <c r="E14" s="381">
        <v>43738</v>
      </c>
      <c r="F14" s="89">
        <f t="shared" si="0"/>
        <v>605.9</v>
      </c>
      <c r="G14" s="485" t="s">
        <v>143</v>
      </c>
      <c r="H14" s="486">
        <v>96</v>
      </c>
      <c r="I14" s="507">
        <f t="shared" si="4"/>
        <v>14722.960000000001</v>
      </c>
      <c r="L14" s="97"/>
      <c r="M14" s="125">
        <f t="shared" ref="M14:M21" si="8">M13-N14</f>
        <v>543</v>
      </c>
      <c r="N14" s="16"/>
      <c r="O14" s="89"/>
      <c r="P14" s="381"/>
      <c r="Q14" s="89">
        <f t="shared" si="2"/>
        <v>0</v>
      </c>
      <c r="R14" s="485"/>
      <c r="S14" s="486"/>
      <c r="T14" s="507">
        <f t="shared" si="6"/>
        <v>16596.97</v>
      </c>
    </row>
    <row r="15" spans="1:21" x14ac:dyDescent="0.25">
      <c r="B15" s="125">
        <f t="shared" si="7"/>
        <v>473</v>
      </c>
      <c r="C15" s="16">
        <v>30</v>
      </c>
      <c r="D15" s="89">
        <v>862.88</v>
      </c>
      <c r="E15" s="381">
        <v>43742</v>
      </c>
      <c r="F15" s="89">
        <f t="shared" si="0"/>
        <v>862.88</v>
      </c>
      <c r="G15" s="485" t="s">
        <v>151</v>
      </c>
      <c r="H15" s="486">
        <v>96</v>
      </c>
      <c r="I15" s="507">
        <f t="shared" si="4"/>
        <v>13860.080000000002</v>
      </c>
      <c r="M15" s="125">
        <f t="shared" si="8"/>
        <v>543</v>
      </c>
      <c r="N15" s="16"/>
      <c r="O15" s="89"/>
      <c r="P15" s="381"/>
      <c r="Q15" s="89">
        <f t="shared" si="2"/>
        <v>0</v>
      </c>
      <c r="R15" s="485"/>
      <c r="S15" s="486"/>
      <c r="T15" s="507">
        <f t="shared" si="6"/>
        <v>16596.97</v>
      </c>
    </row>
    <row r="16" spans="1:21" ht="15.75" x14ac:dyDescent="0.25">
      <c r="B16" s="125">
        <f t="shared" si="7"/>
        <v>443</v>
      </c>
      <c r="C16" s="16">
        <v>30</v>
      </c>
      <c r="D16" s="89">
        <v>854.28</v>
      </c>
      <c r="E16" s="381">
        <v>43742</v>
      </c>
      <c r="F16" s="89">
        <f t="shared" si="0"/>
        <v>854.28</v>
      </c>
      <c r="G16" s="485" t="s">
        <v>152</v>
      </c>
      <c r="H16" s="486">
        <v>96</v>
      </c>
      <c r="I16" s="507">
        <f t="shared" si="4"/>
        <v>13005.800000000001</v>
      </c>
      <c r="J16" s="635" t="s">
        <v>158</v>
      </c>
      <c r="M16" s="125">
        <f t="shared" si="8"/>
        <v>543</v>
      </c>
      <c r="N16" s="16"/>
      <c r="O16" s="89"/>
      <c r="P16" s="381"/>
      <c r="Q16" s="89">
        <f t="shared" si="2"/>
        <v>0</v>
      </c>
      <c r="R16" s="485"/>
      <c r="S16" s="486"/>
      <c r="T16" s="507">
        <f t="shared" si="6"/>
        <v>16596.97</v>
      </c>
      <c r="U16" s="577"/>
    </row>
    <row r="17" spans="1:20" x14ac:dyDescent="0.25">
      <c r="A17" s="180"/>
      <c r="B17" s="125">
        <f t="shared" si="7"/>
        <v>413</v>
      </c>
      <c r="C17" s="16">
        <v>30</v>
      </c>
      <c r="D17" s="404">
        <v>863.95</v>
      </c>
      <c r="E17" s="617">
        <v>43748</v>
      </c>
      <c r="F17" s="404">
        <f t="shared" si="0"/>
        <v>863.95</v>
      </c>
      <c r="G17" s="533" t="s">
        <v>221</v>
      </c>
      <c r="H17" s="534">
        <v>96</v>
      </c>
      <c r="I17" s="507">
        <f t="shared" si="4"/>
        <v>12141.85</v>
      </c>
      <c r="L17" s="180"/>
      <c r="M17" s="125">
        <f t="shared" si="8"/>
        <v>543</v>
      </c>
      <c r="N17" s="16"/>
      <c r="O17" s="89"/>
      <c r="P17" s="381"/>
      <c r="Q17" s="89">
        <f t="shared" si="2"/>
        <v>0</v>
      </c>
      <c r="R17" s="485"/>
      <c r="S17" s="486"/>
      <c r="T17" s="507">
        <f t="shared" si="6"/>
        <v>16596.97</v>
      </c>
    </row>
    <row r="18" spans="1:20" x14ac:dyDescent="0.25">
      <c r="A18" s="180"/>
      <c r="B18" s="125">
        <f t="shared" si="7"/>
        <v>383</v>
      </c>
      <c r="C18" s="16">
        <v>30</v>
      </c>
      <c r="D18" s="404">
        <v>882.57</v>
      </c>
      <c r="E18" s="617">
        <v>43748</v>
      </c>
      <c r="F18" s="404">
        <f t="shared" si="0"/>
        <v>882.57</v>
      </c>
      <c r="G18" s="533" t="s">
        <v>222</v>
      </c>
      <c r="H18" s="534">
        <v>96</v>
      </c>
      <c r="I18" s="507">
        <f t="shared" si="4"/>
        <v>11259.28</v>
      </c>
      <c r="L18" s="180"/>
      <c r="M18" s="125">
        <f t="shared" si="8"/>
        <v>543</v>
      </c>
      <c r="N18" s="16"/>
      <c r="O18" s="89"/>
      <c r="P18" s="381"/>
      <c r="Q18" s="89">
        <f t="shared" si="2"/>
        <v>0</v>
      </c>
      <c r="R18" s="485"/>
      <c r="S18" s="486"/>
      <c r="T18" s="507">
        <f t="shared" si="6"/>
        <v>16596.97</v>
      </c>
    </row>
    <row r="19" spans="1:20" x14ac:dyDescent="0.25">
      <c r="A19" s="180"/>
      <c r="B19" s="125">
        <f t="shared" si="7"/>
        <v>353</v>
      </c>
      <c r="C19" s="16">
        <v>30</v>
      </c>
      <c r="D19" s="404">
        <v>827.93</v>
      </c>
      <c r="E19" s="617">
        <v>43749</v>
      </c>
      <c r="F19" s="404">
        <f t="shared" si="0"/>
        <v>827.93</v>
      </c>
      <c r="G19" s="533" t="s">
        <v>224</v>
      </c>
      <c r="H19" s="534">
        <v>96</v>
      </c>
      <c r="I19" s="507">
        <f t="shared" si="4"/>
        <v>10431.35</v>
      </c>
      <c r="L19" s="180"/>
      <c r="M19" s="125">
        <f t="shared" si="8"/>
        <v>543</v>
      </c>
      <c r="N19" s="16"/>
      <c r="O19" s="89"/>
      <c r="P19" s="381"/>
      <c r="Q19" s="89">
        <f t="shared" si="2"/>
        <v>0</v>
      </c>
      <c r="R19" s="485"/>
      <c r="S19" s="486"/>
      <c r="T19" s="507">
        <f t="shared" si="6"/>
        <v>16596.97</v>
      </c>
    </row>
    <row r="20" spans="1:20" x14ac:dyDescent="0.25">
      <c r="A20" s="180"/>
      <c r="B20" s="430">
        <f t="shared" si="7"/>
        <v>323</v>
      </c>
      <c r="C20" s="16">
        <v>30</v>
      </c>
      <c r="D20" s="404">
        <v>875.71</v>
      </c>
      <c r="E20" s="617">
        <v>43752</v>
      </c>
      <c r="F20" s="404">
        <f t="shared" si="0"/>
        <v>875.71</v>
      </c>
      <c r="G20" s="533" t="s">
        <v>210</v>
      </c>
      <c r="H20" s="534">
        <v>96</v>
      </c>
      <c r="I20" s="507">
        <f t="shared" si="4"/>
        <v>9555.64</v>
      </c>
      <c r="L20" s="180"/>
      <c r="M20" s="430">
        <f t="shared" si="8"/>
        <v>543</v>
      </c>
      <c r="N20" s="16"/>
      <c r="O20" s="89"/>
      <c r="P20" s="381"/>
      <c r="Q20" s="89">
        <f t="shared" si="2"/>
        <v>0</v>
      </c>
      <c r="R20" s="485"/>
      <c r="S20" s="486"/>
      <c r="T20" s="507">
        <f t="shared" si="6"/>
        <v>16596.97</v>
      </c>
    </row>
    <row r="21" spans="1:20" x14ac:dyDescent="0.25">
      <c r="A21" s="180"/>
      <c r="B21" s="430">
        <f t="shared" si="7"/>
        <v>293</v>
      </c>
      <c r="C21" s="16">
        <v>30</v>
      </c>
      <c r="D21" s="404">
        <v>847.8</v>
      </c>
      <c r="E21" s="617">
        <v>43753</v>
      </c>
      <c r="F21" s="404">
        <f t="shared" si="0"/>
        <v>847.8</v>
      </c>
      <c r="G21" s="533" t="s">
        <v>278</v>
      </c>
      <c r="H21" s="534">
        <v>96</v>
      </c>
      <c r="I21" s="507">
        <f t="shared" si="4"/>
        <v>8707.84</v>
      </c>
      <c r="L21" s="180"/>
      <c r="M21" s="430">
        <f t="shared" si="8"/>
        <v>543</v>
      </c>
      <c r="N21" s="16"/>
      <c r="O21" s="89"/>
      <c r="P21" s="381"/>
      <c r="Q21" s="89">
        <f t="shared" si="2"/>
        <v>0</v>
      </c>
      <c r="R21" s="485"/>
      <c r="S21" s="486"/>
      <c r="T21" s="507">
        <f t="shared" si="6"/>
        <v>16596.97</v>
      </c>
    </row>
    <row r="22" spans="1:20" x14ac:dyDescent="0.25">
      <c r="A22" s="181"/>
      <c r="B22" s="430">
        <f>B21-C22</f>
        <v>263</v>
      </c>
      <c r="C22" s="16">
        <v>30</v>
      </c>
      <c r="D22" s="404">
        <v>921.29</v>
      </c>
      <c r="E22" s="617">
        <v>43754</v>
      </c>
      <c r="F22" s="404">
        <f t="shared" si="0"/>
        <v>921.29</v>
      </c>
      <c r="G22" s="533" t="s">
        <v>285</v>
      </c>
      <c r="H22" s="534">
        <v>96</v>
      </c>
      <c r="I22" s="507">
        <f t="shared" si="4"/>
        <v>7786.55</v>
      </c>
      <c r="L22" s="181"/>
      <c r="M22" s="430">
        <f>M21-N22</f>
        <v>543</v>
      </c>
      <c r="N22" s="16"/>
      <c r="O22" s="89"/>
      <c r="P22" s="381"/>
      <c r="Q22" s="89">
        <f t="shared" si="2"/>
        <v>0</v>
      </c>
      <c r="R22" s="485"/>
      <c r="S22" s="486"/>
      <c r="T22" s="507">
        <f t="shared" si="6"/>
        <v>16596.97</v>
      </c>
    </row>
    <row r="23" spans="1:20" x14ac:dyDescent="0.25">
      <c r="A23" s="180"/>
      <c r="B23" s="430">
        <f t="shared" ref="B23:B75" si="9">B22-C23</f>
        <v>233</v>
      </c>
      <c r="C23" s="16">
        <v>30</v>
      </c>
      <c r="D23" s="404">
        <v>895.44</v>
      </c>
      <c r="E23" s="617">
        <v>43756</v>
      </c>
      <c r="F23" s="404">
        <f t="shared" si="0"/>
        <v>895.44</v>
      </c>
      <c r="G23" s="533" t="s">
        <v>301</v>
      </c>
      <c r="H23" s="534">
        <v>96</v>
      </c>
      <c r="I23" s="507">
        <f t="shared" si="4"/>
        <v>6891.1100000000006</v>
      </c>
      <c r="L23" s="180"/>
      <c r="M23" s="430">
        <f t="shared" ref="M23:M75" si="10">M22-N23</f>
        <v>543</v>
      </c>
      <c r="N23" s="16"/>
      <c r="O23" s="89"/>
      <c r="P23" s="381"/>
      <c r="Q23" s="89">
        <f t="shared" si="2"/>
        <v>0</v>
      </c>
      <c r="R23" s="485"/>
      <c r="S23" s="486"/>
      <c r="T23" s="507">
        <f t="shared" si="6"/>
        <v>16596.97</v>
      </c>
    </row>
    <row r="24" spans="1:20" x14ac:dyDescent="0.25">
      <c r="A24" s="180"/>
      <c r="B24" s="430">
        <f t="shared" si="9"/>
        <v>223</v>
      </c>
      <c r="C24" s="16">
        <v>10</v>
      </c>
      <c r="D24" s="404">
        <v>282.83</v>
      </c>
      <c r="E24" s="617">
        <v>43756</v>
      </c>
      <c r="F24" s="404">
        <f t="shared" si="0"/>
        <v>282.83</v>
      </c>
      <c r="G24" s="533" t="s">
        <v>302</v>
      </c>
      <c r="H24" s="534">
        <v>96</v>
      </c>
      <c r="I24" s="507">
        <f t="shared" si="4"/>
        <v>6608.2800000000007</v>
      </c>
      <c r="L24" s="180"/>
      <c r="M24" s="430">
        <f t="shared" si="10"/>
        <v>543</v>
      </c>
      <c r="N24" s="16"/>
      <c r="O24" s="89"/>
      <c r="P24" s="381"/>
      <c r="Q24" s="89">
        <f t="shared" si="2"/>
        <v>0</v>
      </c>
      <c r="R24" s="485"/>
      <c r="S24" s="486"/>
      <c r="T24" s="507">
        <f t="shared" si="6"/>
        <v>16596.97</v>
      </c>
    </row>
    <row r="25" spans="1:20" x14ac:dyDescent="0.25">
      <c r="A25" s="180"/>
      <c r="B25" s="431">
        <f t="shared" si="9"/>
        <v>222</v>
      </c>
      <c r="C25" s="16">
        <v>1</v>
      </c>
      <c r="D25" s="404">
        <v>28.58</v>
      </c>
      <c r="E25" s="617">
        <v>43757</v>
      </c>
      <c r="F25" s="404">
        <f t="shared" si="0"/>
        <v>28.58</v>
      </c>
      <c r="G25" s="279" t="s">
        <v>314</v>
      </c>
      <c r="H25" s="170">
        <v>96</v>
      </c>
      <c r="I25" s="507">
        <f t="shared" si="4"/>
        <v>6579.7000000000007</v>
      </c>
      <c r="L25" s="180"/>
      <c r="M25" s="431">
        <f t="shared" si="10"/>
        <v>543</v>
      </c>
      <c r="N25" s="16"/>
      <c r="O25" s="89"/>
      <c r="P25" s="381"/>
      <c r="Q25" s="89">
        <f t="shared" si="2"/>
        <v>0</v>
      </c>
      <c r="R25" s="485"/>
      <c r="S25" s="486"/>
      <c r="T25" s="507">
        <f t="shared" si="6"/>
        <v>16596.97</v>
      </c>
    </row>
    <row r="26" spans="1:20" x14ac:dyDescent="0.25">
      <c r="A26" s="180"/>
      <c r="B26" s="430">
        <f t="shared" si="9"/>
        <v>192</v>
      </c>
      <c r="C26" s="16">
        <v>30</v>
      </c>
      <c r="D26" s="404">
        <v>875.3</v>
      </c>
      <c r="E26" s="617">
        <v>43759</v>
      </c>
      <c r="F26" s="404">
        <f t="shared" si="0"/>
        <v>875.3</v>
      </c>
      <c r="G26" s="533" t="s">
        <v>317</v>
      </c>
      <c r="H26" s="534">
        <v>96</v>
      </c>
      <c r="I26" s="507">
        <f t="shared" si="4"/>
        <v>5704.4000000000005</v>
      </c>
      <c r="L26" s="180"/>
      <c r="M26" s="430">
        <f t="shared" si="10"/>
        <v>543</v>
      </c>
      <c r="N26" s="16"/>
      <c r="O26" s="89"/>
      <c r="P26" s="381"/>
      <c r="Q26" s="89">
        <f t="shared" si="2"/>
        <v>0</v>
      </c>
      <c r="R26" s="485"/>
      <c r="S26" s="486"/>
      <c r="T26" s="507">
        <f t="shared" si="6"/>
        <v>16596.97</v>
      </c>
    </row>
    <row r="27" spans="1:20" x14ac:dyDescent="0.25">
      <c r="A27" s="180"/>
      <c r="B27" s="431">
        <f t="shared" si="9"/>
        <v>162</v>
      </c>
      <c r="C27" s="16">
        <v>30</v>
      </c>
      <c r="D27" s="404">
        <v>920.46</v>
      </c>
      <c r="E27" s="617">
        <v>43759</v>
      </c>
      <c r="F27" s="404">
        <f t="shared" si="0"/>
        <v>920.46</v>
      </c>
      <c r="G27" s="533" t="s">
        <v>319</v>
      </c>
      <c r="H27" s="534">
        <v>96</v>
      </c>
      <c r="I27" s="507">
        <f t="shared" si="4"/>
        <v>4783.9400000000005</v>
      </c>
      <c r="L27" s="180"/>
      <c r="M27" s="431">
        <f t="shared" si="10"/>
        <v>543</v>
      </c>
      <c r="N27" s="16"/>
      <c r="O27" s="89"/>
      <c r="P27" s="381"/>
      <c r="Q27" s="89">
        <f t="shared" si="2"/>
        <v>0</v>
      </c>
      <c r="R27" s="485"/>
      <c r="S27" s="486"/>
      <c r="T27" s="507">
        <f t="shared" si="6"/>
        <v>16596.97</v>
      </c>
    </row>
    <row r="28" spans="1:20" x14ac:dyDescent="0.25">
      <c r="A28" s="180"/>
      <c r="B28" s="430">
        <f t="shared" si="9"/>
        <v>132</v>
      </c>
      <c r="C28" s="16">
        <v>30</v>
      </c>
      <c r="D28" s="404">
        <v>944.21</v>
      </c>
      <c r="E28" s="617">
        <v>43762</v>
      </c>
      <c r="F28" s="404">
        <f t="shared" si="0"/>
        <v>944.21</v>
      </c>
      <c r="G28" s="533" t="s">
        <v>372</v>
      </c>
      <c r="H28" s="534">
        <v>96</v>
      </c>
      <c r="I28" s="507">
        <f t="shared" si="4"/>
        <v>3839.7300000000005</v>
      </c>
      <c r="L28" s="180"/>
      <c r="M28" s="430">
        <f t="shared" si="10"/>
        <v>543</v>
      </c>
      <c r="N28" s="16"/>
      <c r="O28" s="89"/>
      <c r="P28" s="381"/>
      <c r="Q28" s="89">
        <f t="shared" si="2"/>
        <v>0</v>
      </c>
      <c r="R28" s="485"/>
      <c r="S28" s="486"/>
      <c r="T28" s="507">
        <f t="shared" si="6"/>
        <v>16596.97</v>
      </c>
    </row>
    <row r="29" spans="1:20" x14ac:dyDescent="0.25">
      <c r="A29" s="180"/>
      <c r="B29" s="125">
        <f t="shared" si="9"/>
        <v>102</v>
      </c>
      <c r="C29" s="16">
        <v>30</v>
      </c>
      <c r="D29" s="404">
        <v>891.46</v>
      </c>
      <c r="E29" s="617">
        <v>43764</v>
      </c>
      <c r="F29" s="404">
        <f t="shared" si="0"/>
        <v>891.46</v>
      </c>
      <c r="G29" s="533" t="s">
        <v>384</v>
      </c>
      <c r="H29" s="534">
        <v>96</v>
      </c>
      <c r="I29" s="507">
        <f t="shared" si="4"/>
        <v>2948.2700000000004</v>
      </c>
      <c r="L29" s="180"/>
      <c r="M29" s="125">
        <f t="shared" si="10"/>
        <v>543</v>
      </c>
      <c r="N29" s="16"/>
      <c r="O29" s="89"/>
      <c r="P29" s="381"/>
      <c r="Q29" s="89">
        <f t="shared" si="2"/>
        <v>0</v>
      </c>
      <c r="R29" s="485"/>
      <c r="S29" s="486"/>
      <c r="T29" s="507">
        <f t="shared" si="6"/>
        <v>16596.97</v>
      </c>
    </row>
    <row r="30" spans="1:20" x14ac:dyDescent="0.25">
      <c r="A30" s="180"/>
      <c r="B30" s="125">
        <f t="shared" si="9"/>
        <v>72</v>
      </c>
      <c r="C30" s="16">
        <v>30</v>
      </c>
      <c r="D30" s="404">
        <v>866.1</v>
      </c>
      <c r="E30" s="617">
        <v>43768</v>
      </c>
      <c r="F30" s="404">
        <f t="shared" si="0"/>
        <v>866.1</v>
      </c>
      <c r="G30" s="533" t="s">
        <v>388</v>
      </c>
      <c r="H30" s="534">
        <v>96</v>
      </c>
      <c r="I30" s="507">
        <f t="shared" si="4"/>
        <v>2082.1700000000005</v>
      </c>
      <c r="L30" s="180"/>
      <c r="M30" s="125">
        <f t="shared" si="10"/>
        <v>543</v>
      </c>
      <c r="N30" s="16"/>
      <c r="O30" s="89"/>
      <c r="P30" s="381"/>
      <c r="Q30" s="89">
        <f t="shared" si="2"/>
        <v>0</v>
      </c>
      <c r="R30" s="485"/>
      <c r="S30" s="486"/>
      <c r="T30" s="507">
        <f t="shared" si="6"/>
        <v>16596.97</v>
      </c>
    </row>
    <row r="31" spans="1:20" x14ac:dyDescent="0.25">
      <c r="A31" s="180"/>
      <c r="B31" s="125">
        <f t="shared" si="9"/>
        <v>69</v>
      </c>
      <c r="C31" s="16">
        <v>3</v>
      </c>
      <c r="D31" s="404">
        <v>84.41</v>
      </c>
      <c r="E31" s="617">
        <v>43768</v>
      </c>
      <c r="F31" s="404">
        <f t="shared" si="0"/>
        <v>84.41</v>
      </c>
      <c r="G31" s="279" t="s">
        <v>395</v>
      </c>
      <c r="H31" s="170">
        <v>96</v>
      </c>
      <c r="I31" s="154">
        <f t="shared" si="4"/>
        <v>1997.7600000000004</v>
      </c>
      <c r="L31" s="180"/>
      <c r="M31" s="125">
        <f t="shared" si="10"/>
        <v>543</v>
      </c>
      <c r="N31" s="16"/>
      <c r="O31" s="89"/>
      <c r="P31" s="381"/>
      <c r="Q31" s="89">
        <f t="shared" si="2"/>
        <v>0</v>
      </c>
      <c r="R31" s="90"/>
      <c r="S31" s="91"/>
      <c r="T31" s="154">
        <f t="shared" si="6"/>
        <v>16596.97</v>
      </c>
    </row>
    <row r="32" spans="1:20" x14ac:dyDescent="0.25">
      <c r="A32" s="180"/>
      <c r="B32" s="125">
        <f t="shared" si="9"/>
        <v>39</v>
      </c>
      <c r="C32" s="16">
        <v>30</v>
      </c>
      <c r="D32" s="404">
        <v>878.35</v>
      </c>
      <c r="E32" s="617">
        <v>43769</v>
      </c>
      <c r="F32" s="404">
        <f t="shared" si="0"/>
        <v>878.35</v>
      </c>
      <c r="G32" s="279" t="s">
        <v>401</v>
      </c>
      <c r="H32" s="170">
        <v>96</v>
      </c>
      <c r="I32" s="154">
        <f t="shared" si="4"/>
        <v>1119.4100000000003</v>
      </c>
      <c r="L32" s="180"/>
      <c r="M32" s="125">
        <f t="shared" si="10"/>
        <v>543</v>
      </c>
      <c r="N32" s="16"/>
      <c r="O32" s="89"/>
      <c r="P32" s="381"/>
      <c r="Q32" s="89">
        <f t="shared" si="2"/>
        <v>0</v>
      </c>
      <c r="R32" s="90"/>
      <c r="S32" s="91"/>
      <c r="T32" s="154">
        <f t="shared" si="6"/>
        <v>16596.97</v>
      </c>
    </row>
    <row r="33" spans="1:20" x14ac:dyDescent="0.25">
      <c r="A33" s="180"/>
      <c r="B33" s="125">
        <f t="shared" si="9"/>
        <v>9</v>
      </c>
      <c r="C33" s="16">
        <v>30</v>
      </c>
      <c r="D33" s="404">
        <v>839.43</v>
      </c>
      <c r="E33" s="617">
        <v>43771</v>
      </c>
      <c r="F33" s="404">
        <f t="shared" si="0"/>
        <v>839.43</v>
      </c>
      <c r="G33" s="704" t="s">
        <v>416</v>
      </c>
      <c r="H33" s="705">
        <v>96</v>
      </c>
      <c r="I33" s="154">
        <f t="shared" si="4"/>
        <v>279.98000000000036</v>
      </c>
      <c r="L33" s="180"/>
      <c r="M33" s="125">
        <f t="shared" si="10"/>
        <v>543</v>
      </c>
      <c r="N33" s="16"/>
      <c r="O33" s="89"/>
      <c r="P33" s="381"/>
      <c r="Q33" s="89">
        <f t="shared" si="2"/>
        <v>0</v>
      </c>
      <c r="R33" s="90"/>
      <c r="S33" s="91"/>
      <c r="T33" s="154">
        <f t="shared" si="6"/>
        <v>16596.97</v>
      </c>
    </row>
    <row r="34" spans="1:20" x14ac:dyDescent="0.25">
      <c r="A34" s="180"/>
      <c r="B34" s="125">
        <f t="shared" si="9"/>
        <v>9</v>
      </c>
      <c r="C34" s="16"/>
      <c r="D34" s="404"/>
      <c r="E34" s="617"/>
      <c r="F34" s="404">
        <f t="shared" si="0"/>
        <v>0</v>
      </c>
      <c r="G34" s="704"/>
      <c r="H34" s="705"/>
      <c r="I34" s="154">
        <f t="shared" si="4"/>
        <v>279.98000000000036</v>
      </c>
      <c r="L34" s="180"/>
      <c r="M34" s="125">
        <f t="shared" si="10"/>
        <v>543</v>
      </c>
      <c r="N34" s="16"/>
      <c r="O34" s="89"/>
      <c r="P34" s="381"/>
      <c r="Q34" s="89">
        <f t="shared" si="2"/>
        <v>0</v>
      </c>
      <c r="R34" s="90"/>
      <c r="S34" s="91"/>
      <c r="T34" s="154">
        <f t="shared" si="6"/>
        <v>16596.97</v>
      </c>
    </row>
    <row r="35" spans="1:20" x14ac:dyDescent="0.25">
      <c r="A35" s="180" t="s">
        <v>22</v>
      </c>
      <c r="B35" s="125">
        <f t="shared" si="9"/>
        <v>9</v>
      </c>
      <c r="C35" s="16"/>
      <c r="D35" s="404"/>
      <c r="E35" s="617"/>
      <c r="F35" s="404">
        <f t="shared" si="0"/>
        <v>0</v>
      </c>
      <c r="G35" s="704"/>
      <c r="H35" s="705"/>
      <c r="I35" s="154">
        <f t="shared" si="4"/>
        <v>279.98000000000036</v>
      </c>
      <c r="L35" s="180" t="s">
        <v>22</v>
      </c>
      <c r="M35" s="125">
        <f t="shared" si="10"/>
        <v>543</v>
      </c>
      <c r="N35" s="16"/>
      <c r="O35" s="89"/>
      <c r="P35" s="381"/>
      <c r="Q35" s="89">
        <f t="shared" si="2"/>
        <v>0</v>
      </c>
      <c r="R35" s="90"/>
      <c r="S35" s="91"/>
      <c r="T35" s="154">
        <f t="shared" si="6"/>
        <v>16596.97</v>
      </c>
    </row>
    <row r="36" spans="1:20" x14ac:dyDescent="0.25">
      <c r="A36" s="181"/>
      <c r="B36" s="125">
        <f t="shared" si="9"/>
        <v>0</v>
      </c>
      <c r="C36" s="16">
        <v>9</v>
      </c>
      <c r="D36" s="404"/>
      <c r="E36" s="617"/>
      <c r="F36" s="404">
        <v>279.98</v>
      </c>
      <c r="G36" s="704"/>
      <c r="H36" s="705"/>
      <c r="I36" s="154">
        <f t="shared" si="4"/>
        <v>0</v>
      </c>
      <c r="L36" s="181"/>
      <c r="M36" s="125">
        <f t="shared" si="10"/>
        <v>543</v>
      </c>
      <c r="N36" s="16"/>
      <c r="O36" s="89"/>
      <c r="P36" s="381"/>
      <c r="Q36" s="89">
        <f t="shared" si="2"/>
        <v>0</v>
      </c>
      <c r="R36" s="90"/>
      <c r="S36" s="91"/>
      <c r="T36" s="154">
        <f t="shared" si="6"/>
        <v>16596.97</v>
      </c>
    </row>
    <row r="37" spans="1:20" x14ac:dyDescent="0.25">
      <c r="A37" s="180"/>
      <c r="B37" s="125">
        <f t="shared" si="9"/>
        <v>0</v>
      </c>
      <c r="C37" s="16"/>
      <c r="D37" s="404"/>
      <c r="E37" s="617"/>
      <c r="F37" s="404">
        <f t="shared" si="0"/>
        <v>0</v>
      </c>
      <c r="G37" s="704"/>
      <c r="H37" s="705"/>
      <c r="I37" s="154">
        <f t="shared" si="4"/>
        <v>0</v>
      </c>
      <c r="L37" s="180"/>
      <c r="M37" s="125">
        <f t="shared" si="10"/>
        <v>543</v>
      </c>
      <c r="N37" s="16"/>
      <c r="O37" s="89"/>
      <c r="P37" s="381"/>
      <c r="Q37" s="89">
        <f t="shared" si="2"/>
        <v>0</v>
      </c>
      <c r="R37" s="90"/>
      <c r="S37" s="91"/>
      <c r="T37" s="154">
        <f t="shared" si="6"/>
        <v>16596.97</v>
      </c>
    </row>
    <row r="38" spans="1:20" x14ac:dyDescent="0.25">
      <c r="A38" s="180"/>
      <c r="B38" s="125">
        <f t="shared" si="9"/>
        <v>0</v>
      </c>
      <c r="C38" s="16"/>
      <c r="D38" s="404"/>
      <c r="E38" s="617"/>
      <c r="F38" s="404">
        <f t="shared" si="0"/>
        <v>0</v>
      </c>
      <c r="G38" s="704"/>
      <c r="H38" s="705"/>
      <c r="I38" s="154">
        <f t="shared" si="4"/>
        <v>0</v>
      </c>
      <c r="L38" s="180"/>
      <c r="M38" s="125">
        <f t="shared" si="10"/>
        <v>543</v>
      </c>
      <c r="N38" s="16"/>
      <c r="O38" s="89"/>
      <c r="P38" s="381"/>
      <c r="Q38" s="89">
        <f t="shared" si="2"/>
        <v>0</v>
      </c>
      <c r="R38" s="90"/>
      <c r="S38" s="91"/>
      <c r="T38" s="154">
        <f t="shared" si="6"/>
        <v>16596.97</v>
      </c>
    </row>
    <row r="39" spans="1:20" x14ac:dyDescent="0.25">
      <c r="A39" s="180"/>
      <c r="B39" s="125">
        <f t="shared" si="9"/>
        <v>0</v>
      </c>
      <c r="C39" s="16"/>
      <c r="D39" s="404"/>
      <c r="E39" s="617"/>
      <c r="F39" s="404">
        <f t="shared" si="0"/>
        <v>0</v>
      </c>
      <c r="G39" s="704"/>
      <c r="H39" s="705"/>
      <c r="I39" s="154">
        <f t="shared" si="4"/>
        <v>0</v>
      </c>
      <c r="L39" s="180"/>
      <c r="M39" s="125">
        <f t="shared" si="10"/>
        <v>543</v>
      </c>
      <c r="N39" s="16"/>
      <c r="O39" s="89"/>
      <c r="P39" s="381"/>
      <c r="Q39" s="89">
        <f t="shared" si="2"/>
        <v>0</v>
      </c>
      <c r="R39" s="90"/>
      <c r="S39" s="91"/>
      <c r="T39" s="154">
        <f t="shared" si="6"/>
        <v>16596.97</v>
      </c>
    </row>
    <row r="40" spans="1:20" x14ac:dyDescent="0.25">
      <c r="A40" s="180"/>
      <c r="B40" s="125">
        <f t="shared" si="9"/>
        <v>0</v>
      </c>
      <c r="C40" s="16"/>
      <c r="D40" s="404"/>
      <c r="E40" s="617"/>
      <c r="F40" s="404">
        <f t="shared" si="0"/>
        <v>0</v>
      </c>
      <c r="G40" s="704"/>
      <c r="H40" s="705"/>
      <c r="I40" s="154">
        <f t="shared" si="4"/>
        <v>0</v>
      </c>
      <c r="L40" s="180"/>
      <c r="M40" s="125">
        <f t="shared" si="10"/>
        <v>543</v>
      </c>
      <c r="N40" s="16"/>
      <c r="O40" s="404"/>
      <c r="P40" s="617"/>
      <c r="Q40" s="404">
        <f t="shared" si="2"/>
        <v>0</v>
      </c>
      <c r="R40" s="279"/>
      <c r="S40" s="170"/>
      <c r="T40" s="154">
        <f t="shared" si="6"/>
        <v>16596.97</v>
      </c>
    </row>
    <row r="41" spans="1:20" x14ac:dyDescent="0.25">
      <c r="A41" s="180"/>
      <c r="B41" s="125">
        <f t="shared" si="9"/>
        <v>0</v>
      </c>
      <c r="C41" s="16"/>
      <c r="D41" s="404"/>
      <c r="E41" s="617"/>
      <c r="F41" s="404">
        <f t="shared" si="0"/>
        <v>0</v>
      </c>
      <c r="G41" s="704"/>
      <c r="H41" s="705"/>
      <c r="I41" s="154">
        <f t="shared" si="4"/>
        <v>0</v>
      </c>
      <c r="L41" s="180"/>
      <c r="M41" s="125">
        <f t="shared" si="10"/>
        <v>543</v>
      </c>
      <c r="N41" s="16"/>
      <c r="O41" s="404"/>
      <c r="P41" s="617"/>
      <c r="Q41" s="404">
        <f t="shared" si="2"/>
        <v>0</v>
      </c>
      <c r="R41" s="279"/>
      <c r="S41" s="170"/>
      <c r="T41" s="154">
        <f t="shared" si="6"/>
        <v>16596.97</v>
      </c>
    </row>
    <row r="42" spans="1:20" x14ac:dyDescent="0.25">
      <c r="A42" s="180"/>
      <c r="B42" s="125">
        <f t="shared" si="9"/>
        <v>0</v>
      </c>
      <c r="C42" s="16"/>
      <c r="D42" s="404"/>
      <c r="E42" s="617"/>
      <c r="F42" s="404">
        <f t="shared" si="0"/>
        <v>0</v>
      </c>
      <c r="G42" s="279"/>
      <c r="H42" s="170"/>
      <c r="I42" s="154">
        <f t="shared" si="4"/>
        <v>0</v>
      </c>
      <c r="L42" s="180"/>
      <c r="M42" s="125">
        <f t="shared" si="10"/>
        <v>543</v>
      </c>
      <c r="N42" s="16"/>
      <c r="O42" s="404"/>
      <c r="P42" s="617"/>
      <c r="Q42" s="404">
        <f t="shared" si="2"/>
        <v>0</v>
      </c>
      <c r="R42" s="279"/>
      <c r="S42" s="170"/>
      <c r="T42" s="154">
        <f t="shared" si="6"/>
        <v>16596.97</v>
      </c>
    </row>
    <row r="43" spans="1:20" x14ac:dyDescent="0.25">
      <c r="A43" s="180"/>
      <c r="B43" s="125">
        <f t="shared" si="9"/>
        <v>0</v>
      </c>
      <c r="C43" s="16"/>
      <c r="D43" s="404"/>
      <c r="E43" s="617"/>
      <c r="F43" s="404">
        <f t="shared" si="0"/>
        <v>0</v>
      </c>
      <c r="G43" s="279"/>
      <c r="H43" s="170"/>
      <c r="I43" s="154">
        <f t="shared" si="4"/>
        <v>0</v>
      </c>
      <c r="L43" s="180"/>
      <c r="M43" s="125">
        <f t="shared" si="10"/>
        <v>543</v>
      </c>
      <c r="N43" s="16"/>
      <c r="O43" s="404"/>
      <c r="P43" s="617"/>
      <c r="Q43" s="404">
        <f t="shared" si="2"/>
        <v>0</v>
      </c>
      <c r="R43" s="279"/>
      <c r="S43" s="170"/>
      <c r="T43" s="154">
        <f t="shared" si="6"/>
        <v>16596.97</v>
      </c>
    </row>
    <row r="44" spans="1:20" x14ac:dyDescent="0.25">
      <c r="A44" s="180"/>
      <c r="B44" s="125">
        <f t="shared" si="9"/>
        <v>0</v>
      </c>
      <c r="C44" s="16"/>
      <c r="D44" s="404"/>
      <c r="E44" s="617"/>
      <c r="F44" s="404">
        <f t="shared" si="0"/>
        <v>0</v>
      </c>
      <c r="G44" s="279"/>
      <c r="H44" s="170"/>
      <c r="I44" s="154">
        <f t="shared" si="4"/>
        <v>0</v>
      </c>
      <c r="L44" s="180"/>
      <c r="M44" s="125">
        <f t="shared" si="10"/>
        <v>543</v>
      </c>
      <c r="N44" s="16"/>
      <c r="O44" s="404"/>
      <c r="P44" s="617"/>
      <c r="Q44" s="404">
        <f t="shared" si="2"/>
        <v>0</v>
      </c>
      <c r="R44" s="279"/>
      <c r="S44" s="170"/>
      <c r="T44" s="154">
        <f t="shared" si="6"/>
        <v>16596.97</v>
      </c>
    </row>
    <row r="45" spans="1:20" x14ac:dyDescent="0.25">
      <c r="A45" s="180"/>
      <c r="B45" s="125">
        <f t="shared" si="9"/>
        <v>0</v>
      </c>
      <c r="C45" s="16"/>
      <c r="D45" s="404"/>
      <c r="E45" s="617"/>
      <c r="F45" s="404">
        <f t="shared" si="0"/>
        <v>0</v>
      </c>
      <c r="G45" s="279"/>
      <c r="H45" s="170"/>
      <c r="I45" s="154">
        <f t="shared" si="4"/>
        <v>0</v>
      </c>
      <c r="L45" s="180"/>
      <c r="M45" s="125">
        <f t="shared" si="10"/>
        <v>543</v>
      </c>
      <c r="N45" s="16"/>
      <c r="O45" s="404"/>
      <c r="P45" s="617"/>
      <c r="Q45" s="404">
        <f t="shared" si="2"/>
        <v>0</v>
      </c>
      <c r="R45" s="279"/>
      <c r="S45" s="170"/>
      <c r="T45" s="154">
        <f t="shared" si="6"/>
        <v>16596.97</v>
      </c>
    </row>
    <row r="46" spans="1:20" x14ac:dyDescent="0.25">
      <c r="A46" s="180"/>
      <c r="B46" s="125">
        <f t="shared" si="9"/>
        <v>0</v>
      </c>
      <c r="C46" s="16"/>
      <c r="D46" s="404"/>
      <c r="E46" s="617"/>
      <c r="F46" s="404">
        <f t="shared" si="0"/>
        <v>0</v>
      </c>
      <c r="G46" s="279"/>
      <c r="H46" s="170"/>
      <c r="I46" s="154">
        <f t="shared" si="4"/>
        <v>0</v>
      </c>
      <c r="L46" s="180"/>
      <c r="M46" s="125">
        <f t="shared" si="10"/>
        <v>543</v>
      </c>
      <c r="N46" s="16"/>
      <c r="O46" s="404"/>
      <c r="P46" s="617"/>
      <c r="Q46" s="404">
        <f t="shared" si="2"/>
        <v>0</v>
      </c>
      <c r="R46" s="279"/>
      <c r="S46" s="170"/>
      <c r="T46" s="154">
        <f t="shared" si="6"/>
        <v>16596.97</v>
      </c>
    </row>
    <row r="47" spans="1:20" x14ac:dyDescent="0.25">
      <c r="A47" s="180"/>
      <c r="B47" s="125">
        <f t="shared" si="9"/>
        <v>0</v>
      </c>
      <c r="C47" s="16"/>
      <c r="D47" s="404"/>
      <c r="E47" s="617"/>
      <c r="F47" s="404">
        <f t="shared" si="0"/>
        <v>0</v>
      </c>
      <c r="G47" s="279"/>
      <c r="H47" s="170"/>
      <c r="I47" s="154">
        <f t="shared" si="4"/>
        <v>0</v>
      </c>
      <c r="L47" s="180"/>
      <c r="M47" s="125">
        <f t="shared" si="10"/>
        <v>543</v>
      </c>
      <c r="N47" s="16"/>
      <c r="O47" s="404"/>
      <c r="P47" s="617"/>
      <c r="Q47" s="404">
        <f t="shared" si="2"/>
        <v>0</v>
      </c>
      <c r="R47" s="279"/>
      <c r="S47" s="170"/>
      <c r="T47" s="154">
        <f t="shared" si="6"/>
        <v>16596.97</v>
      </c>
    </row>
    <row r="48" spans="1:20" x14ac:dyDescent="0.25">
      <c r="A48" s="180"/>
      <c r="B48" s="125">
        <f t="shared" si="9"/>
        <v>0</v>
      </c>
      <c r="C48" s="16"/>
      <c r="D48" s="404"/>
      <c r="E48" s="617"/>
      <c r="F48" s="404">
        <f t="shared" si="0"/>
        <v>0</v>
      </c>
      <c r="G48" s="279"/>
      <c r="H48" s="170"/>
      <c r="I48" s="154">
        <f t="shared" si="4"/>
        <v>0</v>
      </c>
      <c r="L48" s="180"/>
      <c r="M48" s="125">
        <f t="shared" si="10"/>
        <v>543</v>
      </c>
      <c r="N48" s="16"/>
      <c r="O48" s="404"/>
      <c r="P48" s="617"/>
      <c r="Q48" s="404">
        <f t="shared" si="2"/>
        <v>0</v>
      </c>
      <c r="R48" s="279"/>
      <c r="S48" s="170"/>
      <c r="T48" s="154">
        <f t="shared" si="6"/>
        <v>16596.97</v>
      </c>
    </row>
    <row r="49" spans="1:20" x14ac:dyDescent="0.25">
      <c r="A49" s="180"/>
      <c r="B49" s="125">
        <f t="shared" si="9"/>
        <v>0</v>
      </c>
      <c r="C49" s="16"/>
      <c r="D49" s="404"/>
      <c r="E49" s="617"/>
      <c r="F49" s="404">
        <f t="shared" si="0"/>
        <v>0</v>
      </c>
      <c r="G49" s="279"/>
      <c r="H49" s="170"/>
      <c r="I49" s="154">
        <f t="shared" si="4"/>
        <v>0</v>
      </c>
      <c r="L49" s="180"/>
      <c r="M49" s="125">
        <f t="shared" si="10"/>
        <v>543</v>
      </c>
      <c r="N49" s="16"/>
      <c r="O49" s="404"/>
      <c r="P49" s="617"/>
      <c r="Q49" s="404">
        <f t="shared" si="2"/>
        <v>0</v>
      </c>
      <c r="R49" s="279"/>
      <c r="S49" s="170"/>
      <c r="T49" s="154">
        <f t="shared" si="6"/>
        <v>16596.97</v>
      </c>
    </row>
    <row r="50" spans="1:20" x14ac:dyDescent="0.25">
      <c r="A50" s="180"/>
      <c r="B50" s="125">
        <f t="shared" si="9"/>
        <v>0</v>
      </c>
      <c r="C50" s="16"/>
      <c r="D50" s="404"/>
      <c r="E50" s="617"/>
      <c r="F50" s="404">
        <f t="shared" si="0"/>
        <v>0</v>
      </c>
      <c r="G50" s="279"/>
      <c r="H50" s="170"/>
      <c r="I50" s="154">
        <f t="shared" si="4"/>
        <v>0</v>
      </c>
      <c r="L50" s="180"/>
      <c r="M50" s="125">
        <f t="shared" si="10"/>
        <v>543</v>
      </c>
      <c r="N50" s="16"/>
      <c r="O50" s="404"/>
      <c r="P50" s="617"/>
      <c r="Q50" s="404">
        <f t="shared" si="2"/>
        <v>0</v>
      </c>
      <c r="R50" s="279"/>
      <c r="S50" s="170"/>
      <c r="T50" s="154">
        <f t="shared" si="6"/>
        <v>16596.97</v>
      </c>
    </row>
    <row r="51" spans="1:20" x14ac:dyDescent="0.25">
      <c r="A51" s="180"/>
      <c r="B51" s="125">
        <f t="shared" si="9"/>
        <v>0</v>
      </c>
      <c r="C51" s="16"/>
      <c r="D51" s="404"/>
      <c r="E51" s="617"/>
      <c r="F51" s="404">
        <f t="shared" si="0"/>
        <v>0</v>
      </c>
      <c r="G51" s="279"/>
      <c r="H51" s="170"/>
      <c r="I51" s="154">
        <f t="shared" si="4"/>
        <v>0</v>
      </c>
      <c r="L51" s="180"/>
      <c r="M51" s="125">
        <f t="shared" si="10"/>
        <v>543</v>
      </c>
      <c r="N51" s="16"/>
      <c r="O51" s="404"/>
      <c r="P51" s="617"/>
      <c r="Q51" s="404">
        <f t="shared" si="2"/>
        <v>0</v>
      </c>
      <c r="R51" s="279"/>
      <c r="S51" s="170"/>
      <c r="T51" s="154">
        <f t="shared" si="6"/>
        <v>16596.97</v>
      </c>
    </row>
    <row r="52" spans="1:20" x14ac:dyDescent="0.25">
      <c r="A52" s="180"/>
      <c r="B52" s="125">
        <f t="shared" si="9"/>
        <v>0</v>
      </c>
      <c r="C52" s="16"/>
      <c r="D52" s="404"/>
      <c r="E52" s="617"/>
      <c r="F52" s="404">
        <f t="shared" si="0"/>
        <v>0</v>
      </c>
      <c r="G52" s="279"/>
      <c r="H52" s="170"/>
      <c r="I52" s="154">
        <f t="shared" si="4"/>
        <v>0</v>
      </c>
      <c r="L52" s="180"/>
      <c r="M52" s="125">
        <f t="shared" si="10"/>
        <v>543</v>
      </c>
      <c r="N52" s="16"/>
      <c r="O52" s="404"/>
      <c r="P52" s="617"/>
      <c r="Q52" s="404">
        <f t="shared" si="2"/>
        <v>0</v>
      </c>
      <c r="R52" s="279"/>
      <c r="S52" s="170"/>
      <c r="T52" s="154">
        <f t="shared" si="6"/>
        <v>16596.97</v>
      </c>
    </row>
    <row r="53" spans="1:20" x14ac:dyDescent="0.25">
      <c r="A53" s="180"/>
      <c r="B53" s="125">
        <f t="shared" si="9"/>
        <v>0</v>
      </c>
      <c r="C53" s="16"/>
      <c r="D53" s="404"/>
      <c r="E53" s="617"/>
      <c r="F53" s="404">
        <f t="shared" si="0"/>
        <v>0</v>
      </c>
      <c r="G53" s="279"/>
      <c r="H53" s="170"/>
      <c r="I53" s="154">
        <f t="shared" si="4"/>
        <v>0</v>
      </c>
      <c r="L53" s="180"/>
      <c r="M53" s="125">
        <f t="shared" si="10"/>
        <v>543</v>
      </c>
      <c r="N53" s="16"/>
      <c r="O53" s="404"/>
      <c r="P53" s="617"/>
      <c r="Q53" s="404">
        <f t="shared" si="2"/>
        <v>0</v>
      </c>
      <c r="R53" s="279"/>
      <c r="S53" s="170"/>
      <c r="T53" s="154">
        <f t="shared" si="6"/>
        <v>16596.97</v>
      </c>
    </row>
    <row r="54" spans="1:20" x14ac:dyDescent="0.25">
      <c r="A54" s="180"/>
      <c r="B54" s="125">
        <f t="shared" si="9"/>
        <v>0</v>
      </c>
      <c r="C54" s="16"/>
      <c r="D54" s="404"/>
      <c r="E54" s="617"/>
      <c r="F54" s="404">
        <f t="shared" si="0"/>
        <v>0</v>
      </c>
      <c r="G54" s="279"/>
      <c r="H54" s="170"/>
      <c r="I54" s="154">
        <f t="shared" si="4"/>
        <v>0</v>
      </c>
      <c r="L54" s="180"/>
      <c r="M54" s="125">
        <f t="shared" si="10"/>
        <v>543</v>
      </c>
      <c r="N54" s="16"/>
      <c r="O54" s="404"/>
      <c r="P54" s="617"/>
      <c r="Q54" s="404">
        <f t="shared" si="2"/>
        <v>0</v>
      </c>
      <c r="R54" s="279"/>
      <c r="S54" s="170"/>
      <c r="T54" s="154">
        <f t="shared" si="6"/>
        <v>16596.97</v>
      </c>
    </row>
    <row r="55" spans="1:20" x14ac:dyDescent="0.25">
      <c r="A55" s="180"/>
      <c r="B55" s="125">
        <f t="shared" si="9"/>
        <v>0</v>
      </c>
      <c r="C55" s="16"/>
      <c r="D55" s="404"/>
      <c r="E55" s="617"/>
      <c r="F55" s="404">
        <f t="shared" si="0"/>
        <v>0</v>
      </c>
      <c r="G55" s="279"/>
      <c r="H55" s="170"/>
      <c r="I55" s="154">
        <f t="shared" si="4"/>
        <v>0</v>
      </c>
      <c r="L55" s="180"/>
      <c r="M55" s="125">
        <f t="shared" si="10"/>
        <v>543</v>
      </c>
      <c r="N55" s="16"/>
      <c r="O55" s="404"/>
      <c r="P55" s="617"/>
      <c r="Q55" s="404">
        <f t="shared" si="2"/>
        <v>0</v>
      </c>
      <c r="R55" s="279"/>
      <c r="S55" s="170"/>
      <c r="T55" s="154">
        <f t="shared" si="6"/>
        <v>16596.97</v>
      </c>
    </row>
    <row r="56" spans="1:20" x14ac:dyDescent="0.25">
      <c r="A56" s="180"/>
      <c r="B56" s="125">
        <f t="shared" si="9"/>
        <v>0</v>
      </c>
      <c r="C56" s="16"/>
      <c r="D56" s="404"/>
      <c r="E56" s="617"/>
      <c r="F56" s="404">
        <f t="shared" si="0"/>
        <v>0</v>
      </c>
      <c r="G56" s="279"/>
      <c r="H56" s="170"/>
      <c r="I56" s="154">
        <f t="shared" si="4"/>
        <v>0</v>
      </c>
      <c r="L56" s="180"/>
      <c r="M56" s="125">
        <f t="shared" si="10"/>
        <v>543</v>
      </c>
      <c r="N56" s="16"/>
      <c r="O56" s="404"/>
      <c r="P56" s="617"/>
      <c r="Q56" s="404">
        <f t="shared" si="2"/>
        <v>0</v>
      </c>
      <c r="R56" s="279"/>
      <c r="S56" s="170"/>
      <c r="T56" s="154">
        <f t="shared" si="6"/>
        <v>16596.97</v>
      </c>
    </row>
    <row r="57" spans="1:20" x14ac:dyDescent="0.25">
      <c r="A57" s="180"/>
      <c r="B57" s="125">
        <f t="shared" si="9"/>
        <v>0</v>
      </c>
      <c r="C57" s="16"/>
      <c r="D57" s="404"/>
      <c r="E57" s="617"/>
      <c r="F57" s="404">
        <f t="shared" si="0"/>
        <v>0</v>
      </c>
      <c r="G57" s="279"/>
      <c r="H57" s="170"/>
      <c r="I57" s="154">
        <f t="shared" si="4"/>
        <v>0</v>
      </c>
      <c r="L57" s="180"/>
      <c r="M57" s="125">
        <f t="shared" si="10"/>
        <v>543</v>
      </c>
      <c r="N57" s="16"/>
      <c r="O57" s="404"/>
      <c r="P57" s="617"/>
      <c r="Q57" s="404">
        <f t="shared" si="2"/>
        <v>0</v>
      </c>
      <c r="R57" s="279"/>
      <c r="S57" s="170"/>
      <c r="T57" s="154">
        <f t="shared" si="6"/>
        <v>16596.97</v>
      </c>
    </row>
    <row r="58" spans="1:20" x14ac:dyDescent="0.25">
      <c r="A58" s="180"/>
      <c r="B58" s="125">
        <f t="shared" si="9"/>
        <v>0</v>
      </c>
      <c r="C58" s="16"/>
      <c r="D58" s="404"/>
      <c r="E58" s="617"/>
      <c r="F58" s="404">
        <f t="shared" si="0"/>
        <v>0</v>
      </c>
      <c r="G58" s="279"/>
      <c r="H58" s="170"/>
      <c r="I58" s="154">
        <f t="shared" si="4"/>
        <v>0</v>
      </c>
      <c r="L58" s="180"/>
      <c r="M58" s="125">
        <f t="shared" si="10"/>
        <v>543</v>
      </c>
      <c r="N58" s="16"/>
      <c r="O58" s="404"/>
      <c r="P58" s="617"/>
      <c r="Q58" s="404">
        <f t="shared" si="2"/>
        <v>0</v>
      </c>
      <c r="R58" s="279"/>
      <c r="S58" s="170"/>
      <c r="T58" s="154">
        <f t="shared" si="6"/>
        <v>16596.97</v>
      </c>
    </row>
    <row r="59" spans="1:20" x14ac:dyDescent="0.25">
      <c r="A59" s="180"/>
      <c r="B59" s="125">
        <f t="shared" si="9"/>
        <v>0</v>
      </c>
      <c r="C59" s="16"/>
      <c r="D59" s="404"/>
      <c r="E59" s="617"/>
      <c r="F59" s="404">
        <f t="shared" si="0"/>
        <v>0</v>
      </c>
      <c r="G59" s="279"/>
      <c r="H59" s="170"/>
      <c r="I59" s="154">
        <f t="shared" si="4"/>
        <v>0</v>
      </c>
      <c r="L59" s="180"/>
      <c r="M59" s="125">
        <f t="shared" si="10"/>
        <v>543</v>
      </c>
      <c r="N59" s="16"/>
      <c r="O59" s="404"/>
      <c r="P59" s="617"/>
      <c r="Q59" s="404">
        <f t="shared" si="2"/>
        <v>0</v>
      </c>
      <c r="R59" s="279"/>
      <c r="S59" s="170"/>
      <c r="T59" s="154">
        <f t="shared" si="6"/>
        <v>16596.97</v>
      </c>
    </row>
    <row r="60" spans="1:20" x14ac:dyDescent="0.25">
      <c r="A60" s="180"/>
      <c r="B60" s="125">
        <f t="shared" si="9"/>
        <v>0</v>
      </c>
      <c r="C60" s="16"/>
      <c r="D60" s="404"/>
      <c r="E60" s="617"/>
      <c r="F60" s="404">
        <f t="shared" si="0"/>
        <v>0</v>
      </c>
      <c r="G60" s="279"/>
      <c r="H60" s="170"/>
      <c r="I60" s="154">
        <f t="shared" si="4"/>
        <v>0</v>
      </c>
      <c r="L60" s="180"/>
      <c r="M60" s="125">
        <f t="shared" si="10"/>
        <v>543</v>
      </c>
      <c r="N60" s="16"/>
      <c r="O60" s="404"/>
      <c r="P60" s="617"/>
      <c r="Q60" s="404">
        <f t="shared" si="2"/>
        <v>0</v>
      </c>
      <c r="R60" s="279"/>
      <c r="S60" s="170"/>
      <c r="T60" s="154">
        <f t="shared" si="6"/>
        <v>16596.97</v>
      </c>
    </row>
    <row r="61" spans="1:20" x14ac:dyDescent="0.25">
      <c r="A61" s="180"/>
      <c r="B61" s="125">
        <f t="shared" si="9"/>
        <v>0</v>
      </c>
      <c r="C61" s="16"/>
      <c r="D61" s="404"/>
      <c r="E61" s="617"/>
      <c r="F61" s="404">
        <f t="shared" si="0"/>
        <v>0</v>
      </c>
      <c r="G61" s="279"/>
      <c r="H61" s="170"/>
      <c r="I61" s="154">
        <f t="shared" si="4"/>
        <v>0</v>
      </c>
      <c r="L61" s="180"/>
      <c r="M61" s="125">
        <f t="shared" si="10"/>
        <v>543</v>
      </c>
      <c r="N61" s="16"/>
      <c r="O61" s="404"/>
      <c r="P61" s="617"/>
      <c r="Q61" s="404">
        <f t="shared" si="2"/>
        <v>0</v>
      </c>
      <c r="R61" s="279"/>
      <c r="S61" s="170"/>
      <c r="T61" s="154">
        <f t="shared" si="6"/>
        <v>16596.97</v>
      </c>
    </row>
    <row r="62" spans="1:20" x14ac:dyDescent="0.25">
      <c r="A62" s="180"/>
      <c r="B62" s="125">
        <f t="shared" si="9"/>
        <v>0</v>
      </c>
      <c r="C62" s="16"/>
      <c r="D62" s="404"/>
      <c r="E62" s="617"/>
      <c r="F62" s="404">
        <f t="shared" si="0"/>
        <v>0</v>
      </c>
      <c r="G62" s="279"/>
      <c r="H62" s="170"/>
      <c r="I62" s="154">
        <f t="shared" si="4"/>
        <v>0</v>
      </c>
      <c r="L62" s="180"/>
      <c r="M62" s="125">
        <f t="shared" si="10"/>
        <v>543</v>
      </c>
      <c r="N62" s="16"/>
      <c r="O62" s="404"/>
      <c r="P62" s="617"/>
      <c r="Q62" s="404">
        <f t="shared" si="2"/>
        <v>0</v>
      </c>
      <c r="R62" s="279"/>
      <c r="S62" s="170"/>
      <c r="T62" s="154">
        <f t="shared" si="6"/>
        <v>16596.97</v>
      </c>
    </row>
    <row r="63" spans="1:20" x14ac:dyDescent="0.25">
      <c r="A63" s="180"/>
      <c r="B63" s="125">
        <f t="shared" si="9"/>
        <v>0</v>
      </c>
      <c r="C63" s="16"/>
      <c r="D63" s="404"/>
      <c r="E63" s="617"/>
      <c r="F63" s="404">
        <f t="shared" si="0"/>
        <v>0</v>
      </c>
      <c r="G63" s="279"/>
      <c r="H63" s="170"/>
      <c r="I63" s="154">
        <f t="shared" si="4"/>
        <v>0</v>
      </c>
      <c r="L63" s="180"/>
      <c r="M63" s="125">
        <f t="shared" si="10"/>
        <v>543</v>
      </c>
      <c r="N63" s="16"/>
      <c r="O63" s="404"/>
      <c r="P63" s="617"/>
      <c r="Q63" s="404">
        <f t="shared" si="2"/>
        <v>0</v>
      </c>
      <c r="R63" s="279"/>
      <c r="S63" s="170"/>
      <c r="T63" s="154">
        <f t="shared" si="6"/>
        <v>16596.97</v>
      </c>
    </row>
    <row r="64" spans="1:20" x14ac:dyDescent="0.25">
      <c r="A64" s="180"/>
      <c r="B64" s="125">
        <f t="shared" si="9"/>
        <v>0</v>
      </c>
      <c r="C64" s="16"/>
      <c r="D64" s="404"/>
      <c r="E64" s="617"/>
      <c r="F64" s="404">
        <f t="shared" si="0"/>
        <v>0</v>
      </c>
      <c r="G64" s="279"/>
      <c r="H64" s="170"/>
      <c r="I64" s="154">
        <f t="shared" si="4"/>
        <v>0</v>
      </c>
      <c r="L64" s="180"/>
      <c r="M64" s="125">
        <f t="shared" si="10"/>
        <v>543</v>
      </c>
      <c r="N64" s="16"/>
      <c r="O64" s="404"/>
      <c r="P64" s="617"/>
      <c r="Q64" s="404">
        <f t="shared" si="2"/>
        <v>0</v>
      </c>
      <c r="R64" s="279"/>
      <c r="S64" s="170"/>
      <c r="T64" s="154">
        <f t="shared" si="6"/>
        <v>16596.97</v>
      </c>
    </row>
    <row r="65" spans="1:20" x14ac:dyDescent="0.25">
      <c r="A65" s="180"/>
      <c r="B65" s="125">
        <f t="shared" si="9"/>
        <v>0</v>
      </c>
      <c r="C65" s="16"/>
      <c r="D65" s="404"/>
      <c r="E65" s="617"/>
      <c r="F65" s="404">
        <f t="shared" si="0"/>
        <v>0</v>
      </c>
      <c r="G65" s="279"/>
      <c r="H65" s="170"/>
      <c r="I65" s="154">
        <f t="shared" si="4"/>
        <v>0</v>
      </c>
      <c r="L65" s="180"/>
      <c r="M65" s="125">
        <f t="shared" si="10"/>
        <v>543</v>
      </c>
      <c r="N65" s="16"/>
      <c r="O65" s="404"/>
      <c r="P65" s="617"/>
      <c r="Q65" s="404">
        <f t="shared" si="2"/>
        <v>0</v>
      </c>
      <c r="R65" s="279"/>
      <c r="S65" s="170"/>
      <c r="T65" s="154">
        <f t="shared" si="6"/>
        <v>16596.97</v>
      </c>
    </row>
    <row r="66" spans="1:20" x14ac:dyDescent="0.25">
      <c r="A66" s="180"/>
      <c r="B66" s="125">
        <f t="shared" si="9"/>
        <v>0</v>
      </c>
      <c r="C66" s="16"/>
      <c r="D66" s="404"/>
      <c r="E66" s="617"/>
      <c r="F66" s="404">
        <f t="shared" si="0"/>
        <v>0</v>
      </c>
      <c r="G66" s="279"/>
      <c r="H66" s="170"/>
      <c r="I66" s="154">
        <f t="shared" si="4"/>
        <v>0</v>
      </c>
      <c r="L66" s="180"/>
      <c r="M66" s="125">
        <f t="shared" si="10"/>
        <v>543</v>
      </c>
      <c r="N66" s="16"/>
      <c r="O66" s="404"/>
      <c r="P66" s="617"/>
      <c r="Q66" s="404">
        <f t="shared" si="2"/>
        <v>0</v>
      </c>
      <c r="R66" s="279"/>
      <c r="S66" s="170"/>
      <c r="T66" s="154">
        <f t="shared" si="6"/>
        <v>16596.97</v>
      </c>
    </row>
    <row r="67" spans="1:20" x14ac:dyDescent="0.25">
      <c r="A67" s="180"/>
      <c r="B67" s="125">
        <f t="shared" si="9"/>
        <v>0</v>
      </c>
      <c r="C67" s="16"/>
      <c r="D67" s="404"/>
      <c r="E67" s="617"/>
      <c r="F67" s="404">
        <f t="shared" si="0"/>
        <v>0</v>
      </c>
      <c r="G67" s="279"/>
      <c r="H67" s="170"/>
      <c r="I67" s="154">
        <f t="shared" si="4"/>
        <v>0</v>
      </c>
      <c r="L67" s="180"/>
      <c r="M67" s="125">
        <f t="shared" si="10"/>
        <v>543</v>
      </c>
      <c r="N67" s="16"/>
      <c r="O67" s="404"/>
      <c r="P67" s="617"/>
      <c r="Q67" s="404">
        <f t="shared" si="2"/>
        <v>0</v>
      </c>
      <c r="R67" s="279"/>
      <c r="S67" s="170"/>
      <c r="T67" s="154">
        <f t="shared" si="6"/>
        <v>16596.97</v>
      </c>
    </row>
    <row r="68" spans="1:20" x14ac:dyDescent="0.25">
      <c r="A68" s="180"/>
      <c r="B68" s="125">
        <f t="shared" si="9"/>
        <v>0</v>
      </c>
      <c r="C68" s="16"/>
      <c r="D68" s="404"/>
      <c r="E68" s="617"/>
      <c r="F68" s="404">
        <f t="shared" si="0"/>
        <v>0</v>
      </c>
      <c r="G68" s="279"/>
      <c r="H68" s="170"/>
      <c r="I68" s="154">
        <f t="shared" si="4"/>
        <v>0</v>
      </c>
      <c r="L68" s="180"/>
      <c r="M68" s="125">
        <f t="shared" si="10"/>
        <v>543</v>
      </c>
      <c r="N68" s="16"/>
      <c r="O68" s="404"/>
      <c r="P68" s="617"/>
      <c r="Q68" s="404">
        <f t="shared" si="2"/>
        <v>0</v>
      </c>
      <c r="R68" s="279"/>
      <c r="S68" s="170"/>
      <c r="T68" s="154">
        <f t="shared" si="6"/>
        <v>16596.97</v>
      </c>
    </row>
    <row r="69" spans="1:20" x14ac:dyDescent="0.25">
      <c r="A69" s="180"/>
      <c r="B69" s="125">
        <f t="shared" si="9"/>
        <v>0</v>
      </c>
      <c r="C69" s="16"/>
      <c r="D69" s="404"/>
      <c r="E69" s="617"/>
      <c r="F69" s="404">
        <f t="shared" si="0"/>
        <v>0</v>
      </c>
      <c r="G69" s="279"/>
      <c r="H69" s="170"/>
      <c r="I69" s="154">
        <f t="shared" si="4"/>
        <v>0</v>
      </c>
      <c r="L69" s="180"/>
      <c r="M69" s="125">
        <f t="shared" si="10"/>
        <v>543</v>
      </c>
      <c r="N69" s="16"/>
      <c r="O69" s="404"/>
      <c r="P69" s="617"/>
      <c r="Q69" s="404">
        <f t="shared" si="2"/>
        <v>0</v>
      </c>
      <c r="R69" s="279"/>
      <c r="S69" s="170"/>
      <c r="T69" s="154">
        <f t="shared" si="6"/>
        <v>16596.97</v>
      </c>
    </row>
    <row r="70" spans="1:20" x14ac:dyDescent="0.25">
      <c r="A70" s="180"/>
      <c r="B70" s="125">
        <f t="shared" si="9"/>
        <v>0</v>
      </c>
      <c r="C70" s="16"/>
      <c r="D70" s="404"/>
      <c r="E70" s="617"/>
      <c r="F70" s="404">
        <f t="shared" si="0"/>
        <v>0</v>
      </c>
      <c r="G70" s="279"/>
      <c r="H70" s="170"/>
      <c r="I70" s="154">
        <f t="shared" si="4"/>
        <v>0</v>
      </c>
      <c r="L70" s="180"/>
      <c r="M70" s="125">
        <f t="shared" si="10"/>
        <v>543</v>
      </c>
      <c r="N70" s="16"/>
      <c r="O70" s="404"/>
      <c r="P70" s="617"/>
      <c r="Q70" s="404">
        <f t="shared" si="2"/>
        <v>0</v>
      </c>
      <c r="R70" s="279"/>
      <c r="S70" s="170"/>
      <c r="T70" s="154">
        <f t="shared" si="6"/>
        <v>16596.97</v>
      </c>
    </row>
    <row r="71" spans="1:20" x14ac:dyDescent="0.25">
      <c r="A71" s="180"/>
      <c r="B71" s="125">
        <f t="shared" si="9"/>
        <v>0</v>
      </c>
      <c r="C71" s="16"/>
      <c r="D71" s="404"/>
      <c r="E71" s="617"/>
      <c r="F71" s="404">
        <f t="shared" si="0"/>
        <v>0</v>
      </c>
      <c r="G71" s="279"/>
      <c r="H71" s="170"/>
      <c r="I71" s="154">
        <f t="shared" si="4"/>
        <v>0</v>
      </c>
      <c r="L71" s="180"/>
      <c r="M71" s="125">
        <f t="shared" si="10"/>
        <v>543</v>
      </c>
      <c r="N71" s="16"/>
      <c r="O71" s="404"/>
      <c r="P71" s="617"/>
      <c r="Q71" s="404">
        <f t="shared" si="2"/>
        <v>0</v>
      </c>
      <c r="R71" s="279"/>
      <c r="S71" s="170"/>
      <c r="T71" s="154">
        <f t="shared" si="6"/>
        <v>16596.97</v>
      </c>
    </row>
    <row r="72" spans="1:20" x14ac:dyDescent="0.25">
      <c r="A72" s="180"/>
      <c r="B72" s="125">
        <f t="shared" si="9"/>
        <v>0</v>
      </c>
      <c r="C72" s="16"/>
      <c r="D72" s="404"/>
      <c r="E72" s="617"/>
      <c r="F72" s="404">
        <f t="shared" si="0"/>
        <v>0</v>
      </c>
      <c r="G72" s="279"/>
      <c r="H72" s="170"/>
      <c r="I72" s="154">
        <f t="shared" si="4"/>
        <v>0</v>
      </c>
      <c r="L72" s="180"/>
      <c r="M72" s="125">
        <f t="shared" si="10"/>
        <v>543</v>
      </c>
      <c r="N72" s="16"/>
      <c r="O72" s="404"/>
      <c r="P72" s="617"/>
      <c r="Q72" s="404">
        <f t="shared" si="2"/>
        <v>0</v>
      </c>
      <c r="R72" s="279"/>
      <c r="S72" s="170"/>
      <c r="T72" s="154">
        <f t="shared" si="6"/>
        <v>16596.97</v>
      </c>
    </row>
    <row r="73" spans="1:20" x14ac:dyDescent="0.25">
      <c r="A73" s="180"/>
      <c r="B73" s="125">
        <f t="shared" si="9"/>
        <v>0</v>
      </c>
      <c r="C73" s="16"/>
      <c r="D73" s="404"/>
      <c r="E73" s="617"/>
      <c r="F73" s="404">
        <f>D73</f>
        <v>0</v>
      </c>
      <c r="G73" s="279"/>
      <c r="H73" s="170"/>
      <c r="I73" s="154">
        <f t="shared" si="4"/>
        <v>0</v>
      </c>
      <c r="L73" s="180"/>
      <c r="M73" s="125">
        <f t="shared" si="10"/>
        <v>543</v>
      </c>
      <c r="N73" s="16"/>
      <c r="O73" s="404"/>
      <c r="P73" s="617"/>
      <c r="Q73" s="404">
        <f>O73</f>
        <v>0</v>
      </c>
      <c r="R73" s="279"/>
      <c r="S73" s="170"/>
      <c r="T73" s="154">
        <f t="shared" si="6"/>
        <v>16596.97</v>
      </c>
    </row>
    <row r="74" spans="1:20" x14ac:dyDescent="0.25">
      <c r="A74" s="180"/>
      <c r="B74" s="125">
        <f t="shared" si="9"/>
        <v>0</v>
      </c>
      <c r="C74" s="16"/>
      <c r="D74" s="77"/>
      <c r="E74" s="399"/>
      <c r="F74" s="89">
        <f>D74</f>
        <v>0</v>
      </c>
      <c r="G74" s="90"/>
      <c r="H74" s="91"/>
      <c r="I74" s="154">
        <f t="shared" si="4"/>
        <v>0</v>
      </c>
      <c r="L74" s="180"/>
      <c r="M74" s="125">
        <f t="shared" si="10"/>
        <v>543</v>
      </c>
      <c r="N74" s="16"/>
      <c r="O74" s="77"/>
      <c r="P74" s="399"/>
      <c r="Q74" s="89">
        <f>O74</f>
        <v>0</v>
      </c>
      <c r="R74" s="90"/>
      <c r="S74" s="91"/>
      <c r="T74" s="154">
        <f t="shared" si="6"/>
        <v>16596.97</v>
      </c>
    </row>
    <row r="75" spans="1:20" x14ac:dyDescent="0.25">
      <c r="A75" s="180"/>
      <c r="B75" s="125">
        <f t="shared" si="9"/>
        <v>0</v>
      </c>
      <c r="C75" s="16"/>
      <c r="D75" s="77"/>
      <c r="E75" s="399"/>
      <c r="F75" s="89">
        <f>D75</f>
        <v>0</v>
      </c>
      <c r="G75" s="90"/>
      <c r="H75" s="91"/>
      <c r="I75" s="154">
        <f t="shared" ref="I75" si="11">I74-F75</f>
        <v>0</v>
      </c>
      <c r="L75" s="180"/>
      <c r="M75" s="125">
        <f t="shared" si="10"/>
        <v>543</v>
      </c>
      <c r="N75" s="16"/>
      <c r="O75" s="77"/>
      <c r="P75" s="399"/>
      <c r="Q75" s="89">
        <f>O75</f>
        <v>0</v>
      </c>
      <c r="R75" s="90"/>
      <c r="S75" s="91"/>
      <c r="T75" s="154">
        <f t="shared" ref="T75" si="12">T74-Q75</f>
        <v>16596.97</v>
      </c>
    </row>
    <row r="76" spans="1:20" ht="15.75" thickBot="1" x14ac:dyDescent="0.3">
      <c r="A76" s="180"/>
      <c r="B76" s="17"/>
      <c r="C76" s="61"/>
      <c r="D76" s="156"/>
      <c r="E76" s="368"/>
      <c r="F76" s="149"/>
      <c r="G76" s="150"/>
      <c r="H76" s="78"/>
      <c r="I76" s="79"/>
      <c r="L76" s="180"/>
      <c r="M76" s="17"/>
      <c r="N76" s="61"/>
      <c r="O76" s="156"/>
      <c r="P76" s="368"/>
      <c r="Q76" s="149"/>
      <c r="R76" s="150"/>
      <c r="S76" s="78"/>
      <c r="T76" s="79"/>
    </row>
    <row r="77" spans="1:20" x14ac:dyDescent="0.25">
      <c r="C77" s="62">
        <f>SUM(C9:C76)</f>
        <v>644</v>
      </c>
      <c r="D77" s="7">
        <f>SUM(D9:D76)</f>
        <v>18462.719999999994</v>
      </c>
      <c r="F77" s="7">
        <f>SUM(F9:F76)</f>
        <v>18742.699999999993</v>
      </c>
      <c r="I77" s="79"/>
      <c r="N77" s="62">
        <f>SUM(N9:N76)</f>
        <v>64</v>
      </c>
      <c r="O77" s="7">
        <f>SUM(O9:O76)</f>
        <v>1983.62</v>
      </c>
      <c r="Q77" s="7">
        <f>SUM(Q9:Q76)</f>
        <v>1983.62</v>
      </c>
      <c r="T77" s="79"/>
    </row>
    <row r="78" spans="1:20" x14ac:dyDescent="0.25">
      <c r="I78" s="79"/>
      <c r="T78" s="79"/>
    </row>
    <row r="79" spans="1:20" ht="15.75" thickBot="1" x14ac:dyDescent="0.3">
      <c r="I79" s="79"/>
      <c r="T79" s="79"/>
    </row>
    <row r="80" spans="1:20" ht="15.75" thickBot="1" x14ac:dyDescent="0.3">
      <c r="D80" s="49" t="s">
        <v>4</v>
      </c>
      <c r="E80" s="72">
        <f>F5+F6-C77+F7+F4</f>
        <v>0</v>
      </c>
      <c r="I80" s="79"/>
      <c r="O80" s="49" t="s">
        <v>4</v>
      </c>
      <c r="P80" s="72">
        <f>Q5+Q6-N77+Q7+Q4</f>
        <v>543</v>
      </c>
      <c r="T80" s="79"/>
    </row>
    <row r="81" spans="3:20" ht="15.75" thickBot="1" x14ac:dyDescent="0.3">
      <c r="I81" s="79"/>
      <c r="T81" s="79"/>
    </row>
    <row r="82" spans="3:20" ht="15.75" thickBot="1" x14ac:dyDescent="0.3">
      <c r="C82" s="766" t="s">
        <v>11</v>
      </c>
      <c r="D82" s="767"/>
      <c r="E82" s="74">
        <f>E5+E6-F77+E7+E4</f>
        <v>7.2759576141834259E-12</v>
      </c>
      <c r="F82" s="97"/>
      <c r="I82" s="79"/>
      <c r="N82" s="766" t="s">
        <v>11</v>
      </c>
      <c r="O82" s="767"/>
      <c r="P82" s="74">
        <f>P5+P6-Q77+P7+P4</f>
        <v>16596.97</v>
      </c>
      <c r="Q82" s="97"/>
      <c r="T82" s="79"/>
    </row>
    <row r="83" spans="3:20" x14ac:dyDescent="0.25">
      <c r="I83" s="79"/>
      <c r="T83" s="79"/>
    </row>
  </sheetData>
  <mergeCells count="8">
    <mergeCell ref="A1:G1"/>
    <mergeCell ref="A5:A6"/>
    <mergeCell ref="B5:B6"/>
    <mergeCell ref="C82:D82"/>
    <mergeCell ref="L1:R1"/>
    <mergeCell ref="L5:L6"/>
    <mergeCell ref="M5:M6"/>
    <mergeCell ref="N82:O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R39"/>
  <sheetViews>
    <sheetView topLeftCell="H1" workbookViewId="0">
      <pane xSplit="3" ySplit="8" topLeftCell="K27" activePane="bottomRight" state="frozen"/>
      <selection activeCell="H1" sqref="H1"/>
      <selection pane="topRight" activeCell="K1" sqref="K1"/>
      <selection pane="bottomLeft" activeCell="H9" sqref="H9"/>
      <selection pane="bottomRight" activeCell="M11" sqref="M11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11" max="11" width="26.7109375" customWidth="1"/>
    <col min="12" max="12" width="18" customWidth="1"/>
    <col min="13" max="13" width="17.140625" bestFit="1" customWidth="1"/>
    <col min="15" max="15" width="13" bestFit="1" customWidth="1"/>
  </cols>
  <sheetData>
    <row r="1" spans="1:18" ht="40.5" x14ac:dyDescent="0.55000000000000004">
      <c r="A1" s="768" t="s">
        <v>161</v>
      </c>
      <c r="B1" s="768"/>
      <c r="C1" s="768"/>
      <c r="D1" s="768"/>
      <c r="E1" s="768"/>
      <c r="F1" s="768"/>
      <c r="G1" s="768"/>
      <c r="H1" s="12">
        <v>1</v>
      </c>
      <c r="K1" s="760" t="s">
        <v>144</v>
      </c>
      <c r="L1" s="760"/>
      <c r="M1" s="760"/>
      <c r="N1" s="760"/>
      <c r="O1" s="760"/>
      <c r="P1" s="760"/>
      <c r="Q1" s="760"/>
      <c r="R1" s="12">
        <v>2</v>
      </c>
    </row>
    <row r="2" spans="1:18" ht="15.75" thickBot="1" x14ac:dyDescent="0.3">
      <c r="C2" s="13"/>
      <c r="D2" s="13"/>
      <c r="F2" s="13"/>
      <c r="M2" s="13"/>
      <c r="N2" s="13"/>
      <c r="P2" s="13"/>
    </row>
    <row r="3" spans="1:18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</row>
    <row r="4" spans="1:18" ht="15.75" thickTop="1" x14ac:dyDescent="0.25">
      <c r="A4" s="584"/>
      <c r="B4" s="584"/>
      <c r="C4" s="584"/>
      <c r="D4" s="584"/>
      <c r="E4" s="606">
        <v>385</v>
      </c>
      <c r="F4" s="584">
        <v>28</v>
      </c>
      <c r="G4" s="246"/>
      <c r="H4" s="246"/>
      <c r="K4" s="584"/>
      <c r="L4" s="584"/>
      <c r="M4" s="584"/>
      <c r="N4" s="584"/>
      <c r="O4" s="606"/>
      <c r="P4" s="584"/>
      <c r="Q4" s="246"/>
      <c r="R4" s="246"/>
    </row>
    <row r="5" spans="1:18" x14ac:dyDescent="0.25">
      <c r="A5" s="765" t="s">
        <v>113</v>
      </c>
      <c r="B5" s="771" t="s">
        <v>111</v>
      </c>
      <c r="C5" s="541">
        <v>46</v>
      </c>
      <c r="D5" s="446">
        <v>43682</v>
      </c>
      <c r="E5" s="478">
        <v>3239.75</v>
      </c>
      <c r="F5" s="454">
        <v>182</v>
      </c>
      <c r="G5" s="585">
        <f>F34</f>
        <v>3624.75</v>
      </c>
      <c r="H5" t="s">
        <v>41</v>
      </c>
      <c r="K5" s="765" t="s">
        <v>180</v>
      </c>
      <c r="L5" s="771" t="s">
        <v>111</v>
      </c>
      <c r="M5" s="541">
        <v>50.5</v>
      </c>
      <c r="N5" s="446">
        <v>43746</v>
      </c>
      <c r="O5" s="478">
        <v>1553.36</v>
      </c>
      <c r="P5" s="454">
        <v>82</v>
      </c>
      <c r="Q5" s="585">
        <f>P34</f>
        <v>465.09000000000003</v>
      </c>
      <c r="R5" t="s">
        <v>41</v>
      </c>
    </row>
    <row r="6" spans="1:18" ht="15.75" x14ac:dyDescent="0.25">
      <c r="A6" s="765"/>
      <c r="B6" s="771"/>
      <c r="C6" s="480"/>
      <c r="D6" s="481"/>
      <c r="E6" s="478"/>
      <c r="F6" s="454"/>
      <c r="G6" s="482"/>
      <c r="H6" s="8">
        <f>E6-G6+E7+E5-G5+E4</f>
        <v>0</v>
      </c>
      <c r="K6" s="765"/>
      <c r="L6" s="771"/>
      <c r="M6" s="480"/>
      <c r="N6" s="481"/>
      <c r="O6" s="478">
        <v>111.67</v>
      </c>
      <c r="P6" s="454">
        <v>6</v>
      </c>
      <c r="Q6" s="482"/>
      <c r="R6" s="8">
        <f>O6-Q6+O7+O5-Q5+O4</f>
        <v>1199.94</v>
      </c>
    </row>
    <row r="7" spans="1:18" ht="15.75" thickBot="1" x14ac:dyDescent="0.3">
      <c r="A7" s="438"/>
      <c r="B7" s="519"/>
      <c r="C7" s="505"/>
      <c r="D7" s="506"/>
      <c r="E7" s="478"/>
      <c r="F7" s="454"/>
      <c r="K7" s="438"/>
      <c r="L7" s="519"/>
      <c r="M7" s="505"/>
      <c r="N7" s="506"/>
      <c r="O7" s="478"/>
      <c r="P7" s="454"/>
    </row>
    <row r="8" spans="1:18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8" ht="15.75" thickTop="1" x14ac:dyDescent="0.25">
      <c r="A9" s="120" t="s">
        <v>32</v>
      </c>
      <c r="B9" s="542"/>
      <c r="C9" s="16">
        <v>5</v>
      </c>
      <c r="D9" s="89">
        <v>62.92</v>
      </c>
      <c r="E9" s="381">
        <v>43698</v>
      </c>
      <c r="F9" s="89">
        <v>62.92</v>
      </c>
      <c r="G9" s="90" t="s">
        <v>117</v>
      </c>
      <c r="H9" s="91">
        <v>54</v>
      </c>
      <c r="K9" s="120" t="s">
        <v>32</v>
      </c>
      <c r="L9" s="542"/>
      <c r="M9" s="16">
        <v>15</v>
      </c>
      <c r="N9" s="404">
        <v>287</v>
      </c>
      <c r="O9" s="617">
        <v>43757</v>
      </c>
      <c r="P9" s="404">
        <f t="shared" ref="P9" si="0">N9</f>
        <v>287</v>
      </c>
      <c r="Q9" s="279" t="s">
        <v>316</v>
      </c>
      <c r="R9" s="170">
        <v>54</v>
      </c>
    </row>
    <row r="10" spans="1:18" x14ac:dyDescent="0.25">
      <c r="A10" s="364"/>
      <c r="B10" s="542"/>
      <c r="C10" s="16">
        <v>6</v>
      </c>
      <c r="D10" s="89">
        <v>86.51</v>
      </c>
      <c r="E10" s="381">
        <v>43708</v>
      </c>
      <c r="F10" s="89">
        <f>D10</f>
        <v>86.51</v>
      </c>
      <c r="G10" s="90" t="s">
        <v>119</v>
      </c>
      <c r="H10" s="91">
        <v>54</v>
      </c>
      <c r="K10" s="364"/>
      <c r="L10" s="542"/>
      <c r="M10" s="16">
        <v>10</v>
      </c>
      <c r="N10" s="89">
        <v>178.09</v>
      </c>
      <c r="O10" s="381">
        <v>43769</v>
      </c>
      <c r="P10" s="89">
        <f>N10</f>
        <v>178.09</v>
      </c>
      <c r="Q10" s="90" t="s">
        <v>400</v>
      </c>
      <c r="R10" s="91">
        <v>54</v>
      </c>
    </row>
    <row r="11" spans="1:18" x14ac:dyDescent="0.25">
      <c r="A11" s="342"/>
      <c r="B11" s="542"/>
      <c r="C11" s="16">
        <v>49</v>
      </c>
      <c r="D11" s="404">
        <v>824.16</v>
      </c>
      <c r="E11" s="617">
        <v>43712</v>
      </c>
      <c r="F11" s="404">
        <f t="shared" ref="F11:F32" si="1">D11</f>
        <v>824.16</v>
      </c>
      <c r="G11" s="279" t="s">
        <v>121</v>
      </c>
      <c r="H11" s="170">
        <v>54</v>
      </c>
      <c r="K11" s="342"/>
      <c r="L11" s="542"/>
      <c r="M11" s="16"/>
      <c r="N11" s="89"/>
      <c r="O11" s="381"/>
      <c r="P11" s="89">
        <f t="shared" ref="P11:P32" si="2">N11</f>
        <v>0</v>
      </c>
      <c r="Q11" s="90"/>
      <c r="R11" s="91"/>
    </row>
    <row r="12" spans="1:18" x14ac:dyDescent="0.25">
      <c r="A12" s="122" t="s">
        <v>33</v>
      </c>
      <c r="B12" s="542"/>
      <c r="C12" s="16">
        <v>10</v>
      </c>
      <c r="D12" s="404">
        <v>138.33000000000001</v>
      </c>
      <c r="E12" s="617">
        <v>43720</v>
      </c>
      <c r="F12" s="404">
        <f t="shared" si="1"/>
        <v>138.33000000000001</v>
      </c>
      <c r="G12" s="279" t="s">
        <v>127</v>
      </c>
      <c r="H12" s="170">
        <v>54</v>
      </c>
      <c r="K12" s="122" t="s">
        <v>33</v>
      </c>
      <c r="L12" s="542"/>
      <c r="M12" s="16"/>
      <c r="N12" s="89"/>
      <c r="O12" s="381"/>
      <c r="P12" s="89">
        <f t="shared" si="2"/>
        <v>0</v>
      </c>
      <c r="Q12" s="90"/>
      <c r="R12" s="91"/>
    </row>
    <row r="13" spans="1:18" x14ac:dyDescent="0.25">
      <c r="A13" s="97"/>
      <c r="B13" s="543"/>
      <c r="C13" s="16">
        <v>15</v>
      </c>
      <c r="D13" s="618">
        <v>244.85</v>
      </c>
      <c r="E13" s="617">
        <v>43722</v>
      </c>
      <c r="F13" s="404">
        <f t="shared" si="1"/>
        <v>244.85</v>
      </c>
      <c r="G13" s="279" t="s">
        <v>128</v>
      </c>
      <c r="H13" s="170">
        <v>54</v>
      </c>
      <c r="K13" s="97"/>
      <c r="L13" s="543"/>
      <c r="M13" s="16"/>
      <c r="N13" s="484"/>
      <c r="O13" s="381"/>
      <c r="P13" s="89">
        <f t="shared" si="2"/>
        <v>0</v>
      </c>
      <c r="Q13" s="90"/>
      <c r="R13" s="91"/>
    </row>
    <row r="14" spans="1:18" x14ac:dyDescent="0.25">
      <c r="A14" s="97"/>
      <c r="B14" s="542"/>
      <c r="C14" s="16">
        <v>42</v>
      </c>
      <c r="D14" s="404">
        <v>690.33</v>
      </c>
      <c r="E14" s="617">
        <v>43731</v>
      </c>
      <c r="F14" s="404">
        <f t="shared" si="1"/>
        <v>690.33</v>
      </c>
      <c r="G14" s="279" t="s">
        <v>133</v>
      </c>
      <c r="H14" s="170">
        <v>54</v>
      </c>
      <c r="K14" s="97"/>
      <c r="L14" s="542"/>
      <c r="M14" s="16"/>
      <c r="N14" s="89"/>
      <c r="O14" s="381"/>
      <c r="P14" s="89">
        <f t="shared" si="2"/>
        <v>0</v>
      </c>
      <c r="Q14" s="90"/>
      <c r="R14" s="91"/>
    </row>
    <row r="15" spans="1:18" x14ac:dyDescent="0.25">
      <c r="B15" s="542"/>
      <c r="C15" s="16">
        <v>10</v>
      </c>
      <c r="D15" s="404">
        <v>159.66</v>
      </c>
      <c r="E15" s="617">
        <v>43735</v>
      </c>
      <c r="F15" s="404">
        <f t="shared" si="1"/>
        <v>159.66</v>
      </c>
      <c r="G15" s="279" t="s">
        <v>136</v>
      </c>
      <c r="H15" s="170">
        <v>54</v>
      </c>
      <c r="L15" s="542"/>
      <c r="M15" s="16"/>
      <c r="N15" s="89"/>
      <c r="O15" s="381"/>
      <c r="P15" s="89">
        <f t="shared" si="2"/>
        <v>0</v>
      </c>
      <c r="Q15" s="90"/>
      <c r="R15" s="91"/>
    </row>
    <row r="16" spans="1:18" x14ac:dyDescent="0.25">
      <c r="B16" s="542"/>
      <c r="C16" s="16">
        <v>6</v>
      </c>
      <c r="D16" s="404">
        <v>109.08</v>
      </c>
      <c r="E16" s="617">
        <v>43738</v>
      </c>
      <c r="F16" s="404">
        <f t="shared" si="1"/>
        <v>109.08</v>
      </c>
      <c r="G16" s="279" t="s">
        <v>141</v>
      </c>
      <c r="H16" s="170">
        <v>54</v>
      </c>
      <c r="L16" s="542"/>
      <c r="M16" s="16"/>
      <c r="N16" s="89"/>
      <c r="O16" s="381"/>
      <c r="P16" s="89">
        <f t="shared" si="2"/>
        <v>0</v>
      </c>
      <c r="Q16" s="90"/>
      <c r="R16" s="91"/>
    </row>
    <row r="17" spans="1:18" x14ac:dyDescent="0.25">
      <c r="A17" s="180"/>
      <c r="B17" s="542"/>
      <c r="C17" s="16">
        <v>4</v>
      </c>
      <c r="D17" s="404">
        <v>78.7</v>
      </c>
      <c r="E17" s="617">
        <v>43738</v>
      </c>
      <c r="F17" s="404">
        <f t="shared" si="1"/>
        <v>78.7</v>
      </c>
      <c r="G17" s="279" t="s">
        <v>143</v>
      </c>
      <c r="H17" s="170">
        <v>54</v>
      </c>
      <c r="K17" s="180"/>
      <c r="L17" s="542"/>
      <c r="M17" s="16"/>
      <c r="N17" s="89"/>
      <c r="O17" s="381"/>
      <c r="P17" s="89">
        <f t="shared" si="2"/>
        <v>0</v>
      </c>
      <c r="Q17" s="90"/>
      <c r="R17" s="91"/>
    </row>
    <row r="18" spans="1:18" x14ac:dyDescent="0.25">
      <c r="A18" s="180"/>
      <c r="B18" s="542"/>
      <c r="C18" s="16">
        <v>15</v>
      </c>
      <c r="D18" s="404">
        <v>288.74</v>
      </c>
      <c r="E18" s="617">
        <v>43743</v>
      </c>
      <c r="F18" s="404">
        <f t="shared" si="1"/>
        <v>288.74</v>
      </c>
      <c r="G18" s="279" t="s">
        <v>156</v>
      </c>
      <c r="H18" s="170">
        <v>54</v>
      </c>
      <c r="K18" s="180"/>
      <c r="L18" s="542"/>
      <c r="M18" s="16"/>
      <c r="N18" s="89"/>
      <c r="O18" s="381"/>
      <c r="P18" s="89">
        <f t="shared" si="2"/>
        <v>0</v>
      </c>
      <c r="Q18" s="90"/>
      <c r="R18" s="91"/>
    </row>
    <row r="19" spans="1:18" x14ac:dyDescent="0.25">
      <c r="A19" s="180"/>
      <c r="B19" s="542"/>
      <c r="C19" s="16">
        <v>42</v>
      </c>
      <c r="D19" s="404">
        <v>829.8</v>
      </c>
      <c r="E19" s="617">
        <v>43752</v>
      </c>
      <c r="F19" s="404">
        <f t="shared" si="1"/>
        <v>829.8</v>
      </c>
      <c r="G19" s="279" t="s">
        <v>210</v>
      </c>
      <c r="H19" s="170">
        <v>54</v>
      </c>
      <c r="K19" s="180"/>
      <c r="L19" s="542"/>
      <c r="M19" s="16"/>
      <c r="N19" s="89"/>
      <c r="O19" s="381"/>
      <c r="P19" s="89">
        <f t="shared" si="2"/>
        <v>0</v>
      </c>
      <c r="Q19" s="90"/>
      <c r="R19" s="91"/>
    </row>
    <row r="20" spans="1:18" x14ac:dyDescent="0.25">
      <c r="A20" s="180"/>
      <c r="B20" s="542"/>
      <c r="C20" s="16"/>
      <c r="D20" s="404"/>
      <c r="E20" s="617"/>
      <c r="F20" s="404">
        <f t="shared" si="1"/>
        <v>0</v>
      </c>
      <c r="G20" s="704"/>
      <c r="H20" s="705"/>
      <c r="K20" s="180"/>
      <c r="L20" s="542"/>
      <c r="M20" s="16"/>
      <c r="N20" s="89"/>
      <c r="O20" s="381"/>
      <c r="P20" s="89">
        <f t="shared" si="2"/>
        <v>0</v>
      </c>
      <c r="Q20" s="90"/>
      <c r="R20" s="91"/>
    </row>
    <row r="21" spans="1:18" x14ac:dyDescent="0.25">
      <c r="A21" s="180"/>
      <c r="B21" s="542"/>
      <c r="C21" s="16">
        <v>6</v>
      </c>
      <c r="D21" s="404"/>
      <c r="E21" s="617"/>
      <c r="F21" s="404">
        <v>111.67</v>
      </c>
      <c r="G21" s="704"/>
      <c r="H21" s="705"/>
      <c r="K21" s="180"/>
      <c r="L21" s="542"/>
      <c r="M21" s="16"/>
      <c r="N21" s="89"/>
      <c r="O21" s="381"/>
      <c r="P21" s="89">
        <f t="shared" si="2"/>
        <v>0</v>
      </c>
      <c r="Q21" s="90"/>
      <c r="R21" s="91"/>
    </row>
    <row r="22" spans="1:18" x14ac:dyDescent="0.25">
      <c r="A22" s="181"/>
      <c r="B22" s="542"/>
      <c r="C22" s="16"/>
      <c r="D22" s="404"/>
      <c r="E22" s="617"/>
      <c r="F22" s="404">
        <f t="shared" si="1"/>
        <v>0</v>
      </c>
      <c r="G22" s="704"/>
      <c r="H22" s="705"/>
      <c r="K22" s="181"/>
      <c r="L22" s="542"/>
      <c r="M22" s="16"/>
      <c r="N22" s="89"/>
      <c r="O22" s="381"/>
      <c r="P22" s="89">
        <f t="shared" si="2"/>
        <v>0</v>
      </c>
      <c r="Q22" s="90"/>
      <c r="R22" s="91"/>
    </row>
    <row r="23" spans="1:18" x14ac:dyDescent="0.25">
      <c r="A23" s="180"/>
      <c r="B23" s="542"/>
      <c r="C23" s="16"/>
      <c r="D23" s="404"/>
      <c r="E23" s="617"/>
      <c r="F23" s="404">
        <f t="shared" si="1"/>
        <v>0</v>
      </c>
      <c r="G23" s="704"/>
      <c r="H23" s="705"/>
      <c r="K23" s="180"/>
      <c r="L23" s="542"/>
      <c r="M23" s="16"/>
      <c r="N23" s="89"/>
      <c r="O23" s="381"/>
      <c r="P23" s="89">
        <f t="shared" si="2"/>
        <v>0</v>
      </c>
      <c r="Q23" s="90"/>
      <c r="R23" s="91"/>
    </row>
    <row r="24" spans="1:18" x14ac:dyDescent="0.25">
      <c r="A24" s="180"/>
      <c r="B24" s="542"/>
      <c r="C24" s="16"/>
      <c r="D24" s="89"/>
      <c r="E24" s="381"/>
      <c r="F24" s="89">
        <f t="shared" si="1"/>
        <v>0</v>
      </c>
      <c r="G24" s="90"/>
      <c r="H24" s="91"/>
      <c r="K24" s="180"/>
      <c r="L24" s="542"/>
      <c r="M24" s="16"/>
      <c r="N24" s="89"/>
      <c r="O24" s="381"/>
      <c r="P24" s="89">
        <f t="shared" si="2"/>
        <v>0</v>
      </c>
      <c r="Q24" s="90"/>
      <c r="R24" s="91"/>
    </row>
    <row r="25" spans="1:18" x14ac:dyDescent="0.25">
      <c r="A25" s="180"/>
      <c r="B25" s="542"/>
      <c r="C25" s="16"/>
      <c r="D25" s="89"/>
      <c r="E25" s="381"/>
      <c r="F25" s="89">
        <f t="shared" si="1"/>
        <v>0</v>
      </c>
      <c r="G25" s="90"/>
      <c r="H25" s="91"/>
      <c r="K25" s="180"/>
      <c r="L25" s="542"/>
      <c r="M25" s="16"/>
      <c r="N25" s="89"/>
      <c r="O25" s="381"/>
      <c r="P25" s="89">
        <f t="shared" si="2"/>
        <v>0</v>
      </c>
      <c r="Q25" s="90"/>
      <c r="R25" s="91"/>
    </row>
    <row r="26" spans="1:18" x14ac:dyDescent="0.25">
      <c r="A26" s="180"/>
      <c r="B26" s="542"/>
      <c r="C26" s="16"/>
      <c r="D26" s="89"/>
      <c r="E26" s="381"/>
      <c r="F26" s="89">
        <f t="shared" si="1"/>
        <v>0</v>
      </c>
      <c r="G26" s="90"/>
      <c r="H26" s="91"/>
      <c r="K26" s="180"/>
      <c r="L26" s="542"/>
      <c r="M26" s="16"/>
      <c r="N26" s="89"/>
      <c r="O26" s="381"/>
      <c r="P26" s="89">
        <f t="shared" si="2"/>
        <v>0</v>
      </c>
      <c r="Q26" s="90"/>
      <c r="R26" s="91"/>
    </row>
    <row r="27" spans="1:18" x14ac:dyDescent="0.25">
      <c r="A27" s="180"/>
      <c r="B27" s="542"/>
      <c r="C27" s="16"/>
      <c r="D27" s="89"/>
      <c r="E27" s="381"/>
      <c r="F27" s="89">
        <f t="shared" si="1"/>
        <v>0</v>
      </c>
      <c r="G27" s="90"/>
      <c r="H27" s="91"/>
      <c r="K27" s="180"/>
      <c r="L27" s="542"/>
      <c r="M27" s="16"/>
      <c r="N27" s="89"/>
      <c r="O27" s="381"/>
      <c r="P27" s="89">
        <f t="shared" si="2"/>
        <v>0</v>
      </c>
      <c r="Q27" s="90"/>
      <c r="R27" s="91"/>
    </row>
    <row r="28" spans="1:18" x14ac:dyDescent="0.25">
      <c r="A28" s="180"/>
      <c r="B28" s="542"/>
      <c r="C28" s="16"/>
      <c r="D28" s="89"/>
      <c r="E28" s="381"/>
      <c r="F28" s="89">
        <f t="shared" si="1"/>
        <v>0</v>
      </c>
      <c r="G28" s="90"/>
      <c r="H28" s="91"/>
      <c r="K28" s="180"/>
      <c r="L28" s="542"/>
      <c r="M28" s="16"/>
      <c r="N28" s="89"/>
      <c r="O28" s="381"/>
      <c r="P28" s="89">
        <f t="shared" si="2"/>
        <v>0</v>
      </c>
      <c r="Q28" s="90"/>
      <c r="R28" s="91"/>
    </row>
    <row r="29" spans="1:18" x14ac:dyDescent="0.25">
      <c r="A29" s="180"/>
      <c r="B29" s="542"/>
      <c r="C29" s="16"/>
      <c r="D29" s="89"/>
      <c r="E29" s="381"/>
      <c r="F29" s="89">
        <f t="shared" si="1"/>
        <v>0</v>
      </c>
      <c r="G29" s="90"/>
      <c r="H29" s="91"/>
      <c r="K29" s="180"/>
      <c r="L29" s="542"/>
      <c r="M29" s="16"/>
      <c r="N29" s="89"/>
      <c r="O29" s="381"/>
      <c r="P29" s="89">
        <f t="shared" si="2"/>
        <v>0</v>
      </c>
      <c r="Q29" s="90"/>
      <c r="R29" s="91"/>
    </row>
    <row r="30" spans="1:18" x14ac:dyDescent="0.25">
      <c r="A30" s="180"/>
      <c r="B30" s="542"/>
      <c r="C30" s="16"/>
      <c r="D30" s="89"/>
      <c r="E30" s="381"/>
      <c r="F30" s="89">
        <f t="shared" si="1"/>
        <v>0</v>
      </c>
      <c r="G30" s="90"/>
      <c r="H30" s="91"/>
      <c r="K30" s="180"/>
      <c r="L30" s="542"/>
      <c r="M30" s="16"/>
      <c r="N30" s="89"/>
      <c r="O30" s="381"/>
      <c r="P30" s="89">
        <f t="shared" si="2"/>
        <v>0</v>
      </c>
      <c r="Q30" s="90"/>
      <c r="R30" s="91"/>
    </row>
    <row r="31" spans="1:18" x14ac:dyDescent="0.25">
      <c r="A31" s="180"/>
      <c r="B31" s="542"/>
      <c r="C31" s="16"/>
      <c r="D31" s="89"/>
      <c r="E31" s="381"/>
      <c r="F31" s="89">
        <f t="shared" si="1"/>
        <v>0</v>
      </c>
      <c r="G31" s="90"/>
      <c r="H31" s="91"/>
      <c r="K31" s="180"/>
      <c r="L31" s="542"/>
      <c r="M31" s="16"/>
      <c r="N31" s="89"/>
      <c r="O31" s="381"/>
      <c r="P31" s="89">
        <f t="shared" si="2"/>
        <v>0</v>
      </c>
      <c r="Q31" s="90"/>
      <c r="R31" s="91"/>
    </row>
    <row r="32" spans="1:18" x14ac:dyDescent="0.25">
      <c r="A32" s="180"/>
      <c r="B32" s="125"/>
      <c r="C32" s="16"/>
      <c r="D32" s="89"/>
      <c r="E32" s="381"/>
      <c r="F32" s="89">
        <f t="shared" si="1"/>
        <v>0</v>
      </c>
      <c r="G32" s="485"/>
      <c r="H32" s="486"/>
      <c r="K32" s="180"/>
      <c r="L32" s="125"/>
      <c r="M32" s="16"/>
      <c r="N32" s="89"/>
      <c r="O32" s="381"/>
      <c r="P32" s="89">
        <f t="shared" si="2"/>
        <v>0</v>
      </c>
      <c r="Q32" s="485"/>
      <c r="R32" s="486"/>
    </row>
    <row r="33" spans="1:18" ht="15.75" thickBot="1" x14ac:dyDescent="0.3">
      <c r="A33" s="180"/>
      <c r="B33" s="17"/>
      <c r="C33" s="61"/>
      <c r="D33" s="156"/>
      <c r="E33" s="368"/>
      <c r="F33" s="149"/>
      <c r="G33" s="150"/>
      <c r="H33" s="78"/>
      <c r="K33" s="180"/>
      <c r="L33" s="17"/>
      <c r="M33" s="61"/>
      <c r="N33" s="156"/>
      <c r="O33" s="368"/>
      <c r="P33" s="149"/>
      <c r="Q33" s="150"/>
      <c r="R33" s="78"/>
    </row>
    <row r="34" spans="1:18" x14ac:dyDescent="0.25">
      <c r="C34" s="7">
        <f>SUM(C9:C33)</f>
        <v>210</v>
      </c>
      <c r="D34" s="7">
        <f>SUM(D9:D33)</f>
        <v>3513.08</v>
      </c>
      <c r="F34" s="7">
        <f>SUM(F9:F33)</f>
        <v>3624.75</v>
      </c>
      <c r="M34" s="7">
        <f>SUM(M9:M33)</f>
        <v>25</v>
      </c>
      <c r="N34" s="7">
        <f>SUM(N9:N33)</f>
        <v>465.09000000000003</v>
      </c>
      <c r="P34" s="7">
        <f>SUM(P9:P33)</f>
        <v>465.09000000000003</v>
      </c>
    </row>
    <row r="36" spans="1:18" ht="15.75" thickBot="1" x14ac:dyDescent="0.3"/>
    <row r="37" spans="1:18" ht="15.75" thickBot="1" x14ac:dyDescent="0.3">
      <c r="D37" s="49" t="s">
        <v>4</v>
      </c>
      <c r="E37" s="72">
        <f>F5+F6-C34+F7+F4</f>
        <v>0</v>
      </c>
      <c r="N37" s="49" t="s">
        <v>4</v>
      </c>
      <c r="O37" s="72">
        <f>P5+P6-M34+P7+P4</f>
        <v>63</v>
      </c>
    </row>
    <row r="38" spans="1:18" ht="15.75" thickBot="1" x14ac:dyDescent="0.3"/>
    <row r="39" spans="1:18" ht="15.75" thickBot="1" x14ac:dyDescent="0.3">
      <c r="C39" s="766" t="s">
        <v>11</v>
      </c>
      <c r="D39" s="767"/>
      <c r="E39" s="74">
        <f>E4+E5+E6+E7-F34</f>
        <v>0</v>
      </c>
      <c r="F39" s="97"/>
      <c r="M39" s="766" t="s">
        <v>11</v>
      </c>
      <c r="N39" s="767"/>
      <c r="O39" s="74">
        <f>O4+O5+O6+O7-P34</f>
        <v>1199.94</v>
      </c>
      <c r="P39" s="97"/>
    </row>
  </sheetData>
  <mergeCells count="8">
    <mergeCell ref="A1:G1"/>
    <mergeCell ref="A5:A6"/>
    <mergeCell ref="B5:B6"/>
    <mergeCell ref="C39:D39"/>
    <mergeCell ref="K1:Q1"/>
    <mergeCell ref="K5:K6"/>
    <mergeCell ref="L5:L6"/>
    <mergeCell ref="M39:N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J54"/>
  <sheetViews>
    <sheetView workbookViewId="0">
      <selection activeCell="A21" sqref="A2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60"/>
      <c r="B1" s="760"/>
      <c r="C1" s="760"/>
      <c r="D1" s="760"/>
      <c r="E1" s="760"/>
      <c r="F1" s="760"/>
      <c r="G1" s="760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/>
      <c r="E4" s="128"/>
      <c r="F4" s="97"/>
      <c r="G4" s="41"/>
    </row>
    <row r="5" spans="1:9" ht="15" customHeight="1" x14ac:dyDescent="0.25">
      <c r="A5" s="397"/>
      <c r="B5" s="397"/>
      <c r="C5" s="247"/>
      <c r="D5" s="234"/>
      <c r="E5" s="194"/>
      <c r="F5" s="97"/>
      <c r="G5" s="508">
        <f>F50</f>
        <v>0</v>
      </c>
      <c r="H5" s="8">
        <f>E5-G5+E4+E6</f>
        <v>0</v>
      </c>
    </row>
    <row r="6" spans="1:9" ht="15.75" customHeight="1" thickBot="1" x14ac:dyDescent="0.3">
      <c r="A6" s="441"/>
      <c r="B6" s="97"/>
      <c r="C6" s="247"/>
      <c r="D6" s="234"/>
      <c r="E6" s="194"/>
      <c r="F6" s="97"/>
    </row>
    <row r="7" spans="1:9" ht="16.5" customHeight="1" thickTop="1" thickBot="1" x14ac:dyDescent="0.3">
      <c r="A7" s="441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630"/>
      <c r="B8" s="544">
        <v>13.6</v>
      </c>
      <c r="C8" s="16"/>
      <c r="D8" s="89">
        <f>C8*B8</f>
        <v>0</v>
      </c>
      <c r="E8" s="119"/>
      <c r="F8" s="154">
        <f t="shared" ref="F8:F49" si="0">D8</f>
        <v>0</v>
      </c>
      <c r="G8" s="90"/>
      <c r="H8" s="91"/>
      <c r="I8" s="410">
        <f>E5-F8+E4</f>
        <v>0</v>
      </c>
    </row>
    <row r="9" spans="1:9" ht="15" customHeight="1" x14ac:dyDescent="0.25">
      <c r="B9" s="544">
        <v>13.6</v>
      </c>
      <c r="C9" s="16"/>
      <c r="D9" s="89">
        <f>C9*B9</f>
        <v>0</v>
      </c>
      <c r="E9" s="119"/>
      <c r="F9" s="154">
        <f t="shared" si="0"/>
        <v>0</v>
      </c>
      <c r="G9" s="90"/>
      <c r="H9" s="91"/>
      <c r="I9" s="410">
        <f>I8-F9</f>
        <v>0</v>
      </c>
    </row>
    <row r="10" spans="1:9" ht="15" customHeight="1" x14ac:dyDescent="0.25">
      <c r="B10" s="544">
        <v>13.6</v>
      </c>
      <c r="C10" s="16"/>
      <c r="D10" s="89">
        <f t="shared" ref="D10:D49" si="1">C10*B10</f>
        <v>0</v>
      </c>
      <c r="E10" s="119"/>
      <c r="F10" s="154">
        <f t="shared" si="0"/>
        <v>0</v>
      </c>
      <c r="G10" s="485"/>
      <c r="H10" s="486"/>
      <c r="I10" s="497">
        <f>I9-F10</f>
        <v>0</v>
      </c>
    </row>
    <row r="11" spans="1:9" ht="15" customHeight="1" x14ac:dyDescent="0.25">
      <c r="A11" s="71" t="s">
        <v>33</v>
      </c>
      <c r="B11" s="544">
        <v>13.6</v>
      </c>
      <c r="C11" s="16"/>
      <c r="D11" s="89">
        <f t="shared" si="1"/>
        <v>0</v>
      </c>
      <c r="E11" s="119"/>
      <c r="F11" s="154">
        <f t="shared" si="0"/>
        <v>0</v>
      </c>
      <c r="G11" s="485"/>
      <c r="H11" s="486"/>
      <c r="I11" s="497">
        <f t="shared" ref="I11:I48" si="2">I10-F11</f>
        <v>0</v>
      </c>
    </row>
    <row r="12" spans="1:9" ht="15" customHeight="1" x14ac:dyDescent="0.25">
      <c r="A12" s="20"/>
      <c r="B12" s="544">
        <v>13.6</v>
      </c>
      <c r="C12" s="62"/>
      <c r="D12" s="89">
        <f t="shared" si="1"/>
        <v>0</v>
      </c>
      <c r="E12" s="119"/>
      <c r="F12" s="154">
        <f t="shared" si="0"/>
        <v>0</v>
      </c>
      <c r="G12" s="485"/>
      <c r="H12" s="486"/>
      <c r="I12" s="497">
        <f t="shared" si="2"/>
        <v>0</v>
      </c>
    </row>
    <row r="13" spans="1:9" ht="15" customHeight="1" x14ac:dyDescent="0.25">
      <c r="B13" s="544">
        <v>13.6</v>
      </c>
      <c r="C13" s="62"/>
      <c r="D13" s="89">
        <f t="shared" ref="D13:D16" si="3">C13*B13</f>
        <v>0</v>
      </c>
      <c r="E13" s="119"/>
      <c r="F13" s="154">
        <f t="shared" ref="F13:F16" si="4">D13</f>
        <v>0</v>
      </c>
      <c r="G13" s="485"/>
      <c r="H13" s="486"/>
      <c r="I13" s="497">
        <f t="shared" si="2"/>
        <v>0</v>
      </c>
    </row>
    <row r="14" spans="1:9" ht="15" customHeight="1" x14ac:dyDescent="0.25">
      <c r="B14" s="544">
        <v>13.6</v>
      </c>
      <c r="C14" s="16"/>
      <c r="D14" s="89">
        <f t="shared" si="3"/>
        <v>0</v>
      </c>
      <c r="E14" s="119"/>
      <c r="F14" s="154">
        <f t="shared" si="4"/>
        <v>0</v>
      </c>
      <c r="G14" s="485"/>
      <c r="H14" s="486"/>
      <c r="I14" s="497">
        <f t="shared" si="2"/>
        <v>0</v>
      </c>
    </row>
    <row r="15" spans="1:9" ht="15" customHeight="1" x14ac:dyDescent="0.25">
      <c r="B15" s="544">
        <v>13.6</v>
      </c>
      <c r="C15" s="16"/>
      <c r="D15" s="89">
        <f t="shared" si="3"/>
        <v>0</v>
      </c>
      <c r="E15" s="119"/>
      <c r="F15" s="154">
        <f t="shared" si="4"/>
        <v>0</v>
      </c>
      <c r="G15" s="485"/>
      <c r="H15" s="486"/>
      <c r="I15" s="497">
        <f t="shared" si="2"/>
        <v>0</v>
      </c>
    </row>
    <row r="16" spans="1:9" ht="15" customHeight="1" x14ac:dyDescent="0.25">
      <c r="B16" s="544">
        <v>13.6</v>
      </c>
      <c r="C16" s="16"/>
      <c r="D16" s="89">
        <f t="shared" si="3"/>
        <v>0</v>
      </c>
      <c r="E16" s="119"/>
      <c r="F16" s="154">
        <f t="shared" si="4"/>
        <v>0</v>
      </c>
      <c r="G16" s="485"/>
      <c r="H16" s="486"/>
      <c r="I16" s="497">
        <f t="shared" si="2"/>
        <v>0</v>
      </c>
    </row>
    <row r="17" spans="1:9" ht="15" customHeight="1" x14ac:dyDescent="0.25">
      <c r="B17" s="544">
        <v>13.6</v>
      </c>
      <c r="C17" s="16"/>
      <c r="D17" s="89">
        <f t="shared" si="1"/>
        <v>0</v>
      </c>
      <c r="E17" s="119"/>
      <c r="F17" s="154">
        <f t="shared" si="0"/>
        <v>0</v>
      </c>
      <c r="G17" s="485"/>
      <c r="H17" s="486"/>
      <c r="I17" s="497">
        <f t="shared" si="2"/>
        <v>0</v>
      </c>
    </row>
    <row r="18" spans="1:9" ht="15" customHeight="1" x14ac:dyDescent="0.25">
      <c r="B18" s="544">
        <v>13.6</v>
      </c>
      <c r="C18" s="16"/>
      <c r="D18" s="89">
        <f t="shared" si="1"/>
        <v>0</v>
      </c>
      <c r="E18" s="119"/>
      <c r="F18" s="154">
        <f t="shared" si="0"/>
        <v>0</v>
      </c>
      <c r="G18" s="485"/>
      <c r="H18" s="486"/>
      <c r="I18" s="497">
        <f t="shared" si="2"/>
        <v>0</v>
      </c>
    </row>
    <row r="19" spans="1:9" ht="15" customHeight="1" x14ac:dyDescent="0.25">
      <c r="B19" s="544">
        <v>13.6</v>
      </c>
      <c r="C19" s="16"/>
      <c r="D19" s="89">
        <f t="shared" si="1"/>
        <v>0</v>
      </c>
      <c r="E19" s="119"/>
      <c r="F19" s="154">
        <f t="shared" si="0"/>
        <v>0</v>
      </c>
      <c r="G19" s="485"/>
      <c r="H19" s="486"/>
      <c r="I19" s="497">
        <f t="shared" si="2"/>
        <v>0</v>
      </c>
    </row>
    <row r="20" spans="1:9" ht="15" customHeight="1" x14ac:dyDescent="0.25">
      <c r="B20" s="544">
        <v>13.6</v>
      </c>
      <c r="C20" s="16"/>
      <c r="D20" s="89">
        <f t="shared" si="1"/>
        <v>0</v>
      </c>
      <c r="E20" s="119"/>
      <c r="F20" s="154">
        <f t="shared" si="0"/>
        <v>0</v>
      </c>
      <c r="G20" s="485"/>
      <c r="H20" s="486"/>
      <c r="I20" s="497">
        <f t="shared" si="2"/>
        <v>0</v>
      </c>
    </row>
    <row r="21" spans="1:9" ht="15" customHeight="1" x14ac:dyDescent="0.25">
      <c r="B21" s="544">
        <v>13.6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10">
        <f t="shared" si="2"/>
        <v>0</v>
      </c>
    </row>
    <row r="22" spans="1:9" ht="15" customHeight="1" x14ac:dyDescent="0.25">
      <c r="B22" s="544">
        <v>13.6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10">
        <f t="shared" si="2"/>
        <v>0</v>
      </c>
    </row>
    <row r="23" spans="1:9" ht="15" customHeight="1" x14ac:dyDescent="0.25">
      <c r="B23" s="544">
        <v>13.6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10">
        <f t="shared" si="2"/>
        <v>0</v>
      </c>
    </row>
    <row r="24" spans="1:9" ht="15" customHeight="1" x14ac:dyDescent="0.25">
      <c r="B24" s="544">
        <v>13.6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10">
        <f t="shared" si="2"/>
        <v>0</v>
      </c>
    </row>
    <row r="25" spans="1:9" ht="15" customHeight="1" x14ac:dyDescent="0.25">
      <c r="B25" s="544">
        <v>13.6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10">
        <f t="shared" si="2"/>
        <v>0</v>
      </c>
    </row>
    <row r="26" spans="1:9" ht="15" customHeight="1" x14ac:dyDescent="0.25">
      <c r="B26" s="544">
        <v>13.6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10">
        <f t="shared" si="2"/>
        <v>0</v>
      </c>
    </row>
    <row r="27" spans="1:9" ht="15" customHeight="1" x14ac:dyDescent="0.25">
      <c r="B27" s="544">
        <v>13.6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10">
        <f t="shared" si="2"/>
        <v>0</v>
      </c>
    </row>
    <row r="28" spans="1:9" ht="15" customHeight="1" x14ac:dyDescent="0.25">
      <c r="A28" s="51"/>
      <c r="B28" s="544">
        <v>13.6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10">
        <f t="shared" si="2"/>
        <v>0</v>
      </c>
    </row>
    <row r="29" spans="1:9" ht="15" customHeight="1" x14ac:dyDescent="0.25">
      <c r="A29" s="51"/>
      <c r="B29" s="544">
        <v>13.6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10">
        <f t="shared" si="2"/>
        <v>0</v>
      </c>
    </row>
    <row r="30" spans="1:9" ht="15" customHeight="1" x14ac:dyDescent="0.25">
      <c r="A30" s="51"/>
      <c r="B30" s="544">
        <v>13.6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10">
        <f t="shared" si="2"/>
        <v>0</v>
      </c>
    </row>
    <row r="31" spans="1:9" ht="15" customHeight="1" x14ac:dyDescent="0.25">
      <c r="A31" s="51"/>
      <c r="B31" s="544">
        <v>13.6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10">
        <f t="shared" si="2"/>
        <v>0</v>
      </c>
    </row>
    <row r="32" spans="1:9" ht="15" customHeight="1" x14ac:dyDescent="0.25">
      <c r="A32" s="51"/>
      <c r="B32" s="544">
        <v>13.6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10">
        <f t="shared" si="2"/>
        <v>0</v>
      </c>
    </row>
    <row r="33" spans="1:10" ht="15" customHeight="1" x14ac:dyDescent="0.25">
      <c r="A33" s="51"/>
      <c r="B33" s="544">
        <v>13.6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10">
        <f t="shared" si="2"/>
        <v>0</v>
      </c>
    </row>
    <row r="34" spans="1:10" ht="15" customHeight="1" x14ac:dyDescent="0.25">
      <c r="A34" s="51"/>
      <c r="B34" s="544">
        <v>13.6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10">
        <f t="shared" si="2"/>
        <v>0</v>
      </c>
    </row>
    <row r="35" spans="1:10" ht="15.75" x14ac:dyDescent="0.25">
      <c r="A35" s="51"/>
      <c r="B35" s="544">
        <v>13.6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10">
        <f t="shared" si="2"/>
        <v>0</v>
      </c>
    </row>
    <row r="36" spans="1:10" ht="15.75" x14ac:dyDescent="0.25">
      <c r="A36" s="51"/>
      <c r="B36" s="544">
        <v>13.6</v>
      </c>
      <c r="C36" s="16"/>
      <c r="D36" s="89">
        <f t="shared" ref="D36:D47" si="5">C36*B36</f>
        <v>0</v>
      </c>
      <c r="E36" s="119"/>
      <c r="F36" s="154">
        <f t="shared" ref="F36:F47" si="6">D36</f>
        <v>0</v>
      </c>
      <c r="G36" s="90"/>
      <c r="H36" s="91"/>
      <c r="I36" s="410">
        <f t="shared" ref="I36:I47" si="7">I35-F36</f>
        <v>0</v>
      </c>
    </row>
    <row r="37" spans="1:10" ht="15.75" x14ac:dyDescent="0.25">
      <c r="A37" s="51"/>
      <c r="B37" s="544">
        <v>13.6</v>
      </c>
      <c r="C37" s="16"/>
      <c r="D37" s="89">
        <f t="shared" si="5"/>
        <v>0</v>
      </c>
      <c r="E37" s="119"/>
      <c r="F37" s="154">
        <f t="shared" si="6"/>
        <v>0</v>
      </c>
      <c r="G37" s="90"/>
      <c r="H37" s="91"/>
      <c r="I37" s="410">
        <f t="shared" si="7"/>
        <v>0</v>
      </c>
    </row>
    <row r="38" spans="1:10" ht="15.75" x14ac:dyDescent="0.25">
      <c r="A38" s="51"/>
      <c r="B38" s="544">
        <v>13.6</v>
      </c>
      <c r="C38" s="16"/>
      <c r="D38" s="89">
        <f t="shared" si="5"/>
        <v>0</v>
      </c>
      <c r="E38" s="119"/>
      <c r="F38" s="154">
        <f t="shared" si="6"/>
        <v>0</v>
      </c>
      <c r="G38" s="90"/>
      <c r="H38" s="91"/>
      <c r="I38" s="410">
        <f t="shared" si="7"/>
        <v>0</v>
      </c>
    </row>
    <row r="39" spans="1:10" ht="15.75" x14ac:dyDescent="0.25">
      <c r="A39" s="51"/>
      <c r="B39" s="544">
        <v>13.6</v>
      </c>
      <c r="C39" s="16"/>
      <c r="D39" s="89">
        <f t="shared" si="5"/>
        <v>0</v>
      </c>
      <c r="E39" s="119"/>
      <c r="F39" s="154">
        <f t="shared" si="6"/>
        <v>0</v>
      </c>
      <c r="G39" s="90"/>
      <c r="H39" s="91"/>
      <c r="I39" s="410">
        <f t="shared" si="7"/>
        <v>0</v>
      </c>
    </row>
    <row r="40" spans="1:10" ht="15.75" x14ac:dyDescent="0.25">
      <c r="A40" s="51"/>
      <c r="B40" s="544">
        <v>13.6</v>
      </c>
      <c r="C40" s="16"/>
      <c r="D40" s="89">
        <f t="shared" si="5"/>
        <v>0</v>
      </c>
      <c r="E40" s="119"/>
      <c r="F40" s="154">
        <f t="shared" si="6"/>
        <v>0</v>
      </c>
      <c r="G40" s="90"/>
      <c r="H40" s="91"/>
      <c r="I40" s="410">
        <f t="shared" si="7"/>
        <v>0</v>
      </c>
    </row>
    <row r="41" spans="1:10" ht="15.75" x14ac:dyDescent="0.25">
      <c r="A41" s="51"/>
      <c r="B41" s="544">
        <v>13.6</v>
      </c>
      <c r="C41" s="16"/>
      <c r="D41" s="89">
        <f t="shared" si="5"/>
        <v>0</v>
      </c>
      <c r="E41" s="119"/>
      <c r="F41" s="154">
        <f t="shared" si="6"/>
        <v>0</v>
      </c>
      <c r="G41" s="90"/>
      <c r="H41" s="91"/>
      <c r="I41" s="410">
        <f t="shared" si="7"/>
        <v>0</v>
      </c>
    </row>
    <row r="42" spans="1:10" ht="15.75" x14ac:dyDescent="0.25">
      <c r="A42" s="51"/>
      <c r="B42" s="544">
        <v>13.6</v>
      </c>
      <c r="C42" s="16"/>
      <c r="D42" s="89">
        <f t="shared" si="5"/>
        <v>0</v>
      </c>
      <c r="E42" s="119"/>
      <c r="F42" s="154">
        <f t="shared" si="6"/>
        <v>0</v>
      </c>
      <c r="G42" s="90"/>
      <c r="H42" s="91"/>
      <c r="I42" s="410">
        <f t="shared" si="7"/>
        <v>0</v>
      </c>
    </row>
    <row r="43" spans="1:10" ht="15.75" x14ac:dyDescent="0.25">
      <c r="A43" s="51"/>
      <c r="B43" s="544">
        <v>13.6</v>
      </c>
      <c r="C43" s="16"/>
      <c r="D43" s="89">
        <f t="shared" si="5"/>
        <v>0</v>
      </c>
      <c r="E43" s="119"/>
      <c r="F43" s="154">
        <f t="shared" si="6"/>
        <v>0</v>
      </c>
      <c r="G43" s="90"/>
      <c r="H43" s="91"/>
      <c r="I43" s="410">
        <f t="shared" si="7"/>
        <v>0</v>
      </c>
    </row>
    <row r="44" spans="1:10" ht="15.75" x14ac:dyDescent="0.25">
      <c r="A44" s="51"/>
      <c r="B44" s="544">
        <v>13.6</v>
      </c>
      <c r="C44" s="16"/>
      <c r="D44" s="89">
        <f t="shared" si="5"/>
        <v>0</v>
      </c>
      <c r="E44" s="119"/>
      <c r="F44" s="154">
        <f t="shared" si="6"/>
        <v>0</v>
      </c>
      <c r="G44" s="485"/>
      <c r="H44" s="486"/>
      <c r="I44" s="497">
        <f t="shared" si="7"/>
        <v>0</v>
      </c>
      <c r="J44" s="438"/>
    </row>
    <row r="45" spans="1:10" ht="15.75" x14ac:dyDescent="0.25">
      <c r="A45" s="51"/>
      <c r="B45" s="544">
        <v>13.6</v>
      </c>
      <c r="C45" s="16"/>
      <c r="D45" s="89">
        <f t="shared" si="5"/>
        <v>0</v>
      </c>
      <c r="E45" s="119"/>
      <c r="F45" s="154">
        <f t="shared" si="6"/>
        <v>0</v>
      </c>
      <c r="G45" s="485"/>
      <c r="H45" s="486"/>
      <c r="I45" s="497">
        <f t="shared" si="7"/>
        <v>0</v>
      </c>
      <c r="J45" s="438"/>
    </row>
    <row r="46" spans="1:10" ht="15.75" x14ac:dyDescent="0.25">
      <c r="A46" s="51"/>
      <c r="B46" s="544">
        <v>13.6</v>
      </c>
      <c r="C46" s="16"/>
      <c r="D46" s="89">
        <f t="shared" si="5"/>
        <v>0</v>
      </c>
      <c r="E46" s="119"/>
      <c r="F46" s="154">
        <f t="shared" si="6"/>
        <v>0</v>
      </c>
      <c r="G46" s="485"/>
      <c r="H46" s="486"/>
      <c r="I46" s="497">
        <f t="shared" si="7"/>
        <v>0</v>
      </c>
      <c r="J46" s="438"/>
    </row>
    <row r="47" spans="1:10" ht="15.75" x14ac:dyDescent="0.25">
      <c r="A47" s="51"/>
      <c r="B47" s="544">
        <v>13.6</v>
      </c>
      <c r="C47" s="16"/>
      <c r="D47" s="89">
        <f t="shared" si="5"/>
        <v>0</v>
      </c>
      <c r="E47" s="119"/>
      <c r="F47" s="154">
        <f t="shared" si="6"/>
        <v>0</v>
      </c>
      <c r="G47" s="485"/>
      <c r="H47" s="486"/>
      <c r="I47" s="497">
        <f t="shared" si="7"/>
        <v>0</v>
      </c>
      <c r="J47" s="438"/>
    </row>
    <row r="48" spans="1:10" ht="15.75" x14ac:dyDescent="0.25">
      <c r="A48" s="51"/>
      <c r="B48" s="544">
        <v>13.6</v>
      </c>
      <c r="C48" s="16"/>
      <c r="D48" s="89">
        <f t="shared" si="1"/>
        <v>0</v>
      </c>
      <c r="E48" s="119"/>
      <c r="F48" s="154">
        <f t="shared" si="0"/>
        <v>0</v>
      </c>
      <c r="G48" s="485"/>
      <c r="H48" s="486"/>
      <c r="I48" s="497">
        <f t="shared" si="2"/>
        <v>0</v>
      </c>
      <c r="J48" s="438"/>
    </row>
    <row r="49" spans="1:9" ht="15.75" thickBot="1" x14ac:dyDescent="0.3">
      <c r="A49" s="178"/>
      <c r="B49" s="138"/>
      <c r="C49" s="40"/>
      <c r="D49" s="235">
        <f t="shared" si="1"/>
        <v>0</v>
      </c>
      <c r="E49" s="385"/>
      <c r="F49" s="386">
        <f t="shared" si="0"/>
        <v>0</v>
      </c>
      <c r="G49" s="209"/>
      <c r="H49" s="370"/>
      <c r="I49" s="619"/>
    </row>
    <row r="50" spans="1:9" ht="15.75" thickTop="1" x14ac:dyDescent="0.25">
      <c r="A50" s="51">
        <f>SUM(A28:A49)</f>
        <v>0</v>
      </c>
      <c r="C50" s="97">
        <f>SUM(C8:C49)</f>
        <v>0</v>
      </c>
      <c r="D50" s="154">
        <f>SUM(D8:D49)</f>
        <v>0</v>
      </c>
      <c r="E50" s="102"/>
      <c r="F50" s="154">
        <f>SUM(F8:F49)</f>
        <v>0</v>
      </c>
    </row>
    <row r="51" spans="1:9" ht="15.75" thickBot="1" x14ac:dyDescent="0.3">
      <c r="A51" s="51"/>
    </row>
    <row r="52" spans="1:9" x14ac:dyDescent="0.25">
      <c r="B52" s="6"/>
      <c r="D52" s="761" t="s">
        <v>21</v>
      </c>
      <c r="E52" s="762"/>
      <c r="F52" s="211">
        <f>E4+E5-F50+E6</f>
        <v>0</v>
      </c>
    </row>
    <row r="53" spans="1:9" ht="15.75" thickBot="1" x14ac:dyDescent="0.3">
      <c r="A53" s="185"/>
      <c r="D53" s="494" t="s">
        <v>4</v>
      </c>
      <c r="E53" s="495"/>
      <c r="F53" s="53">
        <f>F4+F5-C50+F6</f>
        <v>0</v>
      </c>
    </row>
    <row r="54" spans="1:9" x14ac:dyDescent="0.25">
      <c r="B54" s="6"/>
    </row>
  </sheetData>
  <mergeCells count="2">
    <mergeCell ref="A1:G1"/>
    <mergeCell ref="D52:E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B833-7A8E-4617-A6F7-EB33AB4CD644}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68" t="s">
        <v>162</v>
      </c>
      <c r="B1" s="768"/>
      <c r="C1" s="768"/>
      <c r="D1" s="768"/>
      <c r="E1" s="768"/>
      <c r="F1" s="768"/>
      <c r="G1" s="768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/>
      <c r="E4" s="128"/>
      <c r="F4" s="97"/>
      <c r="G4" s="41"/>
    </row>
    <row r="5" spans="1:9" ht="15" customHeight="1" x14ac:dyDescent="0.25">
      <c r="A5" s="397" t="s">
        <v>145</v>
      </c>
      <c r="B5" s="631" t="s">
        <v>146</v>
      </c>
      <c r="C5" s="247">
        <v>48</v>
      </c>
      <c r="D5" s="234">
        <v>43745</v>
      </c>
      <c r="E5" s="194">
        <v>503.57</v>
      </c>
      <c r="F5" s="97">
        <v>37</v>
      </c>
      <c r="G5" s="703">
        <f>F36</f>
        <v>503.57</v>
      </c>
      <c r="H5" s="8">
        <f>E5-G5+E4+E6</f>
        <v>0</v>
      </c>
    </row>
    <row r="6" spans="1:9" ht="15.75" customHeight="1" thickBot="1" x14ac:dyDescent="0.3">
      <c r="A6" s="441"/>
      <c r="B6" s="97"/>
      <c r="C6" s="247"/>
      <c r="D6" s="234"/>
      <c r="E6" s="194"/>
      <c r="F6" s="97"/>
    </row>
    <row r="7" spans="1:9" ht="16.5" customHeight="1" thickTop="1" thickBot="1" x14ac:dyDescent="0.3">
      <c r="A7" s="441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630"/>
      <c r="B8" s="544">
        <v>13.61</v>
      </c>
      <c r="C8" s="16">
        <v>10</v>
      </c>
      <c r="D8" s="89">
        <f>C8*B8</f>
        <v>136.1</v>
      </c>
      <c r="E8" s="119">
        <v>43745</v>
      </c>
      <c r="F8" s="154">
        <f t="shared" ref="F8:F35" si="0">D8</f>
        <v>136.1</v>
      </c>
      <c r="G8" s="90" t="s">
        <v>155</v>
      </c>
      <c r="H8" s="91">
        <v>55</v>
      </c>
      <c r="I8" s="410">
        <f>E5-F8+E4</f>
        <v>367.47</v>
      </c>
    </row>
    <row r="9" spans="1:9" ht="15" customHeight="1" x14ac:dyDescent="0.25">
      <c r="B9" s="544">
        <v>13.61</v>
      </c>
      <c r="C9" s="16">
        <v>1</v>
      </c>
      <c r="D9" s="404">
        <f>C9*B9</f>
        <v>13.61</v>
      </c>
      <c r="E9" s="407">
        <v>43750</v>
      </c>
      <c r="F9" s="532">
        <f t="shared" si="0"/>
        <v>13.61</v>
      </c>
      <c r="G9" s="279" t="s">
        <v>226</v>
      </c>
      <c r="H9" s="170">
        <v>54</v>
      </c>
      <c r="I9" s="410">
        <f>I8-F9</f>
        <v>353.86</v>
      </c>
    </row>
    <row r="10" spans="1:9" ht="15" customHeight="1" x14ac:dyDescent="0.25">
      <c r="B10" s="544">
        <v>13.61</v>
      </c>
      <c r="C10" s="16">
        <v>26</v>
      </c>
      <c r="D10" s="404">
        <f t="shared" ref="D10:D35" si="1">C10*B10</f>
        <v>353.86</v>
      </c>
      <c r="E10" s="407">
        <v>43753</v>
      </c>
      <c r="F10" s="532">
        <f t="shared" si="0"/>
        <v>353.86</v>
      </c>
      <c r="G10" s="533" t="s">
        <v>279</v>
      </c>
      <c r="H10" s="534">
        <v>54</v>
      </c>
      <c r="I10" s="497">
        <f>I9-F10</f>
        <v>0</v>
      </c>
    </row>
    <row r="11" spans="1:9" ht="15" customHeight="1" x14ac:dyDescent="0.25">
      <c r="A11" s="71" t="s">
        <v>33</v>
      </c>
      <c r="B11" s="544">
        <v>13.61</v>
      </c>
      <c r="C11" s="16"/>
      <c r="D11" s="404">
        <f t="shared" si="1"/>
        <v>0</v>
      </c>
      <c r="E11" s="407"/>
      <c r="F11" s="532">
        <f t="shared" si="0"/>
        <v>0</v>
      </c>
      <c r="G11" s="704"/>
      <c r="H11" s="705"/>
      <c r="I11" s="706">
        <f t="shared" ref="I11:I34" si="2">I10-F11</f>
        <v>0</v>
      </c>
    </row>
    <row r="12" spans="1:9" ht="15" customHeight="1" x14ac:dyDescent="0.25">
      <c r="A12" s="20"/>
      <c r="B12" s="544">
        <v>13.61</v>
      </c>
      <c r="C12" s="62"/>
      <c r="D12" s="404">
        <f t="shared" si="1"/>
        <v>0</v>
      </c>
      <c r="E12" s="407"/>
      <c r="F12" s="532">
        <f t="shared" si="0"/>
        <v>0</v>
      </c>
      <c r="G12" s="704"/>
      <c r="H12" s="705"/>
      <c r="I12" s="706">
        <f t="shared" si="2"/>
        <v>0</v>
      </c>
    </row>
    <row r="13" spans="1:9" ht="15" customHeight="1" x14ac:dyDescent="0.25">
      <c r="B13" s="544">
        <v>13.61</v>
      </c>
      <c r="C13" s="62"/>
      <c r="D13" s="404">
        <f t="shared" si="1"/>
        <v>0</v>
      </c>
      <c r="E13" s="407"/>
      <c r="F13" s="532">
        <f t="shared" si="0"/>
        <v>0</v>
      </c>
      <c r="G13" s="704"/>
      <c r="H13" s="705"/>
      <c r="I13" s="706">
        <f t="shared" si="2"/>
        <v>0</v>
      </c>
    </row>
    <row r="14" spans="1:9" ht="15" customHeight="1" x14ac:dyDescent="0.25">
      <c r="B14" s="544">
        <v>13.61</v>
      </c>
      <c r="C14" s="16"/>
      <c r="D14" s="404">
        <f t="shared" si="1"/>
        <v>0</v>
      </c>
      <c r="E14" s="407"/>
      <c r="F14" s="532">
        <f t="shared" si="0"/>
        <v>0</v>
      </c>
      <c r="G14" s="704"/>
      <c r="H14" s="705"/>
      <c r="I14" s="706">
        <f t="shared" si="2"/>
        <v>0</v>
      </c>
    </row>
    <row r="15" spans="1:9" ht="15" customHeight="1" x14ac:dyDescent="0.25">
      <c r="B15" s="544">
        <v>13.61</v>
      </c>
      <c r="C15" s="16"/>
      <c r="D15" s="404">
        <f t="shared" si="1"/>
        <v>0</v>
      </c>
      <c r="E15" s="407"/>
      <c r="F15" s="532">
        <f t="shared" si="0"/>
        <v>0</v>
      </c>
      <c r="G15" s="704"/>
      <c r="H15" s="705"/>
      <c r="I15" s="706">
        <f t="shared" si="2"/>
        <v>0</v>
      </c>
    </row>
    <row r="16" spans="1:9" ht="15" customHeight="1" x14ac:dyDescent="0.25">
      <c r="B16" s="544">
        <v>13.61</v>
      </c>
      <c r="C16" s="16"/>
      <c r="D16" s="404">
        <f t="shared" si="1"/>
        <v>0</v>
      </c>
      <c r="E16" s="407"/>
      <c r="F16" s="532">
        <f t="shared" si="0"/>
        <v>0</v>
      </c>
      <c r="G16" s="533"/>
      <c r="H16" s="534"/>
      <c r="I16" s="497">
        <f t="shared" si="2"/>
        <v>0</v>
      </c>
    </row>
    <row r="17" spans="1:9" ht="15" customHeight="1" x14ac:dyDescent="0.25">
      <c r="B17" s="544">
        <v>13.61</v>
      </c>
      <c r="C17" s="16"/>
      <c r="D17" s="404">
        <f t="shared" si="1"/>
        <v>0</v>
      </c>
      <c r="E17" s="407"/>
      <c r="F17" s="532">
        <f t="shared" si="0"/>
        <v>0</v>
      </c>
      <c r="G17" s="533"/>
      <c r="H17" s="534"/>
      <c r="I17" s="497">
        <f t="shared" si="2"/>
        <v>0</v>
      </c>
    </row>
    <row r="18" spans="1:9" ht="15" customHeight="1" x14ac:dyDescent="0.25">
      <c r="B18" s="544">
        <v>13.61</v>
      </c>
      <c r="C18" s="16"/>
      <c r="D18" s="404">
        <f t="shared" si="1"/>
        <v>0</v>
      </c>
      <c r="E18" s="407"/>
      <c r="F18" s="532">
        <f t="shared" si="0"/>
        <v>0</v>
      </c>
      <c r="G18" s="533"/>
      <c r="H18" s="534"/>
      <c r="I18" s="497">
        <f t="shared" si="2"/>
        <v>0</v>
      </c>
    </row>
    <row r="19" spans="1:9" ht="15" customHeight="1" x14ac:dyDescent="0.25">
      <c r="B19" s="544">
        <v>13.61</v>
      </c>
      <c r="C19" s="16"/>
      <c r="D19" s="404">
        <f t="shared" si="1"/>
        <v>0</v>
      </c>
      <c r="E19" s="407"/>
      <c r="F19" s="532">
        <f t="shared" si="0"/>
        <v>0</v>
      </c>
      <c r="G19" s="533"/>
      <c r="H19" s="534"/>
      <c r="I19" s="497">
        <f t="shared" si="2"/>
        <v>0</v>
      </c>
    </row>
    <row r="20" spans="1:9" ht="15" customHeight="1" x14ac:dyDescent="0.25">
      <c r="B20" s="544">
        <v>13.61</v>
      </c>
      <c r="C20" s="16"/>
      <c r="D20" s="404">
        <f t="shared" si="1"/>
        <v>0</v>
      </c>
      <c r="E20" s="407"/>
      <c r="F20" s="532">
        <f t="shared" si="0"/>
        <v>0</v>
      </c>
      <c r="G20" s="533"/>
      <c r="H20" s="534"/>
      <c r="I20" s="497">
        <f t="shared" si="2"/>
        <v>0</v>
      </c>
    </row>
    <row r="21" spans="1:9" ht="15" customHeight="1" x14ac:dyDescent="0.25">
      <c r="B21" s="544">
        <v>13.61</v>
      </c>
      <c r="C21" s="16"/>
      <c r="D21" s="404">
        <f t="shared" si="1"/>
        <v>0</v>
      </c>
      <c r="E21" s="407"/>
      <c r="F21" s="532">
        <f t="shared" si="0"/>
        <v>0</v>
      </c>
      <c r="G21" s="279"/>
      <c r="H21" s="170"/>
      <c r="I21" s="410">
        <f t="shared" si="2"/>
        <v>0</v>
      </c>
    </row>
    <row r="22" spans="1:9" ht="15" customHeight="1" x14ac:dyDescent="0.25">
      <c r="B22" s="544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10">
        <f t="shared" si="2"/>
        <v>0</v>
      </c>
    </row>
    <row r="23" spans="1:9" ht="15" customHeight="1" x14ac:dyDescent="0.25">
      <c r="B23" s="544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10">
        <f t="shared" si="2"/>
        <v>0</v>
      </c>
    </row>
    <row r="24" spans="1:9" ht="15" customHeight="1" x14ac:dyDescent="0.25">
      <c r="B24" s="544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10">
        <f t="shared" si="2"/>
        <v>0</v>
      </c>
    </row>
    <row r="25" spans="1:9" ht="15" customHeight="1" x14ac:dyDescent="0.25">
      <c r="B25" s="544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10">
        <f t="shared" si="2"/>
        <v>0</v>
      </c>
    </row>
    <row r="26" spans="1:9" ht="15" customHeight="1" x14ac:dyDescent="0.25">
      <c r="B26" s="544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10">
        <f t="shared" si="2"/>
        <v>0</v>
      </c>
    </row>
    <row r="27" spans="1:9" ht="15" customHeight="1" x14ac:dyDescent="0.25">
      <c r="B27" s="544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10">
        <f t="shared" si="2"/>
        <v>0</v>
      </c>
    </row>
    <row r="28" spans="1:9" ht="15" customHeight="1" x14ac:dyDescent="0.25">
      <c r="A28" s="51"/>
      <c r="B28" s="544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10">
        <f t="shared" si="2"/>
        <v>0</v>
      </c>
    </row>
    <row r="29" spans="1:9" ht="15" customHeight="1" x14ac:dyDescent="0.25">
      <c r="A29" s="51"/>
      <c r="B29" s="544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10">
        <f t="shared" si="2"/>
        <v>0</v>
      </c>
    </row>
    <row r="30" spans="1:9" ht="15" customHeight="1" x14ac:dyDescent="0.25">
      <c r="A30" s="51"/>
      <c r="B30" s="544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10">
        <f t="shared" si="2"/>
        <v>0</v>
      </c>
    </row>
    <row r="31" spans="1:9" ht="15" customHeight="1" x14ac:dyDescent="0.25">
      <c r="A31" s="51"/>
      <c r="B31" s="544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10">
        <f t="shared" si="2"/>
        <v>0</v>
      </c>
    </row>
    <row r="32" spans="1:9" ht="15" customHeight="1" x14ac:dyDescent="0.25">
      <c r="A32" s="51"/>
      <c r="B32" s="544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10">
        <f t="shared" si="2"/>
        <v>0</v>
      </c>
    </row>
    <row r="33" spans="1:9" ht="15" customHeight="1" x14ac:dyDescent="0.25">
      <c r="A33" s="51"/>
      <c r="B33" s="544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10">
        <f t="shared" si="2"/>
        <v>0</v>
      </c>
    </row>
    <row r="34" spans="1:9" ht="15" customHeight="1" x14ac:dyDescent="0.25">
      <c r="A34" s="51"/>
      <c r="B34" s="544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10">
        <f t="shared" si="2"/>
        <v>0</v>
      </c>
    </row>
    <row r="35" spans="1:9" ht="15.75" thickBot="1" x14ac:dyDescent="0.3">
      <c r="A35" s="178"/>
      <c r="B35" s="138"/>
      <c r="C35" s="40"/>
      <c r="D35" s="235">
        <f t="shared" si="1"/>
        <v>0</v>
      </c>
      <c r="E35" s="385"/>
      <c r="F35" s="386">
        <f t="shared" si="0"/>
        <v>0</v>
      </c>
      <c r="G35" s="209"/>
      <c r="H35" s="370"/>
      <c r="I35" s="619"/>
    </row>
    <row r="36" spans="1:9" ht="15.75" thickTop="1" x14ac:dyDescent="0.25">
      <c r="A36" s="51">
        <f>SUM(A28:A35)</f>
        <v>0</v>
      </c>
      <c r="C36" s="97">
        <f>SUM(C8:C35)</f>
        <v>37</v>
      </c>
      <c r="D36" s="154">
        <f>SUM(D8:D35)</f>
        <v>503.57</v>
      </c>
      <c r="E36" s="102"/>
      <c r="F36" s="154">
        <f>SUM(F8:F35)</f>
        <v>503.57</v>
      </c>
    </row>
    <row r="37" spans="1:9" ht="15.75" thickBot="1" x14ac:dyDescent="0.3">
      <c r="A37" s="51"/>
    </row>
    <row r="38" spans="1:9" x14ac:dyDescent="0.25">
      <c r="B38" s="6"/>
      <c r="D38" s="761" t="s">
        <v>21</v>
      </c>
      <c r="E38" s="762"/>
      <c r="F38" s="211">
        <f>E4+E5-F36+E6</f>
        <v>0</v>
      </c>
    </row>
    <row r="39" spans="1:9" ht="15.75" thickBot="1" x14ac:dyDescent="0.3">
      <c r="A39" s="185"/>
      <c r="D39" s="628" t="s">
        <v>4</v>
      </c>
      <c r="E39" s="629"/>
      <c r="F39" s="53">
        <f>F4+F5-C36+F6</f>
        <v>0</v>
      </c>
    </row>
    <row r="40" spans="1:9" x14ac:dyDescent="0.25">
      <c r="B40" s="6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E18" sqref="E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60"/>
      <c r="B1" s="760"/>
      <c r="C1" s="760"/>
      <c r="D1" s="760"/>
      <c r="E1" s="760"/>
      <c r="F1" s="760"/>
      <c r="G1" s="76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x14ac:dyDescent="0.25">
      <c r="A5" s="397"/>
      <c r="B5" s="500"/>
      <c r="C5" s="545"/>
      <c r="D5" s="510"/>
      <c r="E5" s="501"/>
      <c r="F5" s="441"/>
      <c r="G5" s="508"/>
      <c r="H5" s="8">
        <f>E5-G5+E4+E6</f>
        <v>0</v>
      </c>
    </row>
    <row r="6" spans="1:9" ht="15.75" thickBot="1" x14ac:dyDescent="0.3">
      <c r="A6" s="772"/>
      <c r="B6" s="441"/>
      <c r="C6" s="509"/>
      <c r="D6" s="510"/>
      <c r="E6" s="501"/>
      <c r="F6" s="441"/>
      <c r="G6" s="438"/>
    </row>
    <row r="7" spans="1:9" ht="16.5" thickTop="1" thickBot="1" x14ac:dyDescent="0.3">
      <c r="A7" s="772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/>
      <c r="D8" s="89">
        <f>C8*B8</f>
        <v>0</v>
      </c>
      <c r="E8" s="119"/>
      <c r="F8" s="154">
        <f t="shared" ref="F8:F39" si="0">D8</f>
        <v>0</v>
      </c>
      <c r="G8" s="90"/>
      <c r="H8" s="91"/>
      <c r="I8" s="410">
        <f>E5-F8</f>
        <v>0</v>
      </c>
    </row>
    <row r="9" spans="1:9" ht="15.75" x14ac:dyDescent="0.25">
      <c r="B9" s="131">
        <v>13.61</v>
      </c>
      <c r="C9" s="16"/>
      <c r="D9" s="404">
        <f>C9*B9</f>
        <v>0</v>
      </c>
      <c r="E9" s="407"/>
      <c r="F9" s="532">
        <f t="shared" si="0"/>
        <v>0</v>
      </c>
      <c r="G9" s="279"/>
      <c r="H9" s="170"/>
      <c r="I9" s="410">
        <f>I8-F9</f>
        <v>0</v>
      </c>
    </row>
    <row r="10" spans="1:9" ht="15.75" x14ac:dyDescent="0.25">
      <c r="B10" s="131">
        <v>13.61</v>
      </c>
      <c r="C10" s="16"/>
      <c r="D10" s="404">
        <f t="shared" ref="D10:D39" si="1">C10*B10</f>
        <v>0</v>
      </c>
      <c r="E10" s="407"/>
      <c r="F10" s="532">
        <f t="shared" si="0"/>
        <v>0</v>
      </c>
      <c r="G10" s="533"/>
      <c r="H10" s="534"/>
      <c r="I10" s="497">
        <f t="shared" ref="I10:I38" si="2">I9-F10</f>
        <v>0</v>
      </c>
    </row>
    <row r="11" spans="1:9" ht="15.75" x14ac:dyDescent="0.25">
      <c r="A11" s="71" t="s">
        <v>33</v>
      </c>
      <c r="B11" s="131">
        <v>13.61</v>
      </c>
      <c r="C11" s="16"/>
      <c r="D11" s="404">
        <f t="shared" si="1"/>
        <v>0</v>
      </c>
      <c r="E11" s="407"/>
      <c r="F11" s="532">
        <f t="shared" si="0"/>
        <v>0</v>
      </c>
      <c r="G11" s="533"/>
      <c r="H11" s="534"/>
      <c r="I11" s="497">
        <f t="shared" si="2"/>
        <v>0</v>
      </c>
    </row>
    <row r="12" spans="1:9" ht="15.75" x14ac:dyDescent="0.25">
      <c r="B12" s="131">
        <v>13.61</v>
      </c>
      <c r="C12" s="16"/>
      <c r="D12" s="404">
        <f t="shared" si="1"/>
        <v>0</v>
      </c>
      <c r="E12" s="407"/>
      <c r="F12" s="532">
        <f t="shared" si="0"/>
        <v>0</v>
      </c>
      <c r="G12" s="533"/>
      <c r="H12" s="534"/>
      <c r="I12" s="497">
        <f t="shared" si="2"/>
        <v>0</v>
      </c>
    </row>
    <row r="13" spans="1:9" ht="15.75" x14ac:dyDescent="0.25">
      <c r="A13" s="20"/>
      <c r="B13" s="131">
        <v>13.61</v>
      </c>
      <c r="C13" s="62"/>
      <c r="D13" s="404">
        <f t="shared" si="1"/>
        <v>0</v>
      </c>
      <c r="E13" s="407"/>
      <c r="F13" s="532">
        <f t="shared" si="0"/>
        <v>0</v>
      </c>
      <c r="G13" s="533"/>
      <c r="H13" s="534"/>
      <c r="I13" s="497">
        <f t="shared" si="2"/>
        <v>0</v>
      </c>
    </row>
    <row r="14" spans="1:9" ht="15.75" x14ac:dyDescent="0.25">
      <c r="B14" s="131">
        <v>13.61</v>
      </c>
      <c r="C14" s="16"/>
      <c r="D14" s="404">
        <f t="shared" si="1"/>
        <v>0</v>
      </c>
      <c r="E14" s="407"/>
      <c r="F14" s="532">
        <f t="shared" si="0"/>
        <v>0</v>
      </c>
      <c r="G14" s="279"/>
      <c r="H14" s="170"/>
      <c r="I14" s="410">
        <f t="shared" si="2"/>
        <v>0</v>
      </c>
    </row>
    <row r="15" spans="1:9" ht="15.75" x14ac:dyDescent="0.25">
      <c r="B15" s="131">
        <v>13.61</v>
      </c>
      <c r="C15" s="16"/>
      <c r="D15" s="404">
        <f t="shared" si="1"/>
        <v>0</v>
      </c>
      <c r="E15" s="407"/>
      <c r="F15" s="532">
        <f t="shared" si="0"/>
        <v>0</v>
      </c>
      <c r="G15" s="279"/>
      <c r="H15" s="170"/>
      <c r="I15" s="410">
        <f t="shared" si="2"/>
        <v>0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10">
        <f t="shared" si="2"/>
        <v>0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10">
        <f t="shared" si="2"/>
        <v>0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10">
        <f t="shared" si="2"/>
        <v>0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10">
        <f t="shared" si="2"/>
        <v>0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10">
        <f t="shared" si="2"/>
        <v>0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10">
        <f t="shared" si="2"/>
        <v>0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10">
        <f t="shared" si="2"/>
        <v>0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10">
        <f t="shared" si="2"/>
        <v>0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10">
        <f t="shared" si="2"/>
        <v>0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10">
        <f t="shared" si="2"/>
        <v>0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10">
        <f t="shared" si="2"/>
        <v>0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10">
        <f t="shared" si="2"/>
        <v>0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10">
        <f t="shared" si="2"/>
        <v>0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10">
        <f t="shared" si="2"/>
        <v>0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10">
        <f t="shared" si="2"/>
        <v>0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10">
        <f t="shared" si="2"/>
        <v>0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10">
        <f t="shared" si="2"/>
        <v>0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10">
        <f t="shared" si="2"/>
        <v>0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10">
        <f t="shared" si="2"/>
        <v>0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10">
        <f t="shared" si="2"/>
        <v>0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10">
        <f t="shared" si="2"/>
        <v>0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10">
        <f t="shared" si="2"/>
        <v>0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10">
        <f t="shared" si="2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385"/>
      <c r="F39" s="386">
        <f t="shared" si="0"/>
        <v>0</v>
      </c>
      <c r="G39" s="209"/>
      <c r="H39" s="370"/>
      <c r="I39" s="411"/>
    </row>
    <row r="40" spans="1:9" ht="15.75" thickTop="1" x14ac:dyDescent="0.25">
      <c r="A40" s="51">
        <f>SUM(A29:A39)</f>
        <v>0</v>
      </c>
      <c r="C40" s="97">
        <f>SUM(C8:C39)</f>
        <v>0</v>
      </c>
      <c r="D40" s="154">
        <f>SUM(D8:D39)</f>
        <v>0</v>
      </c>
      <c r="E40" s="102"/>
      <c r="F40" s="154">
        <f>SUM(F8:F39)</f>
        <v>0</v>
      </c>
    </row>
    <row r="41" spans="1:9" ht="15.75" thickBot="1" x14ac:dyDescent="0.3">
      <c r="A41" s="51"/>
    </row>
    <row r="42" spans="1:9" x14ac:dyDescent="0.25">
      <c r="B42" s="6"/>
      <c r="D42" s="761" t="s">
        <v>21</v>
      </c>
      <c r="E42" s="762"/>
      <c r="F42" s="211">
        <f>E4+E5-F40+E6</f>
        <v>0</v>
      </c>
    </row>
    <row r="43" spans="1:9" ht="15.75" thickBot="1" x14ac:dyDescent="0.3">
      <c r="A43" s="185"/>
      <c r="D43" s="316" t="s">
        <v>4</v>
      </c>
      <c r="E43" s="317"/>
      <c r="F43" s="53">
        <f>F4+F5-C40+F6</f>
        <v>0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21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60" t="s">
        <v>163</v>
      </c>
      <c r="B1" s="760"/>
      <c r="C1" s="760"/>
      <c r="D1" s="760"/>
      <c r="E1" s="760"/>
      <c r="F1" s="760"/>
      <c r="G1" s="760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7"/>
      <c r="C4" s="247"/>
      <c r="D4" s="234"/>
      <c r="E4" s="194"/>
      <c r="F4" s="97"/>
      <c r="G4" s="41"/>
    </row>
    <row r="5" spans="1:8" x14ac:dyDescent="0.25">
      <c r="A5" s="102"/>
      <c r="B5" s="97"/>
      <c r="C5" s="247">
        <v>19</v>
      </c>
      <c r="D5" s="234">
        <v>43755</v>
      </c>
      <c r="E5" s="194">
        <v>3465</v>
      </c>
      <c r="F5" s="97">
        <v>4</v>
      </c>
      <c r="G5" s="130">
        <f>F45</f>
        <v>12074</v>
      </c>
      <c r="H5" s="8">
        <f>E5-G5+E4+E6+E7+E8+E9+E11+E10</f>
        <v>0</v>
      </c>
    </row>
    <row r="6" spans="1:8" x14ac:dyDescent="0.25">
      <c r="A6" s="102" t="s">
        <v>123</v>
      </c>
      <c r="B6" s="361" t="s">
        <v>64</v>
      </c>
      <c r="C6" s="247">
        <v>19</v>
      </c>
      <c r="D6" s="234">
        <v>43756</v>
      </c>
      <c r="E6" s="194">
        <v>1740</v>
      </c>
      <c r="F6" s="441">
        <v>2</v>
      </c>
      <c r="G6" s="734"/>
      <c r="H6" s="734"/>
    </row>
    <row r="7" spans="1:8" x14ac:dyDescent="0.25">
      <c r="A7" t="s">
        <v>124</v>
      </c>
      <c r="B7" s="361" t="s">
        <v>65</v>
      </c>
      <c r="C7" s="247">
        <v>19</v>
      </c>
      <c r="D7" s="234">
        <v>43760</v>
      </c>
      <c r="E7" s="194">
        <v>1709</v>
      </c>
      <c r="F7" s="441">
        <v>2</v>
      </c>
      <c r="G7" s="734"/>
      <c r="H7" s="734"/>
    </row>
    <row r="8" spans="1:8" x14ac:dyDescent="0.25">
      <c r="B8" s="97"/>
      <c r="C8" s="247">
        <v>19</v>
      </c>
      <c r="D8" s="234">
        <v>43767</v>
      </c>
      <c r="E8" s="194">
        <v>3442</v>
      </c>
      <c r="F8" s="441">
        <v>4</v>
      </c>
      <c r="G8" s="734"/>
      <c r="H8" s="734"/>
    </row>
    <row r="9" spans="1:8" x14ac:dyDescent="0.25">
      <c r="B9" s="97"/>
      <c r="C9" s="247">
        <v>19</v>
      </c>
      <c r="D9" s="234">
        <v>43774</v>
      </c>
      <c r="E9" s="194">
        <v>1718</v>
      </c>
      <c r="F9" s="441">
        <v>2</v>
      </c>
      <c r="G9" s="734"/>
      <c r="H9" s="734"/>
    </row>
    <row r="10" spans="1:8" x14ac:dyDescent="0.25">
      <c r="B10" s="97"/>
      <c r="C10" s="247"/>
      <c r="D10" s="234"/>
      <c r="E10" s="194"/>
      <c r="F10" s="97"/>
      <c r="G10" s="438"/>
      <c r="H10" s="438"/>
    </row>
    <row r="11" spans="1:8" ht="15.75" thickBot="1" x14ac:dyDescent="0.3">
      <c r="B11" s="97"/>
      <c r="C11" s="247"/>
      <c r="D11" s="234"/>
      <c r="E11" s="194"/>
      <c r="F11" s="97"/>
      <c r="G11" s="438"/>
      <c r="H11" s="438"/>
    </row>
    <row r="12" spans="1:8" ht="16.5" thickTop="1" thickBot="1" x14ac:dyDescent="0.3">
      <c r="B12" s="82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71" t="s">
        <v>32</v>
      </c>
      <c r="B13" s="131"/>
      <c r="C13" s="16">
        <v>1</v>
      </c>
      <c r="D13" s="89">
        <v>872</v>
      </c>
      <c r="E13" s="119">
        <v>43755</v>
      </c>
      <c r="F13" s="507">
        <f t="shared" ref="F13:F18" si="0">D13</f>
        <v>872</v>
      </c>
      <c r="G13" s="485" t="s">
        <v>295</v>
      </c>
      <c r="H13" s="486">
        <v>20</v>
      </c>
    </row>
    <row r="14" spans="1:8" x14ac:dyDescent="0.25">
      <c r="B14" s="131"/>
      <c r="C14" s="16">
        <v>1</v>
      </c>
      <c r="D14" s="89">
        <v>875</v>
      </c>
      <c r="E14" s="119">
        <v>43755</v>
      </c>
      <c r="F14" s="507">
        <f t="shared" si="0"/>
        <v>875</v>
      </c>
      <c r="G14" s="485" t="s">
        <v>295</v>
      </c>
      <c r="H14" s="486">
        <v>20</v>
      </c>
    </row>
    <row r="15" spans="1:8" x14ac:dyDescent="0.25">
      <c r="B15" s="131"/>
      <c r="C15" s="16">
        <v>1</v>
      </c>
      <c r="D15" s="89">
        <v>858</v>
      </c>
      <c r="E15" s="119">
        <v>43755</v>
      </c>
      <c r="F15" s="507">
        <f t="shared" si="0"/>
        <v>858</v>
      </c>
      <c r="G15" s="485" t="s">
        <v>295</v>
      </c>
      <c r="H15" s="486">
        <v>20</v>
      </c>
    </row>
    <row r="16" spans="1:8" x14ac:dyDescent="0.25">
      <c r="A16" s="71" t="s">
        <v>33</v>
      </c>
      <c r="B16" s="131"/>
      <c r="C16" s="16">
        <v>1</v>
      </c>
      <c r="D16" s="89">
        <v>860</v>
      </c>
      <c r="E16" s="119">
        <v>43755</v>
      </c>
      <c r="F16" s="507">
        <f t="shared" si="0"/>
        <v>860</v>
      </c>
      <c r="G16" s="485" t="s">
        <v>295</v>
      </c>
      <c r="H16" s="486">
        <v>20</v>
      </c>
    </row>
    <row r="17" spans="1:8" x14ac:dyDescent="0.25">
      <c r="B17" s="131"/>
      <c r="C17" s="16">
        <v>1</v>
      </c>
      <c r="D17" s="89">
        <v>882</v>
      </c>
      <c r="E17" s="119">
        <v>43756</v>
      </c>
      <c r="F17" s="507">
        <f t="shared" si="0"/>
        <v>882</v>
      </c>
      <c r="G17" s="485" t="s">
        <v>298</v>
      </c>
      <c r="H17" s="486">
        <v>20</v>
      </c>
    </row>
    <row r="18" spans="1:8" x14ac:dyDescent="0.25">
      <c r="A18" s="20"/>
      <c r="B18" s="131"/>
      <c r="C18" s="16">
        <v>1</v>
      </c>
      <c r="D18" s="89">
        <v>858</v>
      </c>
      <c r="E18" s="119">
        <v>43756</v>
      </c>
      <c r="F18" s="507">
        <f t="shared" si="0"/>
        <v>858</v>
      </c>
      <c r="G18" s="485" t="s">
        <v>298</v>
      </c>
      <c r="H18" s="486">
        <v>20</v>
      </c>
    </row>
    <row r="19" spans="1:8" x14ac:dyDescent="0.25">
      <c r="B19" s="131"/>
      <c r="C19" s="16">
        <v>1</v>
      </c>
      <c r="D19" s="89">
        <v>862</v>
      </c>
      <c r="E19" s="119">
        <v>43760</v>
      </c>
      <c r="F19" s="507">
        <f t="shared" ref="F19:F44" si="1">D19</f>
        <v>862</v>
      </c>
      <c r="G19" s="485" t="s">
        <v>324</v>
      </c>
      <c r="H19" s="486">
        <v>20</v>
      </c>
    </row>
    <row r="20" spans="1:8" x14ac:dyDescent="0.25">
      <c r="B20" s="131"/>
      <c r="C20" s="16">
        <v>1</v>
      </c>
      <c r="D20" s="89">
        <v>847</v>
      </c>
      <c r="E20" s="119">
        <v>43760</v>
      </c>
      <c r="F20" s="507">
        <f t="shared" si="1"/>
        <v>847</v>
      </c>
      <c r="G20" s="485" t="s">
        <v>324</v>
      </c>
      <c r="H20" s="486">
        <v>20</v>
      </c>
    </row>
    <row r="21" spans="1:8" x14ac:dyDescent="0.25">
      <c r="B21" s="131"/>
      <c r="C21" s="16">
        <v>1</v>
      </c>
      <c r="D21" s="89">
        <v>876</v>
      </c>
      <c r="E21" s="119">
        <v>43767</v>
      </c>
      <c r="F21" s="507">
        <f t="shared" si="1"/>
        <v>876</v>
      </c>
      <c r="G21" s="485" t="s">
        <v>385</v>
      </c>
      <c r="H21" s="486">
        <v>20</v>
      </c>
    </row>
    <row r="22" spans="1:8" x14ac:dyDescent="0.25">
      <c r="B22" s="131"/>
      <c r="C22" s="16">
        <v>1</v>
      </c>
      <c r="D22" s="89">
        <v>850</v>
      </c>
      <c r="E22" s="119">
        <v>43767</v>
      </c>
      <c r="F22" s="507">
        <f t="shared" si="1"/>
        <v>850</v>
      </c>
      <c r="G22" s="485" t="s">
        <v>385</v>
      </c>
      <c r="H22" s="486">
        <v>20</v>
      </c>
    </row>
    <row r="23" spans="1:8" x14ac:dyDescent="0.25">
      <c r="B23" s="131"/>
      <c r="C23" s="16">
        <v>1</v>
      </c>
      <c r="D23" s="89">
        <v>851</v>
      </c>
      <c r="E23" s="119">
        <v>43767</v>
      </c>
      <c r="F23" s="507">
        <f t="shared" si="1"/>
        <v>851</v>
      </c>
      <c r="G23" s="485" t="s">
        <v>385</v>
      </c>
      <c r="H23" s="486">
        <v>20</v>
      </c>
    </row>
    <row r="24" spans="1:8" x14ac:dyDescent="0.25">
      <c r="B24" s="131"/>
      <c r="C24" s="16">
        <v>1</v>
      </c>
      <c r="D24" s="89">
        <v>865</v>
      </c>
      <c r="E24" s="119">
        <v>43767</v>
      </c>
      <c r="F24" s="507">
        <f t="shared" si="1"/>
        <v>865</v>
      </c>
      <c r="G24" s="485" t="s">
        <v>385</v>
      </c>
      <c r="H24" s="486">
        <v>20</v>
      </c>
    </row>
    <row r="25" spans="1:8" x14ac:dyDescent="0.25">
      <c r="B25" s="131"/>
      <c r="C25" s="16">
        <v>1</v>
      </c>
      <c r="D25" s="89">
        <v>847</v>
      </c>
      <c r="E25" s="119">
        <v>43774</v>
      </c>
      <c r="F25" s="507">
        <f t="shared" si="1"/>
        <v>847</v>
      </c>
      <c r="G25" s="485" t="s">
        <v>427</v>
      </c>
      <c r="H25" s="486">
        <v>20</v>
      </c>
    </row>
    <row r="26" spans="1:8" x14ac:dyDescent="0.25">
      <c r="B26" s="131"/>
      <c r="C26" s="16">
        <v>1</v>
      </c>
      <c r="D26" s="89">
        <v>871</v>
      </c>
      <c r="E26" s="119">
        <v>43774</v>
      </c>
      <c r="F26" s="507">
        <f t="shared" si="1"/>
        <v>871</v>
      </c>
      <c r="G26" s="485" t="s">
        <v>427</v>
      </c>
      <c r="H26" s="486">
        <v>20</v>
      </c>
    </row>
    <row r="27" spans="1:8" x14ac:dyDescent="0.25">
      <c r="B27" s="131"/>
      <c r="C27" s="16">
        <v>1</v>
      </c>
      <c r="D27" s="89"/>
      <c r="E27" s="119"/>
      <c r="F27" s="507">
        <f t="shared" si="1"/>
        <v>0</v>
      </c>
      <c r="G27" s="485"/>
      <c r="H27" s="486"/>
    </row>
    <row r="28" spans="1:8" x14ac:dyDescent="0.25">
      <c r="B28" s="131"/>
      <c r="C28" s="16">
        <v>1</v>
      </c>
      <c r="D28" s="89"/>
      <c r="E28" s="119"/>
      <c r="F28" s="507">
        <f t="shared" si="1"/>
        <v>0</v>
      </c>
      <c r="G28" s="485"/>
      <c r="H28" s="486"/>
    </row>
    <row r="29" spans="1:8" x14ac:dyDescent="0.25">
      <c r="B29" s="131"/>
      <c r="C29" s="16">
        <v>1</v>
      </c>
      <c r="D29" s="89"/>
      <c r="E29" s="119"/>
      <c r="F29" s="507">
        <f t="shared" si="1"/>
        <v>0</v>
      </c>
      <c r="G29" s="485"/>
      <c r="H29" s="486"/>
    </row>
    <row r="30" spans="1:8" x14ac:dyDescent="0.25">
      <c r="B30" s="131"/>
      <c r="C30" s="16">
        <v>1</v>
      </c>
      <c r="D30" s="89"/>
      <c r="E30" s="119"/>
      <c r="F30" s="507">
        <f t="shared" si="1"/>
        <v>0</v>
      </c>
      <c r="G30" s="485"/>
      <c r="H30" s="486"/>
    </row>
    <row r="31" spans="1:8" x14ac:dyDescent="0.25">
      <c r="B31" s="131"/>
      <c r="C31" s="16">
        <v>1</v>
      </c>
      <c r="D31" s="89"/>
      <c r="E31" s="119"/>
      <c r="F31" s="507">
        <f t="shared" si="1"/>
        <v>0</v>
      </c>
      <c r="G31" s="485"/>
      <c r="H31" s="486"/>
    </row>
    <row r="32" spans="1:8" x14ac:dyDescent="0.25">
      <c r="B32" s="131"/>
      <c r="C32" s="16">
        <v>1</v>
      </c>
      <c r="D32" s="89"/>
      <c r="E32" s="119"/>
      <c r="F32" s="154">
        <f t="shared" si="1"/>
        <v>0</v>
      </c>
      <c r="G32" s="485"/>
      <c r="H32" s="486"/>
    </row>
    <row r="33" spans="1:8" x14ac:dyDescent="0.25">
      <c r="B33" s="131"/>
      <c r="C33" s="16">
        <v>1</v>
      </c>
      <c r="D33" s="89"/>
      <c r="E33" s="119"/>
      <c r="F33" s="507">
        <f t="shared" si="1"/>
        <v>0</v>
      </c>
      <c r="G33" s="485"/>
      <c r="H33" s="486"/>
    </row>
    <row r="34" spans="1:8" x14ac:dyDescent="0.25">
      <c r="A34" s="51"/>
      <c r="B34" s="131"/>
      <c r="C34" s="16">
        <v>1</v>
      </c>
      <c r="D34" s="89"/>
      <c r="E34" s="119"/>
      <c r="F34" s="507">
        <f t="shared" si="1"/>
        <v>0</v>
      </c>
      <c r="G34" s="485"/>
      <c r="H34" s="486"/>
    </row>
    <row r="35" spans="1:8" x14ac:dyDescent="0.25">
      <c r="A35" s="51"/>
      <c r="B35" s="131"/>
      <c r="C35" s="16">
        <v>1</v>
      </c>
      <c r="D35" s="89"/>
      <c r="E35" s="119"/>
      <c r="F35" s="507">
        <f t="shared" si="1"/>
        <v>0</v>
      </c>
      <c r="G35" s="485"/>
      <c r="H35" s="486"/>
    </row>
    <row r="36" spans="1:8" x14ac:dyDescent="0.25">
      <c r="A36" s="51"/>
      <c r="B36" s="131"/>
      <c r="C36" s="16"/>
      <c r="D36" s="89"/>
      <c r="E36" s="119"/>
      <c r="F36" s="507">
        <f t="shared" si="1"/>
        <v>0</v>
      </c>
      <c r="G36" s="485"/>
      <c r="H36" s="486"/>
    </row>
    <row r="37" spans="1:8" x14ac:dyDescent="0.25">
      <c r="A37" s="51"/>
      <c r="B37" s="131"/>
      <c r="C37" s="16"/>
      <c r="D37" s="89"/>
      <c r="E37" s="119"/>
      <c r="F37" s="507">
        <f t="shared" si="1"/>
        <v>0</v>
      </c>
      <c r="G37" s="485"/>
      <c r="H37" s="486"/>
    </row>
    <row r="38" spans="1:8" x14ac:dyDescent="0.25">
      <c r="A38" s="51"/>
      <c r="B38" s="131"/>
      <c r="C38" s="16"/>
      <c r="D38" s="89">
        <f t="shared" ref="D38:D43" si="2">C38*B38</f>
        <v>0</v>
      </c>
      <c r="E38" s="119"/>
      <c r="F38" s="507">
        <f t="shared" si="1"/>
        <v>0</v>
      </c>
      <c r="G38" s="485"/>
      <c r="H38" s="486"/>
    </row>
    <row r="39" spans="1:8" x14ac:dyDescent="0.25">
      <c r="A39" s="51"/>
      <c r="B39" s="131"/>
      <c r="C39" s="16"/>
      <c r="D39" s="89">
        <f t="shared" si="2"/>
        <v>0</v>
      </c>
      <c r="E39" s="119"/>
      <c r="F39" s="507">
        <f t="shared" si="1"/>
        <v>0</v>
      </c>
      <c r="G39" s="485"/>
      <c r="H39" s="486"/>
    </row>
    <row r="40" spans="1:8" x14ac:dyDescent="0.25">
      <c r="A40" s="51"/>
      <c r="B40" s="131"/>
      <c r="C40" s="16"/>
      <c r="D40" s="89">
        <f t="shared" si="2"/>
        <v>0</v>
      </c>
      <c r="E40" s="119"/>
      <c r="F40" s="507">
        <f t="shared" si="1"/>
        <v>0</v>
      </c>
      <c r="G40" s="485"/>
      <c r="H40" s="486"/>
    </row>
    <row r="41" spans="1:8" x14ac:dyDescent="0.25">
      <c r="A41" s="51"/>
      <c r="B41" s="131"/>
      <c r="C41" s="16"/>
      <c r="D41" s="89">
        <f t="shared" si="2"/>
        <v>0</v>
      </c>
      <c r="E41" s="119"/>
      <c r="F41" s="507">
        <f t="shared" si="1"/>
        <v>0</v>
      </c>
      <c r="G41" s="485"/>
      <c r="H41" s="486"/>
    </row>
    <row r="42" spans="1:8" x14ac:dyDescent="0.25">
      <c r="A42" s="51"/>
      <c r="B42" s="131"/>
      <c r="C42" s="16"/>
      <c r="D42" s="89">
        <f t="shared" si="2"/>
        <v>0</v>
      </c>
      <c r="E42" s="119"/>
      <c r="F42" s="507">
        <f t="shared" si="1"/>
        <v>0</v>
      </c>
      <c r="G42" s="90"/>
      <c r="H42" s="91"/>
    </row>
    <row r="43" spans="1:8" x14ac:dyDescent="0.25">
      <c r="A43" s="51"/>
      <c r="B43" s="131"/>
      <c r="C43" s="16"/>
      <c r="D43" s="89">
        <f t="shared" si="2"/>
        <v>0</v>
      </c>
      <c r="E43" s="119"/>
      <c r="F43" s="154">
        <f t="shared" si="1"/>
        <v>0</v>
      </c>
      <c r="G43" s="90"/>
      <c r="H43" s="91"/>
    </row>
    <row r="44" spans="1:8" ht="15.75" thickBot="1" x14ac:dyDescent="0.3">
      <c r="A44" s="178"/>
      <c r="B44" s="138"/>
      <c r="C44" s="40"/>
      <c r="D44" s="326">
        <f>B44*C44</f>
        <v>0</v>
      </c>
      <c r="E44" s="327"/>
      <c r="F44" s="328">
        <f t="shared" si="1"/>
        <v>0</v>
      </c>
      <c r="G44" s="150"/>
      <c r="H44" s="290"/>
    </row>
    <row r="45" spans="1:8" ht="15.75" thickTop="1" x14ac:dyDescent="0.25">
      <c r="A45" s="51">
        <f>SUM(A34:A44)</f>
        <v>0</v>
      </c>
      <c r="C45" s="97">
        <f>SUM(C13:C44)</f>
        <v>23</v>
      </c>
      <c r="D45" s="154">
        <f>SUM(D13:D44)</f>
        <v>12074</v>
      </c>
      <c r="E45" s="102"/>
      <c r="F45" s="154">
        <f>SUM(F13:F44)</f>
        <v>12074</v>
      </c>
    </row>
    <row r="46" spans="1:8" ht="15.75" thickBot="1" x14ac:dyDescent="0.3">
      <c r="A46" s="51"/>
    </row>
    <row r="47" spans="1:8" x14ac:dyDescent="0.25">
      <c r="B47" s="6"/>
      <c r="D47" s="761" t="s">
        <v>21</v>
      </c>
      <c r="E47" s="762"/>
      <c r="F47" s="211">
        <f>E4+E5-F45+E6+E7+E8+E9+E11</f>
        <v>0</v>
      </c>
    </row>
    <row r="48" spans="1:8" ht="15.75" thickBot="1" x14ac:dyDescent="0.3">
      <c r="A48" s="185"/>
      <c r="D48" s="513" t="s">
        <v>4</v>
      </c>
      <c r="E48" s="514"/>
      <c r="F48" s="53">
        <f>F4+F5-C45+F6+F7+F8+F9+F11</f>
        <v>-9</v>
      </c>
    </row>
    <row r="49" spans="2:2" x14ac:dyDescent="0.25">
      <c r="B49" s="6"/>
    </row>
  </sheetData>
  <mergeCells count="2">
    <mergeCell ref="A1:G1"/>
    <mergeCell ref="D47:E47"/>
  </mergeCells>
  <phoneticPr fontId="6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CONTRA   SWIFT     </vt:lpstr>
      <vt:lpstr>CONTRA EXCEL   pulpa blanca</vt:lpstr>
      <vt:lpstr>CORBATA SWIFT  </vt:lpstr>
      <vt:lpstr>BUCHE  SEABOARD   </vt:lpstr>
      <vt:lpstr> Buche  Swif   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LENGUA DE CERDO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2019-10-14T14:02:54Z</cp:lastPrinted>
  <dcterms:created xsi:type="dcterms:W3CDTF">2008-07-31T16:59:13Z</dcterms:created>
  <dcterms:modified xsi:type="dcterms:W3CDTF">2020-01-04T21:29:32Z</dcterms:modified>
</cp:coreProperties>
</file>