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01 DOCUEMENTOS\CENTRAL  # 10 OCTUBRE 2019\"/>
    </mc:Choice>
  </mc:AlternateContent>
  <xr:revisionPtr revIDLastSave="0" documentId="13_ncr:1_{B9280DBD-0AD7-40EE-BC48-E82D82795022}" xr6:coauthVersionLast="45" xr6:coauthVersionMax="45" xr10:uidLastSave="{00000000-0000-0000-0000-000000000000}"/>
  <bookViews>
    <workbookView xWindow="-120" yWindow="-120" windowWidth="24240" windowHeight="13140" firstSheet="8" activeTab="9" xr2:uid="{00000000-000D-0000-FFFF-FFFF00000000}"/>
  </bookViews>
  <sheets>
    <sheet name="E N E R O    2019   " sheetId="1" r:id="rId1"/>
    <sheet name="FEBRERO    2019   " sheetId="2" r:id="rId2"/>
    <sheet name="M A R Z O    2019      " sheetId="3" r:id="rId3"/>
    <sheet name="A B R I L    2019   " sheetId="4" r:id="rId4"/>
    <sheet name="M A Y O   2019    " sheetId="5" r:id="rId5"/>
    <sheet name="J U N I O     2019   " sheetId="6" r:id="rId6"/>
    <sheet name="J U L I O     2019   " sheetId="7" r:id="rId7"/>
    <sheet name="A GO S T O   2019     " sheetId="9" r:id="rId8"/>
    <sheet name="SEPTIEMBRE   2019    " sheetId="10" r:id="rId9"/>
    <sheet name="OCTUBRE    2019     " sheetId="11" r:id="rId10"/>
    <sheet name="Hoja1" sheetId="13" r:id="rId11"/>
    <sheet name="Hoja2" sheetId="14" r:id="rId12"/>
    <sheet name="Hoja4" sheetId="12" r:id="rId13"/>
    <sheet name="Hoja8" sheetId="8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9" i="11" l="1"/>
  <c r="F66" i="11"/>
  <c r="F116" i="11"/>
  <c r="G116" i="11" s="1"/>
  <c r="F112" i="11"/>
  <c r="F111" i="11"/>
  <c r="F39" i="11"/>
  <c r="F106" i="11"/>
  <c r="F102" i="11"/>
  <c r="G113" i="11"/>
  <c r="G114" i="11"/>
  <c r="G115" i="11"/>
  <c r="G117" i="11"/>
  <c r="G118" i="11"/>
  <c r="G119" i="11"/>
  <c r="G120" i="11"/>
  <c r="G121" i="11"/>
  <c r="G122" i="11"/>
  <c r="G123" i="11"/>
  <c r="F101" i="11" l="1"/>
  <c r="F98" i="11"/>
  <c r="F93" i="11"/>
  <c r="F94" i="11"/>
  <c r="F88" i="11"/>
  <c r="F87" i="11"/>
  <c r="F80" i="11"/>
  <c r="F84" i="11" l="1"/>
  <c r="F14" i="11"/>
  <c r="F79" i="11"/>
  <c r="F73" i="11"/>
  <c r="F69" i="11" l="1"/>
  <c r="F67" i="11"/>
  <c r="F65" i="11"/>
  <c r="F55" i="11"/>
  <c r="F57" i="11"/>
  <c r="F71" i="11"/>
  <c r="F51" i="11"/>
  <c r="F49" i="11"/>
  <c r="F46" i="11"/>
  <c r="F44" i="11" l="1"/>
  <c r="F47" i="11"/>
  <c r="F38" i="11"/>
  <c r="F37" i="11"/>
  <c r="F102" i="10"/>
  <c r="F31" i="11"/>
  <c r="F28" i="11"/>
  <c r="F29" i="11" l="1"/>
  <c r="F21" i="11" l="1"/>
  <c r="F83" i="10"/>
  <c r="F12" i="11"/>
  <c r="F71" i="10"/>
  <c r="F7" i="11"/>
  <c r="F76" i="10"/>
  <c r="F104" i="10"/>
  <c r="F103" i="10"/>
  <c r="F63" i="10" l="1"/>
  <c r="D126" i="11"/>
  <c r="G125" i="11"/>
  <c r="G124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P39" i="11"/>
  <c r="N39" i="11"/>
  <c r="G39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Q29" i="11"/>
  <c r="G29" i="11"/>
  <c r="Q28" i="11"/>
  <c r="G28" i="11"/>
  <c r="Q27" i="11"/>
  <c r="G27" i="11"/>
  <c r="Q26" i="11"/>
  <c r="G26" i="11"/>
  <c r="Q25" i="11"/>
  <c r="G25" i="11"/>
  <c r="Q24" i="11"/>
  <c r="G24" i="11"/>
  <c r="G23" i="11"/>
  <c r="Q22" i="11"/>
  <c r="G22" i="11"/>
  <c r="Q21" i="11"/>
  <c r="G21" i="11"/>
  <c r="Q20" i="11"/>
  <c r="G20" i="11"/>
  <c r="Q19" i="11"/>
  <c r="G19" i="11"/>
  <c r="Q18" i="11"/>
  <c r="G18" i="11"/>
  <c r="Q17" i="11"/>
  <c r="G17" i="11"/>
  <c r="Q16" i="11"/>
  <c r="G16" i="11"/>
  <c r="Q15" i="11"/>
  <c r="G15" i="11"/>
  <c r="Q14" i="11"/>
  <c r="G14" i="11"/>
  <c r="Q13" i="11"/>
  <c r="G13" i="11"/>
  <c r="Q12" i="11"/>
  <c r="G12" i="11"/>
  <c r="Q11" i="11"/>
  <c r="G11" i="11"/>
  <c r="Q10" i="11"/>
  <c r="G10" i="11"/>
  <c r="Q9" i="11"/>
  <c r="G9" i="11"/>
  <c r="Q8" i="11"/>
  <c r="G8" i="11"/>
  <c r="Q7" i="11"/>
  <c r="G7" i="11"/>
  <c r="Q6" i="11"/>
  <c r="L6" i="1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G6" i="11"/>
  <c r="Q5" i="11"/>
  <c r="G5" i="1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Q4" i="11"/>
  <c r="G4" i="11"/>
  <c r="N45" i="11" l="1"/>
  <c r="Q39" i="11"/>
  <c r="F126" i="11"/>
  <c r="D130" i="11" s="1"/>
  <c r="F40" i="10"/>
  <c r="G109" i="10"/>
  <c r="G110" i="10"/>
  <c r="G111" i="10"/>
  <c r="G112" i="10"/>
  <c r="F85" i="10"/>
  <c r="G108" i="10"/>
  <c r="G107" i="10"/>
  <c r="F78" i="10" l="1"/>
  <c r="F14" i="10"/>
  <c r="F72" i="10" l="1"/>
  <c r="F56" i="10"/>
  <c r="F67" i="10" l="1"/>
  <c r="F59" i="10" l="1"/>
  <c r="F95" i="9"/>
  <c r="F50" i="10"/>
  <c r="F49" i="10"/>
  <c r="F46" i="10"/>
  <c r="F45" i="10" l="1"/>
  <c r="F30" i="10"/>
  <c r="F90" i="9"/>
  <c r="F31" i="10"/>
  <c r="F72" i="9"/>
  <c r="F13" i="10" l="1"/>
  <c r="F4" i="10"/>
  <c r="F86" i="9"/>
  <c r="F48" i="9"/>
  <c r="F101" i="9" l="1"/>
  <c r="D115" i="10" l="1"/>
  <c r="G114" i="10"/>
  <c r="G113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5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F115" i="10"/>
  <c r="Q8" i="10"/>
  <c r="G8" i="10"/>
  <c r="Q7" i="10"/>
  <c r="G7" i="10"/>
  <c r="Q6" i="10"/>
  <c r="L6" i="10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G6" i="10"/>
  <c r="Q5" i="10"/>
  <c r="G5" i="10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Q4" i="10"/>
  <c r="G4" i="10"/>
  <c r="B87" i="10" l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D119" i="10"/>
  <c r="Q39" i="10"/>
  <c r="F103" i="7"/>
  <c r="F70" i="9" l="1"/>
  <c r="F68" i="7" l="1"/>
  <c r="F79" i="9" l="1"/>
  <c r="F32" i="9"/>
  <c r="F22" i="9"/>
  <c r="F127" i="7"/>
  <c r="F27" i="9" l="1"/>
  <c r="F52" i="9"/>
  <c r="F126" i="7"/>
  <c r="F53" i="9"/>
  <c r="F40" i="9"/>
  <c r="G42" i="9"/>
  <c r="G43" i="9"/>
  <c r="G44" i="9"/>
  <c r="F23" i="9" l="1"/>
  <c r="F24" i="9"/>
  <c r="F16" i="9"/>
  <c r="F11" i="9"/>
  <c r="G11" i="9" s="1"/>
  <c r="F10" i="9"/>
  <c r="G10" i="9" s="1"/>
  <c r="F9" i="9"/>
  <c r="F140" i="7"/>
  <c r="F136" i="7"/>
  <c r="F135" i="7"/>
  <c r="F70" i="7"/>
  <c r="F125" i="7"/>
  <c r="D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Q10" i="9"/>
  <c r="Q9" i="9"/>
  <c r="G9" i="9"/>
  <c r="Q8" i="9"/>
  <c r="G8" i="9"/>
  <c r="Q7" i="9"/>
  <c r="G7" i="9"/>
  <c r="Q6" i="9"/>
  <c r="L6" i="9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G6" i="9"/>
  <c r="Q5" i="9"/>
  <c r="G5" i="9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Q4" i="9"/>
  <c r="G4" i="9"/>
  <c r="F111" i="9"/>
  <c r="B42" i="9" l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Q39" i="9"/>
  <c r="N45" i="9"/>
  <c r="D115" i="9"/>
  <c r="F128" i="7" l="1"/>
  <c r="F112" i="7"/>
  <c r="F105" i="7"/>
  <c r="F97" i="7"/>
  <c r="F122" i="7"/>
  <c r="F119" i="7"/>
  <c r="F107" i="7"/>
  <c r="F86" i="7"/>
  <c r="F42" i="7"/>
  <c r="F88" i="7" l="1"/>
  <c r="F79" i="7"/>
  <c r="F78" i="7"/>
  <c r="F75" i="7"/>
  <c r="F15" i="7"/>
  <c r="F71" i="7" l="1"/>
  <c r="F62" i="7"/>
  <c r="F61" i="7"/>
  <c r="F4" i="7"/>
  <c r="F131" i="6"/>
  <c r="F40" i="7"/>
  <c r="F26" i="7" l="1"/>
  <c r="F94" i="6"/>
  <c r="F161" i="6"/>
  <c r="F16" i="7"/>
  <c r="F156" i="6" l="1"/>
  <c r="F126" i="6"/>
  <c r="F159" i="6" l="1"/>
  <c r="B10" i="7" l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5" i="7"/>
  <c r="B6" i="7" s="1"/>
  <c r="B7" i="7" s="1"/>
  <c r="B8" i="7" s="1"/>
  <c r="B9" i="7" s="1"/>
  <c r="F143" i="7"/>
  <c r="D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L7" i="7"/>
  <c r="L8" i="7" s="1"/>
  <c r="L9" i="7" s="1"/>
  <c r="L10" i="7" s="1"/>
  <c r="L11" i="7" s="1"/>
  <c r="L12" i="7" s="1"/>
  <c r="L13" i="7" s="1"/>
  <c r="G7" i="7"/>
  <c r="Q6" i="7"/>
  <c r="L6" i="7"/>
  <c r="G6" i="7"/>
  <c r="Q5" i="7"/>
  <c r="G5" i="7"/>
  <c r="Q4" i="7"/>
  <c r="G4" i="7"/>
  <c r="Q39" i="7" l="1"/>
  <c r="D147" i="7"/>
  <c r="F80" i="5"/>
  <c r="G164" i="6"/>
  <c r="G165" i="6"/>
  <c r="G166" i="6"/>
  <c r="G167" i="6"/>
  <c r="G168" i="6"/>
  <c r="G169" i="6"/>
  <c r="F149" i="6"/>
  <c r="F148" i="6"/>
  <c r="F142" i="6"/>
  <c r="F141" i="6"/>
  <c r="F98" i="6"/>
  <c r="F125" i="6" l="1"/>
  <c r="F115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F118" i="6" l="1"/>
  <c r="F109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F107" i="6" l="1"/>
  <c r="F102" i="6" l="1"/>
  <c r="F92" i="6"/>
  <c r="F91" i="6"/>
  <c r="F87" i="6"/>
  <c r="F78" i="6"/>
  <c r="F80" i="6"/>
  <c r="F79" i="6"/>
  <c r="F63" i="6"/>
  <c r="F69" i="6" l="1"/>
  <c r="F64" i="6" l="1"/>
  <c r="F70" i="6"/>
  <c r="F65" i="6"/>
  <c r="F57" i="6"/>
  <c r="F49" i="6"/>
  <c r="F43" i="6"/>
  <c r="F36" i="6"/>
  <c r="F96" i="5"/>
  <c r="F11" i="6" l="1"/>
  <c r="F116" i="5"/>
  <c r="F118" i="5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6" i="6"/>
  <c r="D171" i="6"/>
  <c r="G170" i="6"/>
  <c r="G144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L6" i="6"/>
  <c r="L7" i="6" s="1"/>
  <c r="L8" i="6" s="1"/>
  <c r="L9" i="6" s="1"/>
  <c r="L10" i="6" s="1"/>
  <c r="G6" i="6"/>
  <c r="F171" i="6"/>
  <c r="Q5" i="6"/>
  <c r="G5" i="6"/>
  <c r="Q4" i="6"/>
  <c r="G4" i="6"/>
  <c r="N43" i="6" l="1"/>
  <c r="Q39" i="6"/>
  <c r="D175" i="6"/>
  <c r="F111" i="5"/>
  <c r="F98" i="5" l="1"/>
  <c r="F90" i="5"/>
  <c r="F91" i="5" l="1"/>
  <c r="F75" i="5" l="1"/>
  <c r="F77" i="5"/>
  <c r="F69" i="5"/>
  <c r="F66" i="5" l="1"/>
  <c r="F51" i="5"/>
  <c r="F47" i="5"/>
  <c r="F39" i="5"/>
  <c r="F34" i="5"/>
  <c r="F21" i="5"/>
  <c r="G21" i="5" s="1"/>
  <c r="F31" i="5"/>
  <c r="F6" i="5"/>
  <c r="F19" i="5"/>
  <c r="F15" i="5"/>
  <c r="L6" i="5" l="1"/>
  <c r="L7" i="5" s="1"/>
  <c r="L8" i="5" s="1"/>
  <c r="L9" i="5" s="1"/>
  <c r="L10" i="5" s="1"/>
  <c r="D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P39" i="5"/>
  <c r="N39" i="5"/>
  <c r="N43" i="5" s="1"/>
  <c r="G39" i="5"/>
  <c r="G38" i="5"/>
  <c r="Q37" i="5"/>
  <c r="G37" i="5"/>
  <c r="Q36" i="5"/>
  <c r="G36" i="5"/>
  <c r="Q35" i="5"/>
  <c r="G35" i="5"/>
  <c r="Q34" i="5"/>
  <c r="G34" i="5"/>
  <c r="Q33" i="5"/>
  <c r="G33" i="5"/>
  <c r="Q32" i="5"/>
  <c r="G32" i="5"/>
  <c r="Q31" i="5"/>
  <c r="G31" i="5"/>
  <c r="Q30" i="5"/>
  <c r="G30" i="5"/>
  <c r="Q29" i="5"/>
  <c r="G29" i="5"/>
  <c r="Q28" i="5"/>
  <c r="G28" i="5"/>
  <c r="Q27" i="5"/>
  <c r="G27" i="5"/>
  <c r="Q26" i="5"/>
  <c r="G26" i="5"/>
  <c r="Q25" i="5"/>
  <c r="G25" i="5"/>
  <c r="Q24" i="5"/>
  <c r="G24" i="5"/>
  <c r="G23" i="5"/>
  <c r="Q22" i="5"/>
  <c r="G22" i="5"/>
  <c r="Q21" i="5"/>
  <c r="Q20" i="5"/>
  <c r="G20" i="5"/>
  <c r="Q19" i="5"/>
  <c r="G19" i="5"/>
  <c r="Q18" i="5"/>
  <c r="G18" i="5"/>
  <c r="Q17" i="5"/>
  <c r="F126" i="5"/>
  <c r="Q16" i="5"/>
  <c r="G16" i="5"/>
  <c r="Q15" i="5"/>
  <c r="G15" i="5"/>
  <c r="Q14" i="5"/>
  <c r="G14" i="5"/>
  <c r="Q13" i="5"/>
  <c r="G13" i="5"/>
  <c r="Q12" i="5"/>
  <c r="G12" i="5"/>
  <c r="Q11" i="5"/>
  <c r="G11" i="5"/>
  <c r="Q10" i="5"/>
  <c r="G10" i="5"/>
  <c r="Q9" i="5"/>
  <c r="G9" i="5"/>
  <c r="Q8" i="5"/>
  <c r="G8" i="5"/>
  <c r="Q7" i="5"/>
  <c r="G7" i="5"/>
  <c r="Q6" i="5"/>
  <c r="G6" i="5"/>
  <c r="Q5" i="5"/>
  <c r="G5" i="5"/>
  <c r="Q4" i="5"/>
  <c r="G4" i="5"/>
  <c r="Q39" i="5" l="1"/>
  <c r="D130" i="5"/>
  <c r="G17" i="5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03" i="4" l="1"/>
  <c r="G104" i="4"/>
  <c r="G105" i="4"/>
  <c r="G106" i="4"/>
  <c r="G107" i="4"/>
  <c r="G108" i="4"/>
  <c r="G109" i="4"/>
  <c r="G110" i="4"/>
  <c r="G111" i="4"/>
  <c r="G102" i="4"/>
  <c r="G101" i="4"/>
  <c r="G100" i="4"/>
  <c r="G99" i="4"/>
  <c r="G98" i="4"/>
  <c r="G97" i="4"/>
  <c r="G96" i="4"/>
  <c r="G95" i="4"/>
  <c r="G94" i="4"/>
  <c r="G93" i="4"/>
  <c r="F64" i="4"/>
  <c r="F19" i="4" l="1"/>
  <c r="F84" i="3" l="1"/>
  <c r="F28" i="4"/>
  <c r="F17" i="4"/>
  <c r="D126" i="4"/>
  <c r="G125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P39" i="4"/>
  <c r="N39" i="4"/>
  <c r="N43" i="4" s="1"/>
  <c r="G39" i="4"/>
  <c r="G38" i="4"/>
  <c r="Q37" i="4"/>
  <c r="G37" i="4"/>
  <c r="Q36" i="4"/>
  <c r="G36" i="4"/>
  <c r="Q35" i="4"/>
  <c r="G35" i="4"/>
  <c r="Q34" i="4"/>
  <c r="G34" i="4"/>
  <c r="Q33" i="4"/>
  <c r="G33" i="4"/>
  <c r="Q32" i="4"/>
  <c r="G32" i="4"/>
  <c r="Q31" i="4"/>
  <c r="G31" i="4"/>
  <c r="Q30" i="4"/>
  <c r="G30" i="4"/>
  <c r="Q29" i="4"/>
  <c r="G29" i="4"/>
  <c r="Q28" i="4"/>
  <c r="G28" i="4"/>
  <c r="Q27" i="4"/>
  <c r="G27" i="4"/>
  <c r="Q26" i="4"/>
  <c r="G26" i="4"/>
  <c r="Q25" i="4"/>
  <c r="G25" i="4"/>
  <c r="Q24" i="4"/>
  <c r="G24" i="4"/>
  <c r="G23" i="4"/>
  <c r="Q22" i="4"/>
  <c r="G22" i="4"/>
  <c r="Q21" i="4"/>
  <c r="G21" i="4"/>
  <c r="Q20" i="4"/>
  <c r="G20" i="4"/>
  <c r="Q19" i="4"/>
  <c r="G19" i="4"/>
  <c r="Q18" i="4"/>
  <c r="G18" i="4"/>
  <c r="Q17" i="4"/>
  <c r="G17" i="4"/>
  <c r="Q16" i="4"/>
  <c r="G16" i="4"/>
  <c r="Q15" i="4"/>
  <c r="G15" i="4"/>
  <c r="Q14" i="4"/>
  <c r="G14" i="4"/>
  <c r="Q13" i="4"/>
  <c r="G13" i="4"/>
  <c r="Q12" i="4"/>
  <c r="G12" i="4"/>
  <c r="Q11" i="4"/>
  <c r="G11" i="4"/>
  <c r="Q10" i="4"/>
  <c r="G10" i="4"/>
  <c r="Q9" i="4"/>
  <c r="G9" i="4"/>
  <c r="Q8" i="4"/>
  <c r="G8" i="4"/>
  <c r="Q7" i="4"/>
  <c r="G7" i="4"/>
  <c r="Q6" i="4"/>
  <c r="G6" i="4"/>
  <c r="Q5" i="4"/>
  <c r="G5" i="4"/>
  <c r="F126" i="4"/>
  <c r="Q4" i="4"/>
  <c r="G4" i="4"/>
  <c r="D130" i="4" l="1"/>
  <c r="Q39" i="4"/>
  <c r="G85" i="3"/>
  <c r="G86" i="3"/>
  <c r="G87" i="3"/>
  <c r="G88" i="3"/>
  <c r="G89" i="3"/>
  <c r="G90" i="3"/>
  <c r="G91" i="3"/>
  <c r="G92" i="3"/>
  <c r="F59" i="3"/>
  <c r="F5" i="3" l="1"/>
  <c r="F94" i="3" l="1"/>
  <c r="D94" i="3"/>
  <c r="G93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Q39" i="3" l="1"/>
  <c r="N43" i="3"/>
  <c r="D98" i="3"/>
  <c r="G79" i="2"/>
  <c r="G80" i="2"/>
  <c r="G81" i="2"/>
  <c r="G82" i="2"/>
  <c r="G83" i="2"/>
  <c r="G84" i="2"/>
  <c r="G71" i="2" l="1"/>
  <c r="G72" i="2"/>
  <c r="G73" i="2"/>
  <c r="G74" i="2"/>
  <c r="G75" i="2"/>
  <c r="G76" i="2"/>
  <c r="G77" i="2"/>
  <c r="G78" i="2"/>
  <c r="F138" i="1" l="1"/>
  <c r="D86" i="2" l="1"/>
  <c r="G85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F86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90" i="2"/>
  <c r="G128" i="1" l="1"/>
  <c r="G129" i="1"/>
  <c r="G130" i="1"/>
  <c r="G131" i="1"/>
  <c r="G132" i="1"/>
  <c r="G133" i="1"/>
  <c r="G134" i="1"/>
  <c r="G135" i="1"/>
  <c r="G136" i="1"/>
  <c r="G137" i="1"/>
  <c r="G138" i="1"/>
  <c r="G139" i="1"/>
  <c r="G118" i="1" l="1"/>
  <c r="G119" i="1"/>
  <c r="G120" i="1"/>
  <c r="G121" i="1"/>
  <c r="G122" i="1"/>
  <c r="G123" i="1"/>
  <c r="G124" i="1"/>
  <c r="G125" i="1"/>
  <c r="G126" i="1"/>
  <c r="G127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F51" i="1" l="1"/>
  <c r="F28" i="1" l="1"/>
  <c r="F142" i="1" l="1"/>
  <c r="D142" i="1"/>
  <c r="G141" i="1"/>
  <c r="G140" i="1"/>
  <c r="G117" i="1"/>
  <c r="G116" i="1"/>
  <c r="G115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P39" i="1"/>
  <c r="N39" i="1"/>
  <c r="G39" i="1"/>
  <c r="G38" i="1"/>
  <c r="Q37" i="1"/>
  <c r="G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D146" i="1" l="1"/>
  <c r="Q39" i="1"/>
  <c r="N43" i="1"/>
</calcChain>
</file>

<file path=xl/sharedStrings.xml><?xml version="1.0" encoding="utf-8"?>
<sst xmlns="http://schemas.openxmlformats.org/spreadsheetml/2006/main" count="1651" uniqueCount="203">
  <si>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</si>
  <si>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</si>
  <si>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</si>
  <si>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</si>
  <si>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</si>
  <si>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</si>
  <si>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</si>
  <si>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EVARISTO</t>
  </si>
  <si>
    <t>DAVID</t>
  </si>
  <si>
    <t>EL PRIMO</t>
  </si>
  <si>
    <t>MARCELO</t>
  </si>
  <si>
    <t>GABRIEL</t>
  </si>
  <si>
    <t>PINKI</t>
  </si>
  <si>
    <t>JANET</t>
  </si>
  <si>
    <t>HUESO</t>
  </si>
  <si>
    <t>Importe Vendido</t>
  </si>
  <si>
    <t>Importe Cobrado</t>
  </si>
  <si>
    <t>IMPORTE POR COBRAR</t>
  </si>
  <si>
    <t>GUSTAVO</t>
  </si>
  <si>
    <t>REMISIONES     DE VENTA      DE     ENERO              2019</t>
  </si>
  <si>
    <t>SALIDAS      DE VENTA      DE    ENERO                  2019</t>
  </si>
  <si>
    <t>7-Ene --8-,Ene</t>
  </si>
  <si>
    <t>14-Ene--15-Ene</t>
  </si>
  <si>
    <t>ANDRES</t>
  </si>
  <si>
    <t>EL ASADOR MIXTECO</t>
  </si>
  <si>
    <t>OBRADOR</t>
  </si>
  <si>
    <t>CANCELADA</t>
  </si>
  <si>
    <t>FRANCISCO</t>
  </si>
  <si>
    <t>LUPITA</t>
  </si>
  <si>
    <t>SAMUEL</t>
  </si>
  <si>
    <t>REMISIONES     DE VENTA      DE   FEBRERO              2019</t>
  </si>
  <si>
    <t>SALIDAS      DE VENTA      DE    FEBRERO                   2019</t>
  </si>
  <si>
    <t>MORENO</t>
  </si>
  <si>
    <t>11-Feb---14-Feb</t>
  </si>
  <si>
    <t>NOE</t>
  </si>
  <si>
    <t>REMISIONES     DE VENTA      DE   MARZO              2019</t>
  </si>
  <si>
    <t>SALIDAS      DE VENTA      DE    MARZO                   2019</t>
  </si>
  <si>
    <t xml:space="preserve">11-Mar---13-Mar </t>
  </si>
  <si>
    <t>25-Mar--29-Mar</t>
  </si>
  <si>
    <t>REMISIONES     DE VENTA      DE   ABRIL              2019</t>
  </si>
  <si>
    <t>SALIDAS      DE VENTA      DE    ABRIL                   2019</t>
  </si>
  <si>
    <t>8-Abr-19--9-Abr-19</t>
  </si>
  <si>
    <t>8-Abr-19---9-Abr-19--15-Abr-19</t>
  </si>
  <si>
    <t>15-Abr--22-Abr</t>
  </si>
  <si>
    <t>ENRIQUE</t>
  </si>
  <si>
    <t>LA ESTRELLITA</t>
  </si>
  <si>
    <t>29-Abr--2-May</t>
  </si>
  <si>
    <t>REMISIONES     DE VENTA      DE   MAYO              2019</t>
  </si>
  <si>
    <t>SALIDAS      DE VENTA      DE    MAYO                   2019</t>
  </si>
  <si>
    <t>12-May--13-May</t>
  </si>
  <si>
    <t xml:space="preserve">12-May --15-May </t>
  </si>
  <si>
    <t>16-May--17-May</t>
  </si>
  <si>
    <t>15-May--18-May</t>
  </si>
  <si>
    <t>17-May--18-May</t>
  </si>
  <si>
    <t xml:space="preserve">18-May--19-May </t>
  </si>
  <si>
    <t>19-May--22-May</t>
  </si>
  <si>
    <t>23-May--25-May</t>
  </si>
  <si>
    <t>26-May--27-May</t>
  </si>
  <si>
    <t>27-May--28-May</t>
  </si>
  <si>
    <t>29-May--30-may</t>
  </si>
  <si>
    <t>1-Jun-2-Jun</t>
  </si>
  <si>
    <t>PACO</t>
  </si>
  <si>
    <t>2-Jun-4-Jun</t>
  </si>
  <si>
    <t>REMISIONES     DE VENTA      DE   J U N I O              2019</t>
  </si>
  <si>
    <t>SALIDAS      DE VENTA      DE     J U N I O                   2019</t>
  </si>
  <si>
    <t>7-Jun--8-Jun</t>
  </si>
  <si>
    <t>8-Jun-9-Jun</t>
  </si>
  <si>
    <t xml:space="preserve">8-Jun-9-Jun </t>
  </si>
  <si>
    <t>10-Jun --14-Jun</t>
  </si>
  <si>
    <t>13-Jun-14-Jun</t>
  </si>
  <si>
    <t>14-Jun-15-Jun</t>
  </si>
  <si>
    <t xml:space="preserve">15-Jun-16-Jun-17-Jun </t>
  </si>
  <si>
    <t>16-Jun-17-Jun --18-Jun</t>
  </si>
  <si>
    <t xml:space="preserve">17-Jun-18-Jun </t>
  </si>
  <si>
    <t>DIMINGO</t>
  </si>
  <si>
    <t xml:space="preserve">19-Jun-20-Jun </t>
  </si>
  <si>
    <t>19-Jun-21-Jun</t>
  </si>
  <si>
    <t>20-Jun-21-Jun</t>
  </si>
  <si>
    <t xml:space="preserve">20-Jun-21-Jun-22-Jun </t>
  </si>
  <si>
    <t>21-Jun-22-Jun</t>
  </si>
  <si>
    <t>22-Jun--23-Jun</t>
  </si>
  <si>
    <t>23-Jun-24-Jun</t>
  </si>
  <si>
    <t>24-Jun--25-Jun</t>
  </si>
  <si>
    <t>26-Jun--27-Jun</t>
  </si>
  <si>
    <t>28-Jun-30-Jun</t>
  </si>
  <si>
    <t>30-Jun-01-Jul</t>
  </si>
  <si>
    <t xml:space="preserve">26-Jun--27-Jun--28-Jun--03.-Jul </t>
  </si>
  <si>
    <t xml:space="preserve">1-Jul-3-Jul </t>
  </si>
  <si>
    <t xml:space="preserve">3-Jul-4-JUL </t>
  </si>
  <si>
    <t xml:space="preserve">2-Jul--4-Jul </t>
  </si>
  <si>
    <t xml:space="preserve"> </t>
  </si>
  <si>
    <t>5-JUN----8-JUN</t>
  </si>
  <si>
    <t>REMISIONES     DE VENTA      DE   J U L I O              2019</t>
  </si>
  <si>
    <t xml:space="preserve">3-Jul-5-JUL </t>
  </si>
  <si>
    <t xml:space="preserve">3-Jul-6-Jul </t>
  </si>
  <si>
    <t xml:space="preserve">4-Jul --5-Jul-6-Jul </t>
  </si>
  <si>
    <t xml:space="preserve">6-Jul -7-Jul </t>
  </si>
  <si>
    <t xml:space="preserve">6-Jul-8-Jul </t>
  </si>
  <si>
    <t xml:space="preserve">2-Jul--3-Jul--9-Jul </t>
  </si>
  <si>
    <t xml:space="preserve">8-Jul-9-Jul </t>
  </si>
  <si>
    <t>13-Jul-14-Jul</t>
  </si>
  <si>
    <t xml:space="preserve">9-Jul--15-Jul </t>
  </si>
  <si>
    <t xml:space="preserve">6-Jul --16-Jul </t>
  </si>
  <si>
    <t xml:space="preserve">17-Jul-19-Jul </t>
  </si>
  <si>
    <t xml:space="preserve">19-jul-20-Jul </t>
  </si>
  <si>
    <t xml:space="preserve">21-Jul --22-Jul </t>
  </si>
  <si>
    <t xml:space="preserve">16-Jul-24-Jul </t>
  </si>
  <si>
    <t>22-Jul-24-Jul --25-Jul</t>
  </si>
  <si>
    <t xml:space="preserve">23-Jul-24-Jul -25-Jul </t>
  </si>
  <si>
    <t xml:space="preserve">25-Jul 26-Jul </t>
  </si>
  <si>
    <t xml:space="preserve">24-Jul--30-Jul </t>
  </si>
  <si>
    <t xml:space="preserve">26-Jul -27-Jul --30-Jul </t>
  </si>
  <si>
    <t xml:space="preserve">29-Jul--31-Jul -01-*Ago </t>
  </si>
  <si>
    <t>2-Ago --3-Ago</t>
  </si>
  <si>
    <t>31-Jul --3-Ago --5-Ago</t>
  </si>
  <si>
    <t>30-Jul --31-Jul --01-Ago--5-Ago</t>
  </si>
  <si>
    <t>2-Ago --3-Ago--5-Ago</t>
  </si>
  <si>
    <t>SALIDAS      DE VENTA      DE     J U L I O                   2019</t>
  </si>
  <si>
    <t>REMISIONES     DE VENTA      DE   A G O S T O              2019</t>
  </si>
  <si>
    <t>SALIDAS      DE VENTA      DE     A G O S T O                    2019</t>
  </si>
  <si>
    <t>5-Ago --6-Ago</t>
  </si>
  <si>
    <t>30-Jul--7-Ago</t>
  </si>
  <si>
    <t>5-Ago--7-Ago</t>
  </si>
  <si>
    <t>7-Ago--8-Ago</t>
  </si>
  <si>
    <t>8-Ago-9-Ago</t>
  </si>
  <si>
    <t xml:space="preserve">9-Ago--10-Ago </t>
  </si>
  <si>
    <t xml:space="preserve">10-Ago-11-Ago </t>
  </si>
  <si>
    <t xml:space="preserve">11-Ago --12-Ago </t>
  </si>
  <si>
    <t>11-Ago-13-Ago</t>
  </si>
  <si>
    <t>8-Ago--15-Ago</t>
  </si>
  <si>
    <t>15-Ago--21-Ago</t>
  </si>
  <si>
    <t>18-Ago--21-Ago</t>
  </si>
  <si>
    <t>14-Ago--19-Ago--23-Ago</t>
  </si>
  <si>
    <t>5-Ago--20-Ago--24-Ago</t>
  </si>
  <si>
    <t>21-Ago--25-Ago--29-Ago</t>
  </si>
  <si>
    <t xml:space="preserve">23-Ago --24-Ago --29-Ago </t>
  </si>
  <si>
    <t>29-Ago--30-Ago</t>
  </si>
  <si>
    <t xml:space="preserve">29-Ago--2-Sep </t>
  </si>
  <si>
    <t>SALIDAS      DE VENTA      DE   S E P T I E M  B R E             2019</t>
  </si>
  <si>
    <t>3-Sept --4-Sept</t>
  </si>
  <si>
    <t>29-Ago--5-Sept</t>
  </si>
  <si>
    <t xml:space="preserve">2-Sept --6-Sept </t>
  </si>
  <si>
    <t>5-Sept--7-Sept</t>
  </si>
  <si>
    <t>7-Sept--9-Sept</t>
  </si>
  <si>
    <t xml:space="preserve">5-Sept--12-Sept </t>
  </si>
  <si>
    <t xml:space="preserve">13-Sept--14-Sept </t>
  </si>
  <si>
    <t>14-Sept--15-Sept</t>
  </si>
  <si>
    <t xml:space="preserve">11-Sept-16-Sept </t>
  </si>
  <si>
    <t xml:space="preserve">15-Sept--16-Sept </t>
  </si>
  <si>
    <t xml:space="preserve">16-Sept--18-Sept--19-Sept </t>
  </si>
  <si>
    <t>12-Sept--14-Sept--20-Sept</t>
  </si>
  <si>
    <t>20-Sept--22-Sept</t>
  </si>
  <si>
    <t>22-Sept-24-Sept</t>
  </si>
  <si>
    <t>25-Sept --26-Sept</t>
  </si>
  <si>
    <t>23-Sept--26-Sept</t>
  </si>
  <si>
    <t>20-Sept--25-Sept-27-Sept</t>
  </si>
  <si>
    <t xml:space="preserve">24-Sept--27-Sept </t>
  </si>
  <si>
    <t>AMADO</t>
  </si>
  <si>
    <t xml:space="preserve">27-Sept -1-Oct </t>
  </si>
  <si>
    <t>27-Sept-2-Oct</t>
  </si>
  <si>
    <t>REMISIONES     DE VENTA      DE  SEPTIEMBRE               2019</t>
  </si>
  <si>
    <t>REMISIONES     DE VENTA      DE   OCTUBRE             2019</t>
  </si>
  <si>
    <t xml:space="preserve">19-Sept --26-Sept --3-Oct </t>
  </si>
  <si>
    <t>03-Oct-19--4-Oct-19</t>
  </si>
  <si>
    <t xml:space="preserve">1-Oct--2-Oct--4-Oct </t>
  </si>
  <si>
    <t>2-Oct-6-Oct</t>
  </si>
  <si>
    <t>3-Oct-6-Oct</t>
  </si>
  <si>
    <t>4-Oct--8-Oct</t>
  </si>
  <si>
    <t>7-Oct--9-Oct</t>
  </si>
  <si>
    <t xml:space="preserve">10-Oct -11-Oct </t>
  </si>
  <si>
    <t xml:space="preserve">11-Oct --12-Oct </t>
  </si>
  <si>
    <t xml:space="preserve">12-Oct--13-Oct </t>
  </si>
  <si>
    <t xml:space="preserve">9-Oct--12-Oct --16-Oct </t>
  </si>
  <si>
    <t xml:space="preserve">13-Oct--16-Oct </t>
  </si>
  <si>
    <t xml:space="preserve">12-Oct--16-Oct </t>
  </si>
  <si>
    <t>15-Oct--16-Oct</t>
  </si>
  <si>
    <t xml:space="preserve">13-Oct--17-Oct </t>
  </si>
  <si>
    <t>SALIDAS      DE VENTA      DE   OCTUBRE            2019</t>
  </si>
  <si>
    <t>17-Oct--18-Oct</t>
  </si>
  <si>
    <t xml:space="preserve">18-Oct--19-Oct </t>
  </si>
  <si>
    <t xml:space="preserve">19-Oct--20-Oct </t>
  </si>
  <si>
    <t xml:space="preserve">20-Oct --21-Oct </t>
  </si>
  <si>
    <t xml:space="preserve">21-Oct--22-Oct </t>
  </si>
  <si>
    <t xml:space="preserve">19-Oct --22-Oct </t>
  </si>
  <si>
    <t>21-Oct--22-Oct --23-Oct</t>
  </si>
  <si>
    <t xml:space="preserve">22-Oct--23-Oct </t>
  </si>
  <si>
    <t>22-Oct --24-Oct --25-Oct</t>
  </si>
  <si>
    <t xml:space="preserve">24-Oct --25-Oct </t>
  </si>
  <si>
    <t xml:space="preserve">17-Oct-26-Oct </t>
  </si>
  <si>
    <t xml:space="preserve">25-Oct -26-Oct </t>
  </si>
  <si>
    <t>25-Oct -26-Oct --27-Oct</t>
  </si>
  <si>
    <t xml:space="preserve">25-Oct --27-Oct </t>
  </si>
  <si>
    <t xml:space="preserve">27-Oct --28-Oct </t>
  </si>
  <si>
    <t xml:space="preserve">26-Oct--28-Oct </t>
  </si>
  <si>
    <t>CENTRAL</t>
  </si>
  <si>
    <t>27-Oct--29-Oct</t>
  </si>
  <si>
    <t xml:space="preserve">29-Oct --30-Oct </t>
  </si>
  <si>
    <t xml:space="preserve">30-Oct --31-Oct </t>
  </si>
  <si>
    <t>1-Nov-2-Nov</t>
  </si>
  <si>
    <t xml:space="preserve">26-Oct --3-Nov </t>
  </si>
  <si>
    <t xml:space="preserve">2-Nov --3-Nov </t>
  </si>
  <si>
    <t xml:space="preserve">3-Nov-4-Nov </t>
  </si>
  <si>
    <t xml:space="preserve">2-Nov --3-Nov --4-Nov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</si>
</sst>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993300"/>
      <name val="Calibri"/>
      <family val="2"/>
      <scheme val="minor"/>
    </font>
    <font>
      <b/>
      <sz val="10"/>
      <color rgb="FF9933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6">
    <xf numFmtId="0" fontId="0" fillId="0" borderId="0" xfId="0"/>
    <xf numFmtId="164" fontId="0" fillId="0" borderId="0" xfId="0" applyNumberFormat="1" applyAlignment="1">
      <alignment horizontal="center"/>
    </xf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44" fontId="2" fillId="0" borderId="2" xfId="1" applyFont="1" applyBorder="1" applyAlignment="1">
      <alignment horizontal="center"/>
    </xf>
    <xf numFmtId="165" fontId="2" fillId="0" borderId="2" xfId="0" applyNumberFormat="1" applyFont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44" fontId="2" fillId="0" borderId="0" xfId="1" applyFont="1"/>
    <xf numFmtId="166" fontId="2" fillId="0" borderId="3" xfId="0" applyNumberFormat="1" applyFont="1" applyBorder="1"/>
    <xf numFmtId="0" fontId="8" fillId="0" borderId="0" xfId="0" applyFont="1" applyAlignment="1">
      <alignment horizontal="center" vertical="center"/>
    </xf>
    <xf numFmtId="164" fontId="2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/>
    <xf numFmtId="44" fontId="2" fillId="0" borderId="5" xfId="1" applyFont="1" applyBorder="1"/>
    <xf numFmtId="166" fontId="2" fillId="0" borderId="6" xfId="0" applyNumberFormat="1" applyFont="1" applyBorder="1"/>
    <xf numFmtId="0" fontId="8" fillId="0" borderId="4" xfId="0" applyFont="1" applyBorder="1" applyAlignment="1">
      <alignment horizontal="center"/>
    </xf>
    <xf numFmtId="0" fontId="4" fillId="0" borderId="4" xfId="0" applyFont="1" applyBorder="1"/>
    <xf numFmtId="44" fontId="4" fillId="0" borderId="5" xfId="1" applyFont="1" applyBorder="1"/>
    <xf numFmtId="0" fontId="9" fillId="0" borderId="4" xfId="0" applyFont="1" applyBorder="1"/>
    <xf numFmtId="0" fontId="10" fillId="0" borderId="4" xfId="0" applyFont="1" applyBorder="1"/>
    <xf numFmtId="44" fontId="10" fillId="0" borderId="5" xfId="1" applyFont="1" applyBorder="1"/>
    <xf numFmtId="0" fontId="2" fillId="0" borderId="4" xfId="0" applyFont="1" applyBorder="1" applyAlignment="1">
      <alignment horizontal="center"/>
    </xf>
    <xf numFmtId="44" fontId="2" fillId="0" borderId="4" xfId="1" applyFont="1" applyBorder="1"/>
    <xf numFmtId="165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7" xfId="1" applyFont="1" applyBorder="1"/>
    <xf numFmtId="165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44" fontId="0" fillId="3" borderId="0" xfId="1" applyFont="1" applyFill="1"/>
    <xf numFmtId="166" fontId="4" fillId="0" borderId="0" xfId="0" applyNumberFormat="1" applyFont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166" fontId="2" fillId="0" borderId="0" xfId="0" applyNumberFormat="1" applyFont="1"/>
    <xf numFmtId="164" fontId="2" fillId="0" borderId="4" xfId="0" applyNumberFormat="1" applyFont="1" applyBorder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5" fontId="15" fillId="4" borderId="0" xfId="0" applyNumberFormat="1" applyFont="1" applyFill="1" applyAlignment="1">
      <alignment horizontal="center"/>
    </xf>
    <xf numFmtId="44" fontId="15" fillId="4" borderId="0" xfId="1" applyFont="1" applyFill="1"/>
    <xf numFmtId="0" fontId="15" fillId="0" borderId="4" xfId="0" applyFont="1" applyBorder="1"/>
    <xf numFmtId="44" fontId="15" fillId="0" borderId="4" xfId="1" applyFont="1" applyBorder="1"/>
    <xf numFmtId="165" fontId="16" fillId="0" borderId="0" xfId="0" applyNumberFormat="1" applyFont="1" applyAlignment="1">
      <alignment horizontal="center"/>
    </xf>
    <xf numFmtId="44" fontId="16" fillId="0" borderId="0" xfId="1" applyFont="1"/>
    <xf numFmtId="0" fontId="8" fillId="0" borderId="4" xfId="0" applyFont="1" applyBorder="1"/>
    <xf numFmtId="44" fontId="15" fillId="0" borderId="5" xfId="1" applyFont="1" applyBorder="1"/>
    <xf numFmtId="164" fontId="15" fillId="0" borderId="4" xfId="0" applyNumberFormat="1" applyFont="1" applyBorder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4" xfId="0" applyFont="1" applyFill="1" applyBorder="1"/>
    <xf numFmtId="44" fontId="2" fillId="7" borderId="4" xfId="1" applyFont="1" applyFill="1" applyBorder="1"/>
    <xf numFmtId="165" fontId="2" fillId="7" borderId="0" xfId="0" applyNumberFormat="1" applyFont="1" applyFill="1" applyAlignment="1">
      <alignment horizontal="center"/>
    </xf>
    <xf numFmtId="44" fontId="2" fillId="7" borderId="0" xfId="1" applyFont="1" applyFill="1"/>
    <xf numFmtId="166" fontId="2" fillId="7" borderId="6" xfId="0" applyNumberFormat="1" applyFont="1" applyFill="1" applyBorder="1"/>
    <xf numFmtId="165" fontId="15" fillId="0" borderId="0" xfId="0" applyNumberFormat="1" applyFont="1" applyAlignment="1">
      <alignment horizontal="center"/>
    </xf>
    <xf numFmtId="44" fontId="15" fillId="0" borderId="0" xfId="1" applyFont="1"/>
    <xf numFmtId="165" fontId="2" fillId="0" borderId="0" xfId="0" applyNumberFormat="1" applyFont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4" xfId="1" applyFont="1" applyFill="1" applyBorder="1"/>
    <xf numFmtId="0" fontId="0" fillId="0" borderId="0" xfId="0" applyAlignment="1">
      <alignment wrapText="1"/>
    </xf>
    <xf numFmtId="165" fontId="17" fillId="4" borderId="0" xfId="0" applyNumberFormat="1" applyFont="1" applyFill="1" applyAlignment="1">
      <alignment horizontal="center"/>
    </xf>
    <xf numFmtId="44" fontId="17" fillId="4" borderId="0" xfId="1" applyFont="1" applyFill="1"/>
    <xf numFmtId="166" fontId="2" fillId="0" borderId="6" xfId="0" applyNumberFormat="1" applyFont="1" applyFill="1" applyBorder="1"/>
    <xf numFmtId="165" fontId="18" fillId="4" borderId="0" xfId="0" applyNumberFormat="1" applyFont="1" applyFill="1" applyAlignment="1">
      <alignment horizontal="center" wrapText="1"/>
    </xf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44" fontId="2" fillId="8" borderId="4" xfId="1" applyFont="1" applyFill="1" applyBorder="1"/>
    <xf numFmtId="164" fontId="2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4" fontId="2" fillId="0" borderId="0" xfId="1" applyFont="1" applyFill="1" applyAlignment="1">
      <alignment horizontal="center" vertical="center"/>
    </xf>
    <xf numFmtId="44" fontId="2" fillId="0" borderId="5" xfId="1" applyFont="1" applyFill="1" applyBorder="1"/>
    <xf numFmtId="165" fontId="2" fillId="0" borderId="0" xfId="0" applyNumberFormat="1" applyFont="1" applyFill="1" applyAlignment="1">
      <alignment horizontal="center" wrapText="1"/>
    </xf>
    <xf numFmtId="0" fontId="4" fillId="0" borderId="4" xfId="0" applyFont="1" applyFill="1" applyBorder="1"/>
    <xf numFmtId="44" fontId="15" fillId="0" borderId="0" xfId="1" applyFont="1" applyFill="1"/>
    <xf numFmtId="165" fontId="0" fillId="3" borderId="1" xfId="0" applyNumberForma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center" wrapText="1"/>
    </xf>
    <xf numFmtId="165" fontId="15" fillId="0" borderId="0" xfId="0" applyNumberFormat="1" applyFont="1" applyFill="1" applyAlignment="1">
      <alignment horizontal="center" wrapText="1"/>
    </xf>
    <xf numFmtId="165" fontId="0" fillId="0" borderId="7" xfId="0" applyNumberFormat="1" applyBorder="1" applyAlignment="1">
      <alignment horizontal="center" wrapText="1"/>
    </xf>
    <xf numFmtId="165" fontId="0" fillId="3" borderId="0" xfId="0" applyNumberFormat="1" applyFill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15" fillId="4" borderId="0" xfId="0" applyNumberFormat="1" applyFont="1" applyFill="1" applyAlignment="1">
      <alignment horizontal="center" wrapText="1"/>
    </xf>
    <xf numFmtId="0" fontId="9" fillId="0" borderId="4" xfId="0" applyFont="1" applyFill="1" applyBorder="1"/>
    <xf numFmtId="44" fontId="9" fillId="0" borderId="4" xfId="1" applyFont="1" applyFill="1" applyBorder="1"/>
    <xf numFmtId="0" fontId="0" fillId="0" borderId="0" xfId="0" applyFill="1"/>
    <xf numFmtId="166" fontId="15" fillId="0" borderId="6" xfId="0" applyNumberFormat="1" applyFont="1" applyFill="1" applyBorder="1"/>
    <xf numFmtId="16" fontId="2" fillId="0" borderId="4" xfId="0" applyNumberFormat="1" applyFont="1" applyFill="1" applyBorder="1"/>
    <xf numFmtId="44" fontId="4" fillId="0" borderId="4" xfId="1" applyFont="1" applyFill="1" applyBorder="1"/>
    <xf numFmtId="0" fontId="19" fillId="0" borderId="4" xfId="0" applyFont="1" applyBorder="1"/>
    <xf numFmtId="44" fontId="15" fillId="9" borderId="0" xfId="1" applyFont="1" applyFill="1"/>
    <xf numFmtId="44" fontId="2" fillId="9" borderId="0" xfId="1" applyFont="1" applyFill="1"/>
    <xf numFmtId="0" fontId="0" fillId="0" borderId="1" xfId="0" applyFill="1" applyBorder="1"/>
    <xf numFmtId="0" fontId="7" fillId="0" borderId="2" xfId="0" applyFont="1" applyFill="1" applyBorder="1" applyAlignment="1">
      <alignment horizontal="center"/>
    </xf>
    <xf numFmtId="166" fontId="2" fillId="0" borderId="3" xfId="0" applyNumberFormat="1" applyFont="1" applyFill="1" applyBorder="1"/>
    <xf numFmtId="166" fontId="0" fillId="0" borderId="0" xfId="0" applyNumberFormat="1" applyFill="1"/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44" fontId="11" fillId="3" borderId="4" xfId="1" applyFont="1" applyFill="1" applyBorder="1" applyAlignment="1">
      <alignment horizontal="center" wrapText="1"/>
    </xf>
    <xf numFmtId="44" fontId="12" fillId="3" borderId="4" xfId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00FFFF"/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142</xdr:row>
      <xdr:rowOff>152402</xdr:rowOff>
    </xdr:from>
    <xdr:to>
      <xdr:col>4</xdr:col>
      <xdr:colOff>180974</xdr:colOff>
      <xdr:row>144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3514727" y="313753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142</xdr:row>
      <xdr:rowOff>123829</xdr:rowOff>
    </xdr:from>
    <xdr:to>
      <xdr:col>5</xdr:col>
      <xdr:colOff>171450</xdr:colOff>
      <xdr:row>144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395790" y="31418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19157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26396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16BFC0D-07D8-4D2B-976A-1419BF82DC93}"/>
            </a:ext>
          </a:extLst>
        </xdr:cNvPr>
        <xdr:cNvCxnSpPr/>
      </xdr:nvCxnSpPr>
      <xdr:spPr>
        <a:xfrm rot="16200000" flipH="1">
          <a:off x="3514727" y="261461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2C7492F9-13BD-41F5-85D3-336123F3DF25}"/>
            </a:ext>
          </a:extLst>
        </xdr:cNvPr>
        <xdr:cNvCxnSpPr/>
      </xdr:nvCxnSpPr>
      <xdr:spPr>
        <a:xfrm rot="5400000">
          <a:off x="4395790" y="261889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FF6EC346-5009-4862-B103-115A905DF47E}"/>
            </a:ext>
          </a:extLst>
        </xdr:cNvPr>
        <xdr:cNvCxnSpPr/>
      </xdr:nvCxnSpPr>
      <xdr:spPr>
        <a:xfrm rot="16200000" flipH="1">
          <a:off x="11849102" y="9334503"/>
          <a:ext cx="7810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2DE647D9-BBAA-4C00-B86C-68C875A3A25A}"/>
            </a:ext>
          </a:extLst>
        </xdr:cNvPr>
        <xdr:cNvCxnSpPr/>
      </xdr:nvCxnSpPr>
      <xdr:spPr>
        <a:xfrm rot="5400000">
          <a:off x="12615865" y="9377366"/>
          <a:ext cx="8381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22DBF1D-4AC0-4705-92B5-AA14373B3804}"/>
            </a:ext>
          </a:extLst>
        </xdr:cNvPr>
        <xdr:cNvCxnSpPr/>
      </xdr:nvCxnSpPr>
      <xdr:spPr>
        <a:xfrm rot="16200000" flipH="1">
          <a:off x="3624265" y="30604780"/>
          <a:ext cx="529587" cy="6000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0CAC3F95-BF28-48A5-AA9A-E4CB1C5CB841}"/>
            </a:ext>
          </a:extLst>
        </xdr:cNvPr>
        <xdr:cNvCxnSpPr/>
      </xdr:nvCxnSpPr>
      <xdr:spPr>
        <a:xfrm rot="5400000">
          <a:off x="4531045" y="30650501"/>
          <a:ext cx="586738" cy="5086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17D170-E2B9-4BAA-A7F0-BF81E753A7F2}"/>
            </a:ext>
          </a:extLst>
        </xdr:cNvPr>
        <xdr:cNvCxnSpPr/>
      </xdr:nvCxnSpPr>
      <xdr:spPr>
        <a:xfrm rot="16200000" flipH="1">
          <a:off x="12276775" y="8243890"/>
          <a:ext cx="544827" cy="39433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E55919F5-0792-4286-B57F-CF4994244A33}"/>
            </a:ext>
          </a:extLst>
        </xdr:cNvPr>
        <xdr:cNvCxnSpPr/>
      </xdr:nvCxnSpPr>
      <xdr:spPr>
        <a:xfrm rot="5400000">
          <a:off x="13023535" y="8243891"/>
          <a:ext cx="601978" cy="39433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94</xdr:row>
      <xdr:rowOff>152402</xdr:rowOff>
    </xdr:from>
    <xdr:to>
      <xdr:col>4</xdr:col>
      <xdr:colOff>180974</xdr:colOff>
      <xdr:row>96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111357EF-380F-443F-B055-EFBE5165A868}"/>
            </a:ext>
          </a:extLst>
        </xdr:cNvPr>
        <xdr:cNvCxnSpPr/>
      </xdr:nvCxnSpPr>
      <xdr:spPr>
        <a:xfrm rot="16200000" flipH="1">
          <a:off x="3524252" y="179736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94</xdr:row>
      <xdr:rowOff>123829</xdr:rowOff>
    </xdr:from>
    <xdr:to>
      <xdr:col>5</xdr:col>
      <xdr:colOff>171450</xdr:colOff>
      <xdr:row>96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71200FD-8F09-4037-A396-EE1F993D8FC4}"/>
            </a:ext>
          </a:extLst>
        </xdr:cNvPr>
        <xdr:cNvCxnSpPr/>
      </xdr:nvCxnSpPr>
      <xdr:spPr>
        <a:xfrm rot="5400000">
          <a:off x="4405315" y="180165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1ADB1BDB-B547-4EC2-9C64-7D8B37CC3A9E}"/>
            </a:ext>
          </a:extLst>
        </xdr:cNvPr>
        <xdr:cNvCxnSpPr/>
      </xdr:nvCxnSpPr>
      <xdr:spPr>
        <a:xfrm rot="16200000" flipH="1">
          <a:off x="1193482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7A39A26E-0242-4889-A3EF-E7E0B0EDAA33}"/>
            </a:ext>
          </a:extLst>
        </xdr:cNvPr>
        <xdr:cNvCxnSpPr/>
      </xdr:nvCxnSpPr>
      <xdr:spPr>
        <a:xfrm rot="5400000">
          <a:off x="12663489" y="8358192"/>
          <a:ext cx="619123" cy="3809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5B8CD39-E2CD-4913-A685-59E96E3BAB6C}"/>
            </a:ext>
          </a:extLst>
        </xdr:cNvPr>
        <xdr:cNvCxnSpPr/>
      </xdr:nvCxnSpPr>
      <xdr:spPr>
        <a:xfrm rot="16200000" flipH="1">
          <a:off x="3514727" y="199358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E069058E-51FA-48BA-A0B5-EB61FF2C4A13}"/>
            </a:ext>
          </a:extLst>
        </xdr:cNvPr>
        <xdr:cNvCxnSpPr/>
      </xdr:nvCxnSpPr>
      <xdr:spPr>
        <a:xfrm rot="5400000">
          <a:off x="4395790" y="199786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0AD5446-78A0-4287-9850-BF5BA167C3EB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C0B4193B-F7E5-491C-BF12-807EC7F271FC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126</xdr:row>
      <xdr:rowOff>152402</xdr:rowOff>
    </xdr:from>
    <xdr:to>
      <xdr:col>4</xdr:col>
      <xdr:colOff>180974</xdr:colOff>
      <xdr:row>128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5908D805-B60B-41A7-98C1-695348CAD2BD}"/>
            </a:ext>
          </a:extLst>
        </xdr:cNvPr>
        <xdr:cNvCxnSpPr/>
      </xdr:nvCxnSpPr>
      <xdr:spPr>
        <a:xfrm rot="16200000" flipH="1">
          <a:off x="3514727" y="2615565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126</xdr:row>
      <xdr:rowOff>123829</xdr:rowOff>
    </xdr:from>
    <xdr:to>
      <xdr:col>5</xdr:col>
      <xdr:colOff>171450</xdr:colOff>
      <xdr:row>128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B11DC2BC-A517-4503-A295-46065D17A631}"/>
            </a:ext>
          </a:extLst>
        </xdr:cNvPr>
        <xdr:cNvCxnSpPr/>
      </xdr:nvCxnSpPr>
      <xdr:spPr>
        <a:xfrm rot="5400000">
          <a:off x="4395790" y="261985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A201389-E022-4729-85BA-D1BAB72B9EA4}"/>
            </a:ext>
          </a:extLst>
        </xdr:cNvPr>
        <xdr:cNvCxnSpPr/>
      </xdr:nvCxnSpPr>
      <xdr:spPr>
        <a:xfrm rot="16200000" flipH="1">
          <a:off x="11915778" y="854392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870AA32-62A6-4FC0-A6F5-E80901A6276F}"/>
            </a:ext>
          </a:extLst>
        </xdr:cNvPr>
        <xdr:cNvCxnSpPr/>
      </xdr:nvCxnSpPr>
      <xdr:spPr>
        <a:xfrm rot="5400000">
          <a:off x="12639677" y="854392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171</xdr:row>
      <xdr:rowOff>152402</xdr:rowOff>
    </xdr:from>
    <xdr:to>
      <xdr:col>4</xdr:col>
      <xdr:colOff>180974</xdr:colOff>
      <xdr:row>173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FD2F87F1-8E6B-4F0B-9C1E-3919A4F248D8}"/>
            </a:ext>
          </a:extLst>
        </xdr:cNvPr>
        <xdr:cNvCxnSpPr/>
      </xdr:nvCxnSpPr>
      <xdr:spPr>
        <a:xfrm rot="16200000" flipH="1">
          <a:off x="3514727" y="281463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171</xdr:row>
      <xdr:rowOff>123829</xdr:rowOff>
    </xdr:from>
    <xdr:to>
      <xdr:col>5</xdr:col>
      <xdr:colOff>171450</xdr:colOff>
      <xdr:row>173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E758666-571D-418B-8958-3DCEBD3893AF}"/>
            </a:ext>
          </a:extLst>
        </xdr:cNvPr>
        <xdr:cNvCxnSpPr/>
      </xdr:nvCxnSpPr>
      <xdr:spPr>
        <a:xfrm rot="5400000">
          <a:off x="4395790" y="281892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9922AEF7-9E57-4FE8-8C4D-32742820BA25}"/>
            </a:ext>
          </a:extLst>
        </xdr:cNvPr>
        <xdr:cNvCxnSpPr/>
      </xdr:nvCxnSpPr>
      <xdr:spPr>
        <a:xfrm rot="16200000" flipH="1">
          <a:off x="11915778" y="9629777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B5974208-6740-4E7E-BD65-BC2B7DB1387D}"/>
            </a:ext>
          </a:extLst>
        </xdr:cNvPr>
        <xdr:cNvCxnSpPr/>
      </xdr:nvCxnSpPr>
      <xdr:spPr>
        <a:xfrm rot="5400000">
          <a:off x="12639677" y="9629779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143</xdr:row>
      <xdr:rowOff>152402</xdr:rowOff>
    </xdr:from>
    <xdr:to>
      <xdr:col>4</xdr:col>
      <xdr:colOff>180974</xdr:colOff>
      <xdr:row>145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D67F5F6D-1FD2-4C7C-9378-AE0850B6FA16}"/>
            </a:ext>
          </a:extLst>
        </xdr:cNvPr>
        <xdr:cNvCxnSpPr/>
      </xdr:nvCxnSpPr>
      <xdr:spPr>
        <a:xfrm rot="16200000" flipH="1">
          <a:off x="3514727" y="36614103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143</xdr:row>
      <xdr:rowOff>123829</xdr:rowOff>
    </xdr:from>
    <xdr:to>
      <xdr:col>5</xdr:col>
      <xdr:colOff>171450</xdr:colOff>
      <xdr:row>145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1630E53E-AB57-4995-978C-9B17598ADB99}"/>
            </a:ext>
          </a:extLst>
        </xdr:cNvPr>
        <xdr:cNvCxnSpPr/>
      </xdr:nvCxnSpPr>
      <xdr:spPr>
        <a:xfrm rot="5400000">
          <a:off x="4395790" y="3665696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75D4122F-FCC2-48A2-B196-6FBD1A19E3A2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386EF558-8D28-42F3-9C9D-BD225F6792AC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111</xdr:row>
      <xdr:rowOff>152402</xdr:rowOff>
    </xdr:from>
    <xdr:to>
      <xdr:col>4</xdr:col>
      <xdr:colOff>180974</xdr:colOff>
      <xdr:row>113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4213D6D6-738C-4EDA-BB5B-403F851C2F5B}"/>
            </a:ext>
          </a:extLst>
        </xdr:cNvPr>
        <xdr:cNvCxnSpPr/>
      </xdr:nvCxnSpPr>
      <xdr:spPr>
        <a:xfrm rot="16200000" flipH="1">
          <a:off x="3514727" y="3083242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111</xdr:row>
      <xdr:rowOff>123829</xdr:rowOff>
    </xdr:from>
    <xdr:to>
      <xdr:col>5</xdr:col>
      <xdr:colOff>171450</xdr:colOff>
      <xdr:row>113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5FA156DF-3FDC-4477-8A45-FEAA49446F90}"/>
            </a:ext>
          </a:extLst>
        </xdr:cNvPr>
        <xdr:cNvCxnSpPr/>
      </xdr:nvCxnSpPr>
      <xdr:spPr>
        <a:xfrm rot="5400000">
          <a:off x="4395790" y="3087529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E1D3484E-8631-4F2F-AA23-F195153E0B64}"/>
            </a:ext>
          </a:extLst>
        </xdr:cNvPr>
        <xdr:cNvCxnSpPr/>
      </xdr:nvCxnSpPr>
      <xdr:spPr>
        <a:xfrm rot="16200000" flipH="1">
          <a:off x="11958640" y="8320090"/>
          <a:ext cx="561972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8D5AD11A-4528-4799-87A1-A81B9D6DF65F}"/>
            </a:ext>
          </a:extLst>
        </xdr:cNvPr>
        <xdr:cNvCxnSpPr/>
      </xdr:nvCxnSpPr>
      <xdr:spPr>
        <a:xfrm rot="5400000">
          <a:off x="12725402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115</xdr:row>
      <xdr:rowOff>152402</xdr:rowOff>
    </xdr:from>
    <xdr:to>
      <xdr:col>4</xdr:col>
      <xdr:colOff>180974</xdr:colOff>
      <xdr:row>117</xdr:row>
      <xdr:rowOff>133349</xdr:rowOff>
    </xdr:to>
    <xdr:cxnSp macro="">
      <xdr:nvCxnSpPr>
        <xdr:cNvPr id="2" name="3 Conector recto de flecha">
          <a:extLst>
            <a:ext uri="{FF2B5EF4-FFF2-40B4-BE49-F238E27FC236}">
              <a16:creationId xmlns:a16="http://schemas.microsoft.com/office/drawing/2014/main" id="{EA9B1D52-C5B3-4A59-B600-5AE2816F729E}"/>
            </a:ext>
          </a:extLst>
        </xdr:cNvPr>
        <xdr:cNvCxnSpPr/>
      </xdr:nvCxnSpPr>
      <xdr:spPr>
        <a:xfrm rot="16200000" flipH="1">
          <a:off x="3514727" y="24641178"/>
          <a:ext cx="552447" cy="5714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115</xdr:row>
      <xdr:rowOff>123829</xdr:rowOff>
    </xdr:from>
    <xdr:to>
      <xdr:col>5</xdr:col>
      <xdr:colOff>171450</xdr:colOff>
      <xdr:row>117</xdr:row>
      <xdr:rowOff>161927</xdr:rowOff>
    </xdr:to>
    <xdr:cxnSp macro="">
      <xdr:nvCxnSpPr>
        <xdr:cNvPr id="3" name="4 Conector recto de flecha">
          <a:extLst>
            <a:ext uri="{FF2B5EF4-FFF2-40B4-BE49-F238E27FC236}">
              <a16:creationId xmlns:a16="http://schemas.microsoft.com/office/drawing/2014/main" id="{D816829C-C788-4C64-AD0E-0B56B3C581BC}"/>
            </a:ext>
          </a:extLst>
        </xdr:cNvPr>
        <xdr:cNvCxnSpPr/>
      </xdr:nvCxnSpPr>
      <xdr:spPr>
        <a:xfrm rot="5400000">
          <a:off x="4395790" y="24684041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43</xdr:row>
      <xdr:rowOff>133349</xdr:rowOff>
    </xdr:to>
    <xdr:cxnSp macro="">
      <xdr:nvCxnSpPr>
        <xdr:cNvPr id="4" name="3 Conector recto de flecha">
          <a:extLst>
            <a:ext uri="{FF2B5EF4-FFF2-40B4-BE49-F238E27FC236}">
              <a16:creationId xmlns:a16="http://schemas.microsoft.com/office/drawing/2014/main" id="{465F41C2-1CCD-46BD-9BFD-70E5A2F86A1E}"/>
            </a:ext>
          </a:extLst>
        </xdr:cNvPr>
        <xdr:cNvCxnSpPr/>
      </xdr:nvCxnSpPr>
      <xdr:spPr>
        <a:xfrm rot="16200000" flipH="1">
          <a:off x="11849102" y="9734553"/>
          <a:ext cx="7810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43</xdr:row>
      <xdr:rowOff>161927</xdr:rowOff>
    </xdr:to>
    <xdr:cxnSp macro="">
      <xdr:nvCxnSpPr>
        <xdr:cNvPr id="5" name="4 Conector recto de flecha">
          <a:extLst>
            <a:ext uri="{FF2B5EF4-FFF2-40B4-BE49-F238E27FC236}">
              <a16:creationId xmlns:a16="http://schemas.microsoft.com/office/drawing/2014/main" id="{0E211A35-5E47-4715-95A1-A2BB802D0F80}"/>
            </a:ext>
          </a:extLst>
        </xdr:cNvPr>
        <xdr:cNvCxnSpPr/>
      </xdr:nvCxnSpPr>
      <xdr:spPr>
        <a:xfrm rot="5400000">
          <a:off x="12615865" y="9777416"/>
          <a:ext cx="8381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59"/>
  <sheetViews>
    <sheetView workbookViewId="0">
      <pane ySplit="3" topLeftCell="A134" activePane="bottomLeft" state="frozen"/>
      <selection pane="bottomLeft" activeCell="B148" sqref="B14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19</v>
      </c>
      <c r="C1" s="130"/>
      <c r="D1" s="130"/>
      <c r="E1" s="130"/>
      <c r="F1" s="130"/>
      <c r="H1" s="2"/>
      <c r="K1" s="3"/>
      <c r="L1" s="131" t="s">
        <v>20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7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43467</v>
      </c>
      <c r="B4" s="21">
        <v>3228</v>
      </c>
      <c r="C4" s="22" t="s">
        <v>11</v>
      </c>
      <c r="D4" s="23">
        <v>15786.03</v>
      </c>
      <c r="E4" s="24">
        <v>43467</v>
      </c>
      <c r="F4" s="25">
        <v>15786.03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43467</v>
      </c>
      <c r="B5" s="29">
        <v>3229</v>
      </c>
      <c r="C5" s="30" t="s">
        <v>11</v>
      </c>
      <c r="D5" s="31">
        <v>7514.15</v>
      </c>
      <c r="E5" s="24">
        <v>43467</v>
      </c>
      <c r="F5" s="25">
        <v>7514.15</v>
      </c>
      <c r="G5" s="32">
        <f>D5-F5</f>
        <v>0</v>
      </c>
      <c r="H5" s="2"/>
      <c r="K5" s="28">
        <v>43468</v>
      </c>
      <c r="L5" s="33">
        <v>171</v>
      </c>
      <c r="M5" s="34" t="s">
        <v>25</v>
      </c>
      <c r="N5" s="31">
        <v>2645</v>
      </c>
      <c r="O5" s="24"/>
      <c r="P5" s="25"/>
      <c r="Q5" s="32">
        <f>N5-P5</f>
        <v>2645</v>
      </c>
    </row>
    <row r="6" spans="1:17" ht="15.75" x14ac:dyDescent="0.25">
      <c r="A6" s="28">
        <v>43467</v>
      </c>
      <c r="B6" s="29">
        <v>3230</v>
      </c>
      <c r="C6" s="34" t="s">
        <v>8</v>
      </c>
      <c r="D6" s="31">
        <v>4347.2</v>
      </c>
      <c r="E6" s="24">
        <v>43467</v>
      </c>
      <c r="F6" s="25">
        <v>4347.2</v>
      </c>
      <c r="G6" s="32">
        <f>D6-F6</f>
        <v>0</v>
      </c>
      <c r="H6" s="2"/>
      <c r="K6" s="28">
        <v>43470</v>
      </c>
      <c r="L6" s="33">
        <v>172</v>
      </c>
      <c r="M6" s="34" t="s">
        <v>25</v>
      </c>
      <c r="N6" s="35">
        <v>4213</v>
      </c>
      <c r="O6" s="24"/>
      <c r="P6" s="25"/>
      <c r="Q6" s="32">
        <f>N6-P6</f>
        <v>4213</v>
      </c>
    </row>
    <row r="7" spans="1:17" ht="15.75" x14ac:dyDescent="0.25">
      <c r="A7" s="28">
        <v>43467</v>
      </c>
      <c r="B7" s="29">
        <v>3231</v>
      </c>
      <c r="C7" s="30" t="s">
        <v>9</v>
      </c>
      <c r="D7" s="31">
        <v>5104</v>
      </c>
      <c r="E7" s="24">
        <v>43467</v>
      </c>
      <c r="F7" s="25">
        <v>5104</v>
      </c>
      <c r="G7" s="32">
        <f t="shared" ref="G7:G141" si="0">D7-F7</f>
        <v>0</v>
      </c>
      <c r="H7" s="2"/>
      <c r="K7" s="28">
        <v>43473</v>
      </c>
      <c r="L7" s="33">
        <v>173</v>
      </c>
      <c r="M7" s="30" t="s">
        <v>25</v>
      </c>
      <c r="N7" s="31">
        <v>2937.6</v>
      </c>
      <c r="O7" s="24"/>
      <c r="P7" s="25"/>
      <c r="Q7" s="32">
        <f t="shared" ref="Q7:Q22" si="1">N7-P7</f>
        <v>2937.6</v>
      </c>
    </row>
    <row r="8" spans="1:17" ht="15.75" x14ac:dyDescent="0.25">
      <c r="A8" s="28">
        <v>43467</v>
      </c>
      <c r="B8" s="29">
        <v>3232</v>
      </c>
      <c r="C8" s="30" t="s">
        <v>12</v>
      </c>
      <c r="D8" s="31">
        <v>6864</v>
      </c>
      <c r="E8" s="24">
        <v>43468</v>
      </c>
      <c r="F8" s="25">
        <v>6864</v>
      </c>
      <c r="G8" s="32">
        <f t="shared" si="0"/>
        <v>0</v>
      </c>
      <c r="H8" s="2"/>
      <c r="K8" s="28">
        <v>43477</v>
      </c>
      <c r="L8" s="33">
        <v>174</v>
      </c>
      <c r="M8" s="30" t="s">
        <v>25</v>
      </c>
      <c r="N8" s="31">
        <v>3801</v>
      </c>
      <c r="O8" s="24"/>
      <c r="P8" s="25"/>
      <c r="Q8" s="32">
        <f t="shared" si="1"/>
        <v>3801</v>
      </c>
    </row>
    <row r="9" spans="1:17" ht="15.75" x14ac:dyDescent="0.25">
      <c r="A9" s="28">
        <v>43467</v>
      </c>
      <c r="B9" s="29">
        <v>3233</v>
      </c>
      <c r="C9" s="30" t="s">
        <v>18</v>
      </c>
      <c r="D9" s="31">
        <v>15000.18</v>
      </c>
      <c r="E9" s="24">
        <v>43472</v>
      </c>
      <c r="F9" s="25">
        <v>15000.18</v>
      </c>
      <c r="G9" s="32">
        <f t="shared" si="0"/>
        <v>0</v>
      </c>
      <c r="H9" s="2"/>
      <c r="K9" s="28">
        <v>43482</v>
      </c>
      <c r="L9" s="33">
        <v>175</v>
      </c>
      <c r="M9" s="30" t="s">
        <v>25</v>
      </c>
      <c r="N9" s="31">
        <v>4369</v>
      </c>
      <c r="O9" s="24"/>
      <c r="P9" s="25"/>
      <c r="Q9" s="32">
        <f t="shared" si="1"/>
        <v>4369</v>
      </c>
    </row>
    <row r="10" spans="1:17" ht="15.75" x14ac:dyDescent="0.25">
      <c r="A10" s="28">
        <v>43467</v>
      </c>
      <c r="B10" s="29">
        <v>3234</v>
      </c>
      <c r="C10" s="30" t="s">
        <v>9</v>
      </c>
      <c r="D10" s="31">
        <v>11000</v>
      </c>
      <c r="E10" s="24">
        <v>43467</v>
      </c>
      <c r="F10" s="25">
        <v>11000</v>
      </c>
      <c r="G10" s="32">
        <f t="shared" si="0"/>
        <v>0</v>
      </c>
      <c r="H10" s="2"/>
      <c r="K10" s="28">
        <v>43486</v>
      </c>
      <c r="L10" s="33">
        <v>176</v>
      </c>
      <c r="M10" s="34" t="s">
        <v>25</v>
      </c>
      <c r="N10" s="31">
        <v>6905.4</v>
      </c>
      <c r="O10" s="24"/>
      <c r="P10" s="25"/>
      <c r="Q10" s="32">
        <f t="shared" si="1"/>
        <v>6905.4</v>
      </c>
    </row>
    <row r="11" spans="1:17" ht="15.75" x14ac:dyDescent="0.25">
      <c r="A11" s="28">
        <v>43467</v>
      </c>
      <c r="B11" s="29">
        <v>3235</v>
      </c>
      <c r="C11" s="30" t="s">
        <v>11</v>
      </c>
      <c r="D11" s="31">
        <v>7060.32</v>
      </c>
      <c r="E11" s="24">
        <v>43468</v>
      </c>
      <c r="F11" s="25">
        <v>7060.32</v>
      </c>
      <c r="G11" s="32">
        <f t="shared" si="0"/>
        <v>0</v>
      </c>
      <c r="H11" s="2"/>
      <c r="K11" s="28">
        <v>43489</v>
      </c>
      <c r="L11" s="33">
        <v>177</v>
      </c>
      <c r="M11" s="34" t="s">
        <v>25</v>
      </c>
      <c r="N11" s="31">
        <v>2502.4</v>
      </c>
      <c r="O11" s="24"/>
      <c r="P11" s="25"/>
      <c r="Q11" s="32">
        <f t="shared" si="1"/>
        <v>2502.4</v>
      </c>
    </row>
    <row r="12" spans="1:17" ht="15.75" x14ac:dyDescent="0.25">
      <c r="A12" s="28">
        <v>43467</v>
      </c>
      <c r="B12" s="29">
        <v>3236</v>
      </c>
      <c r="C12" s="30" t="s">
        <v>10</v>
      </c>
      <c r="D12" s="31">
        <v>8208</v>
      </c>
      <c r="E12" s="24">
        <v>43468</v>
      </c>
      <c r="F12" s="25">
        <v>8208</v>
      </c>
      <c r="G12" s="32">
        <f t="shared" si="0"/>
        <v>0</v>
      </c>
      <c r="H12" s="2"/>
      <c r="K12" s="28">
        <v>43493</v>
      </c>
      <c r="L12" s="33">
        <v>178</v>
      </c>
      <c r="M12" s="36" t="s">
        <v>26</v>
      </c>
      <c r="N12" s="31">
        <v>0</v>
      </c>
      <c r="O12" s="24"/>
      <c r="P12" s="25"/>
      <c r="Q12" s="32">
        <f t="shared" si="1"/>
        <v>0</v>
      </c>
    </row>
    <row r="13" spans="1:17" ht="15.75" x14ac:dyDescent="0.25">
      <c r="A13" s="28">
        <v>43468</v>
      </c>
      <c r="B13" s="29">
        <v>3237</v>
      </c>
      <c r="C13" s="30" t="s">
        <v>8</v>
      </c>
      <c r="D13" s="31">
        <v>8686.7999999999993</v>
      </c>
      <c r="E13" s="24">
        <v>43468</v>
      </c>
      <c r="F13" s="25">
        <v>8686.7999999999993</v>
      </c>
      <c r="G13" s="32">
        <f t="shared" si="0"/>
        <v>0</v>
      </c>
      <c r="H13" s="2"/>
      <c r="K13" s="28">
        <v>43493</v>
      </c>
      <c r="L13" s="33">
        <v>179</v>
      </c>
      <c r="M13" s="30" t="s">
        <v>25</v>
      </c>
      <c r="N13" s="31">
        <v>5379</v>
      </c>
      <c r="O13" s="24"/>
      <c r="P13" s="25"/>
      <c r="Q13" s="32">
        <f t="shared" si="1"/>
        <v>5379</v>
      </c>
    </row>
    <row r="14" spans="1:17" ht="15.75" x14ac:dyDescent="0.25">
      <c r="A14" s="28">
        <v>43468</v>
      </c>
      <c r="B14" s="29">
        <v>3238</v>
      </c>
      <c r="C14" s="30" t="s">
        <v>9</v>
      </c>
      <c r="D14" s="31">
        <v>16990</v>
      </c>
      <c r="E14" s="24">
        <v>43469</v>
      </c>
      <c r="F14" s="25">
        <v>16990</v>
      </c>
      <c r="G14" s="32">
        <f t="shared" si="0"/>
        <v>0</v>
      </c>
      <c r="H14" s="2"/>
      <c r="K14" s="66">
        <v>43498</v>
      </c>
      <c r="L14" s="33">
        <v>180</v>
      </c>
      <c r="M14" s="73" t="s">
        <v>25</v>
      </c>
      <c r="N14" s="74">
        <v>2676</v>
      </c>
      <c r="O14" s="24"/>
      <c r="P14" s="25"/>
      <c r="Q14" s="32">
        <f t="shared" si="1"/>
        <v>2676</v>
      </c>
    </row>
    <row r="15" spans="1:17" ht="15.75" x14ac:dyDescent="0.25">
      <c r="A15" s="28">
        <v>43468</v>
      </c>
      <c r="B15" s="29">
        <v>3239</v>
      </c>
      <c r="C15" s="34" t="s">
        <v>11</v>
      </c>
      <c r="D15" s="31">
        <v>6999.98</v>
      </c>
      <c r="E15" s="24">
        <v>43468</v>
      </c>
      <c r="F15" s="25">
        <v>6999.98</v>
      </c>
      <c r="G15" s="32">
        <f t="shared" si="0"/>
        <v>0</v>
      </c>
      <c r="H15" s="2"/>
      <c r="K15" s="66">
        <v>43500</v>
      </c>
      <c r="L15" s="33">
        <v>181</v>
      </c>
      <c r="M15" s="69" t="s">
        <v>25</v>
      </c>
      <c r="N15" s="74">
        <v>2951</v>
      </c>
      <c r="O15" s="24"/>
      <c r="P15" s="25"/>
      <c r="Q15" s="32">
        <f t="shared" si="1"/>
        <v>2951</v>
      </c>
    </row>
    <row r="16" spans="1:17" ht="15.75" x14ac:dyDescent="0.25">
      <c r="A16" s="28">
        <v>43468</v>
      </c>
      <c r="B16" s="29">
        <v>3240</v>
      </c>
      <c r="C16" s="30" t="s">
        <v>9</v>
      </c>
      <c r="D16" s="31">
        <v>3999.84</v>
      </c>
      <c r="E16" s="24">
        <v>43468</v>
      </c>
      <c r="F16" s="25">
        <v>3999.8409999999999</v>
      </c>
      <c r="G16" s="32">
        <f t="shared" si="0"/>
        <v>-9.9999999974897946E-4</v>
      </c>
      <c r="H16" s="2"/>
      <c r="K16" s="66">
        <v>43504</v>
      </c>
      <c r="L16" s="33">
        <v>182</v>
      </c>
      <c r="M16" s="30" t="s">
        <v>25</v>
      </c>
      <c r="N16" s="31">
        <v>3935</v>
      </c>
      <c r="O16" s="24"/>
      <c r="P16" s="25"/>
      <c r="Q16" s="32">
        <f t="shared" si="1"/>
        <v>3935</v>
      </c>
    </row>
    <row r="17" spans="1:17" ht="15.75" x14ac:dyDescent="0.25">
      <c r="A17" s="28">
        <v>43468</v>
      </c>
      <c r="B17" s="29">
        <v>3241</v>
      </c>
      <c r="C17" s="34" t="s">
        <v>11</v>
      </c>
      <c r="D17" s="31">
        <v>13478.22</v>
      </c>
      <c r="E17" s="24">
        <v>43469</v>
      </c>
      <c r="F17" s="25">
        <v>13478.22</v>
      </c>
      <c r="G17" s="32">
        <f t="shared" si="0"/>
        <v>0</v>
      </c>
      <c r="H17" s="2"/>
      <c r="K17" s="66"/>
      <c r="L17" s="33">
        <v>183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43468</v>
      </c>
      <c r="B18" s="29">
        <v>3242</v>
      </c>
      <c r="C18" s="34" t="s">
        <v>10</v>
      </c>
      <c r="D18" s="31">
        <v>4112.55</v>
      </c>
      <c r="E18" s="24">
        <v>43469</v>
      </c>
      <c r="F18" s="25">
        <v>4112.55</v>
      </c>
      <c r="G18" s="32">
        <f t="shared" si="0"/>
        <v>0</v>
      </c>
      <c r="H18" s="2"/>
      <c r="K18" s="66"/>
      <c r="L18" s="33">
        <v>184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43468</v>
      </c>
      <c r="B19" s="29">
        <v>3243</v>
      </c>
      <c r="C19" s="30" t="s">
        <v>12</v>
      </c>
      <c r="D19" s="31">
        <v>4360.2</v>
      </c>
      <c r="E19" s="24">
        <v>43474</v>
      </c>
      <c r="F19" s="25">
        <v>4360.2</v>
      </c>
      <c r="G19" s="32">
        <f t="shared" si="0"/>
        <v>0</v>
      </c>
      <c r="H19" s="2"/>
      <c r="K19" s="66"/>
      <c r="L19" s="33">
        <v>185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43469</v>
      </c>
      <c r="B20" s="29">
        <v>3244</v>
      </c>
      <c r="C20" s="30" t="s">
        <v>8</v>
      </c>
      <c r="D20" s="31">
        <v>10204</v>
      </c>
      <c r="E20" s="24">
        <v>43469</v>
      </c>
      <c r="F20" s="25">
        <v>10204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43469</v>
      </c>
      <c r="B21" s="29">
        <v>3245</v>
      </c>
      <c r="C21" s="30" t="s">
        <v>11</v>
      </c>
      <c r="D21" s="31">
        <v>20240</v>
      </c>
      <c r="E21" s="24">
        <v>43470</v>
      </c>
      <c r="F21" s="25">
        <v>20240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43470</v>
      </c>
      <c r="B22" s="29">
        <v>3246</v>
      </c>
      <c r="C22" s="30" t="s">
        <v>7</v>
      </c>
      <c r="D22" s="31">
        <v>10050.4</v>
      </c>
      <c r="E22" s="24">
        <v>43470</v>
      </c>
      <c r="F22" s="25">
        <v>10050.4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43470</v>
      </c>
      <c r="B23" s="29">
        <v>3247</v>
      </c>
      <c r="C23" s="30" t="s">
        <v>9</v>
      </c>
      <c r="D23" s="31">
        <v>33992.800000000003</v>
      </c>
      <c r="E23" s="24">
        <v>43471</v>
      </c>
      <c r="F23" s="25">
        <v>33992.800000000003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43470</v>
      </c>
      <c r="B24" s="29">
        <v>3248</v>
      </c>
      <c r="C24" s="30" t="s">
        <v>8</v>
      </c>
      <c r="D24" s="31">
        <v>31652.94</v>
      </c>
      <c r="E24" s="24">
        <v>43471</v>
      </c>
      <c r="F24" s="25">
        <v>31652.94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43470</v>
      </c>
      <c r="B25" s="29">
        <v>3249</v>
      </c>
      <c r="C25" s="30" t="s">
        <v>11</v>
      </c>
      <c r="D25" s="31">
        <v>21441.200000000001</v>
      </c>
      <c r="E25" s="24">
        <v>43471</v>
      </c>
      <c r="F25" s="25">
        <v>21441.200000000001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43470</v>
      </c>
      <c r="B26" s="29">
        <v>3250</v>
      </c>
      <c r="C26" s="30" t="s">
        <v>10</v>
      </c>
      <c r="D26" s="31">
        <v>4529</v>
      </c>
      <c r="E26" s="24">
        <v>43471</v>
      </c>
      <c r="F26" s="25">
        <v>4529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43470</v>
      </c>
      <c r="B27" s="29">
        <v>3251</v>
      </c>
      <c r="C27" s="34" t="s">
        <v>13</v>
      </c>
      <c r="D27" s="31">
        <v>3367</v>
      </c>
      <c r="E27" s="24">
        <v>43471</v>
      </c>
      <c r="F27" s="25">
        <v>3367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43471</v>
      </c>
      <c r="B28" s="29">
        <v>3252</v>
      </c>
      <c r="C28" s="30" t="s">
        <v>11</v>
      </c>
      <c r="D28" s="31">
        <v>16102.6</v>
      </c>
      <c r="E28" s="24" t="s">
        <v>21</v>
      </c>
      <c r="F28" s="25">
        <f>10000+6102.6</f>
        <v>16102.6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43471</v>
      </c>
      <c r="B29" s="29">
        <v>3253</v>
      </c>
      <c r="C29" s="30" t="s">
        <v>9</v>
      </c>
      <c r="D29" s="31">
        <v>32394.799999999999</v>
      </c>
      <c r="E29" s="24">
        <v>43472</v>
      </c>
      <c r="F29" s="25">
        <v>32394.799999999999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43471</v>
      </c>
      <c r="B30" s="29">
        <v>3254</v>
      </c>
      <c r="C30" s="30" t="s">
        <v>10</v>
      </c>
      <c r="D30" s="31">
        <v>3384</v>
      </c>
      <c r="E30" s="24">
        <v>43472</v>
      </c>
      <c r="F30" s="25">
        <v>3384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43471</v>
      </c>
      <c r="B31" s="29">
        <v>3255</v>
      </c>
      <c r="C31" s="30" t="s">
        <v>13</v>
      </c>
      <c r="D31" s="31">
        <v>2835</v>
      </c>
      <c r="E31" s="24">
        <v>43472</v>
      </c>
      <c r="F31" s="25">
        <v>2835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43472</v>
      </c>
      <c r="B32" s="29">
        <v>3256</v>
      </c>
      <c r="C32" s="30" t="s">
        <v>12</v>
      </c>
      <c r="D32" s="31">
        <v>3696</v>
      </c>
      <c r="E32" s="24">
        <v>43476</v>
      </c>
      <c r="F32" s="25">
        <v>3696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43472</v>
      </c>
      <c r="B33" s="29">
        <v>3257</v>
      </c>
      <c r="C33" s="30" t="s">
        <v>10</v>
      </c>
      <c r="D33" s="31">
        <v>3513.6</v>
      </c>
      <c r="E33" s="24">
        <v>43473</v>
      </c>
      <c r="F33" s="25">
        <v>3513.6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43473</v>
      </c>
      <c r="B34" s="29">
        <v>3258</v>
      </c>
      <c r="C34" s="30" t="s">
        <v>9</v>
      </c>
      <c r="D34" s="31">
        <v>3160</v>
      </c>
      <c r="E34" s="24">
        <v>43473</v>
      </c>
      <c r="F34" s="25">
        <v>3160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43473</v>
      </c>
      <c r="B35" s="29">
        <v>3259</v>
      </c>
      <c r="C35" s="30" t="s">
        <v>11</v>
      </c>
      <c r="D35" s="31">
        <v>4093.6</v>
      </c>
      <c r="E35" s="24">
        <v>43475</v>
      </c>
      <c r="F35" s="25">
        <v>4093.6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43474</v>
      </c>
      <c r="B36" s="29">
        <v>3260</v>
      </c>
      <c r="C36" s="30" t="s">
        <v>11</v>
      </c>
      <c r="D36" s="31">
        <v>8853.6</v>
      </c>
      <c r="E36" s="24">
        <v>43474</v>
      </c>
      <c r="F36" s="25">
        <v>8853.6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43474</v>
      </c>
      <c r="B37" s="29">
        <v>3261</v>
      </c>
      <c r="C37" s="30" t="s">
        <v>12</v>
      </c>
      <c r="D37" s="40">
        <v>2793</v>
      </c>
      <c r="E37" s="41">
        <v>43478</v>
      </c>
      <c r="F37" s="40">
        <v>2793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43475</v>
      </c>
      <c r="B38" s="29">
        <v>3262</v>
      </c>
      <c r="C38" s="30" t="s">
        <v>8</v>
      </c>
      <c r="D38" s="40">
        <v>7035</v>
      </c>
      <c r="E38" s="24">
        <v>43475</v>
      </c>
      <c r="F38" s="25">
        <v>7035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43475</v>
      </c>
      <c r="B39" s="29">
        <v>3263</v>
      </c>
      <c r="C39" s="30" t="s">
        <v>11</v>
      </c>
      <c r="D39" s="40">
        <v>13508</v>
      </c>
      <c r="E39" s="24">
        <v>43476</v>
      </c>
      <c r="F39" s="25">
        <v>13508</v>
      </c>
      <c r="G39" s="32">
        <f t="shared" si="0"/>
        <v>0</v>
      </c>
      <c r="H39" s="2"/>
      <c r="K39" s="49"/>
      <c r="L39" s="50"/>
      <c r="M39" s="2"/>
      <c r="N39" s="51">
        <f>SUM(N4:N38)</f>
        <v>42314.400000000001</v>
      </c>
      <c r="O39" s="52"/>
      <c r="P39" s="53">
        <f>SUM(P4:P38)</f>
        <v>0</v>
      </c>
      <c r="Q39" s="54">
        <f>SUM(Q4:Q38)</f>
        <v>42314.400000000001</v>
      </c>
    </row>
    <row r="40" spans="1:17" ht="15.75" x14ac:dyDescent="0.25">
      <c r="A40" s="28">
        <v>43475</v>
      </c>
      <c r="B40" s="29">
        <v>3264</v>
      </c>
      <c r="C40" s="30" t="s">
        <v>10</v>
      </c>
      <c r="D40" s="40">
        <v>4522</v>
      </c>
      <c r="E40" s="24">
        <v>43476</v>
      </c>
      <c r="F40" s="25">
        <v>4522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43475</v>
      </c>
      <c r="B41" s="29">
        <v>3265</v>
      </c>
      <c r="C41" s="30" t="s">
        <v>13</v>
      </c>
      <c r="D41" s="40">
        <v>4347</v>
      </c>
      <c r="E41" s="24">
        <v>43476</v>
      </c>
      <c r="F41" s="25">
        <v>4347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43476</v>
      </c>
      <c r="B42" s="29">
        <v>3266</v>
      </c>
      <c r="C42" s="30" t="s">
        <v>8</v>
      </c>
      <c r="D42" s="40">
        <v>9353.2000000000007</v>
      </c>
      <c r="E42" s="24">
        <v>43476</v>
      </c>
      <c r="F42" s="25">
        <v>9353.2000000000007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43476</v>
      </c>
      <c r="B43" s="29">
        <v>3267</v>
      </c>
      <c r="C43" s="30" t="s">
        <v>12</v>
      </c>
      <c r="D43" s="40">
        <v>5614</v>
      </c>
      <c r="E43" s="24">
        <v>43484</v>
      </c>
      <c r="F43" s="25">
        <v>5614</v>
      </c>
      <c r="G43" s="32">
        <f t="shared" si="0"/>
        <v>0</v>
      </c>
      <c r="H43" s="2"/>
      <c r="K43" s="49"/>
      <c r="L43" s="50"/>
      <c r="M43" s="2"/>
      <c r="N43" s="126">
        <f>N39-P39</f>
        <v>42314.400000000001</v>
      </c>
      <c r="O43" s="127"/>
      <c r="P43" s="128"/>
    </row>
    <row r="44" spans="1:17" ht="15.75" x14ac:dyDescent="0.25">
      <c r="A44" s="28">
        <v>43476</v>
      </c>
      <c r="B44" s="29">
        <v>3268</v>
      </c>
      <c r="C44" s="30" t="s">
        <v>10</v>
      </c>
      <c r="D44" s="40">
        <v>5803.6</v>
      </c>
      <c r="E44" s="24">
        <v>43477</v>
      </c>
      <c r="F44" s="25">
        <v>5803.6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43477</v>
      </c>
      <c r="B45" s="29">
        <v>3269</v>
      </c>
      <c r="C45" s="30" t="s">
        <v>8</v>
      </c>
      <c r="D45" s="40">
        <v>15054.6</v>
      </c>
      <c r="E45" s="24">
        <v>43477</v>
      </c>
      <c r="F45" s="25">
        <v>15054.6</v>
      </c>
      <c r="G45" s="32">
        <f t="shared" si="0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28">
        <v>43477</v>
      </c>
      <c r="B46" s="29">
        <v>3270</v>
      </c>
      <c r="C46" s="30" t="s">
        <v>9</v>
      </c>
      <c r="D46" s="40">
        <v>30458</v>
      </c>
      <c r="E46" s="24">
        <v>43478</v>
      </c>
      <c r="F46" s="25">
        <v>30458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43477</v>
      </c>
      <c r="B47" s="29">
        <v>3271</v>
      </c>
      <c r="C47" s="30" t="s">
        <v>10</v>
      </c>
      <c r="D47" s="40">
        <v>5141.5</v>
      </c>
      <c r="E47" s="24">
        <v>43478</v>
      </c>
      <c r="F47" s="25">
        <v>5141.5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43478</v>
      </c>
      <c r="B48" s="29">
        <v>3272</v>
      </c>
      <c r="C48" s="30" t="s">
        <v>8</v>
      </c>
      <c r="D48" s="40">
        <v>16566</v>
      </c>
      <c r="E48" s="24">
        <v>43478</v>
      </c>
      <c r="F48" s="25">
        <v>16566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43478</v>
      </c>
      <c r="B49" s="29">
        <v>3273</v>
      </c>
      <c r="C49" s="30" t="s">
        <v>11</v>
      </c>
      <c r="D49" s="40">
        <v>18109.2</v>
      </c>
      <c r="E49" s="24">
        <v>43478</v>
      </c>
      <c r="F49" s="25">
        <v>18109.2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43478</v>
      </c>
      <c r="B50" s="29">
        <v>3274</v>
      </c>
      <c r="C50" s="30" t="s">
        <v>12</v>
      </c>
      <c r="D50" s="40">
        <v>2772</v>
      </c>
      <c r="E50" s="24">
        <v>43478</v>
      </c>
      <c r="F50" s="25">
        <v>2772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43478</v>
      </c>
      <c r="B51" s="29">
        <v>3275</v>
      </c>
      <c r="C51" s="30" t="s">
        <v>9</v>
      </c>
      <c r="D51" s="40">
        <v>30150</v>
      </c>
      <c r="E51" s="24" t="s">
        <v>22</v>
      </c>
      <c r="F51" s="25">
        <f>29422+728</f>
        <v>30150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43478</v>
      </c>
      <c r="B52" s="29">
        <v>3276</v>
      </c>
      <c r="C52" s="30" t="s">
        <v>10</v>
      </c>
      <c r="D52" s="40">
        <v>3612</v>
      </c>
      <c r="E52" s="24">
        <v>43479</v>
      </c>
      <c r="F52" s="25">
        <v>3612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43479</v>
      </c>
      <c r="B53" s="29">
        <v>3277</v>
      </c>
      <c r="C53" s="30" t="s">
        <v>11</v>
      </c>
      <c r="D53" s="40">
        <v>14952.8</v>
      </c>
      <c r="E53" s="24">
        <v>43479</v>
      </c>
      <c r="F53" s="25">
        <v>14952.8</v>
      </c>
      <c r="G53" s="3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43479</v>
      </c>
      <c r="B54" s="29">
        <v>3278</v>
      </c>
      <c r="C54" s="30" t="s">
        <v>12</v>
      </c>
      <c r="D54" s="40">
        <v>2828</v>
      </c>
      <c r="E54" s="24">
        <v>43481</v>
      </c>
      <c r="F54" s="25">
        <v>2828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43480</v>
      </c>
      <c r="B55" s="29">
        <v>3279</v>
      </c>
      <c r="C55" s="30" t="s">
        <v>11</v>
      </c>
      <c r="D55" s="40">
        <v>6888.4</v>
      </c>
      <c r="E55" s="24">
        <v>43480</v>
      </c>
      <c r="F55" s="25">
        <v>6888.4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43480</v>
      </c>
      <c r="B56" s="29">
        <v>3280</v>
      </c>
      <c r="C56" s="30" t="s">
        <v>14</v>
      </c>
      <c r="D56" s="40">
        <v>3189.55</v>
      </c>
      <c r="E56" s="24">
        <v>43480</v>
      </c>
      <c r="F56" s="25">
        <v>3189.55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43480</v>
      </c>
      <c r="B57" s="29">
        <v>3281</v>
      </c>
      <c r="C57" s="30" t="s">
        <v>9</v>
      </c>
      <c r="D57" s="40">
        <v>3150</v>
      </c>
      <c r="E57" s="24">
        <v>43480</v>
      </c>
      <c r="F57" s="25">
        <v>3150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43481</v>
      </c>
      <c r="B58" s="29">
        <v>3282</v>
      </c>
      <c r="C58" s="30" t="s">
        <v>9</v>
      </c>
      <c r="D58" s="40">
        <v>2250</v>
      </c>
      <c r="E58" s="24">
        <v>43485</v>
      </c>
      <c r="F58" s="25">
        <v>2250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43482</v>
      </c>
      <c r="B59" s="29">
        <v>3283</v>
      </c>
      <c r="C59" s="30" t="s">
        <v>12</v>
      </c>
      <c r="D59" s="40">
        <v>6177.6</v>
      </c>
      <c r="E59" s="24">
        <v>43488</v>
      </c>
      <c r="F59" s="25">
        <v>6177.6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43482</v>
      </c>
      <c r="B60" s="29">
        <v>3284</v>
      </c>
      <c r="C60" s="30" t="s">
        <v>10</v>
      </c>
      <c r="D60" s="40">
        <v>4024.8</v>
      </c>
      <c r="E60" s="24">
        <v>43482</v>
      </c>
      <c r="F60" s="25">
        <v>4024.8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43482</v>
      </c>
      <c r="B61" s="29">
        <v>3285</v>
      </c>
      <c r="C61" s="30" t="s">
        <v>9</v>
      </c>
      <c r="D61" s="40">
        <v>200</v>
      </c>
      <c r="E61" s="24">
        <v>43484</v>
      </c>
      <c r="F61" s="25">
        <v>200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43482</v>
      </c>
      <c r="B62" s="29">
        <v>3286</v>
      </c>
      <c r="C62" s="30" t="s">
        <v>11</v>
      </c>
      <c r="D62" s="40">
        <v>3474.4</v>
      </c>
      <c r="E62" s="24">
        <v>43484</v>
      </c>
      <c r="F62" s="25">
        <v>3474.4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43483</v>
      </c>
      <c r="B63" s="29">
        <v>3287</v>
      </c>
      <c r="C63" s="30" t="s">
        <v>8</v>
      </c>
      <c r="D63" s="40">
        <v>9166.4</v>
      </c>
      <c r="E63" s="24">
        <v>43483</v>
      </c>
      <c r="F63" s="25">
        <v>9166.4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43484</v>
      </c>
      <c r="B64" s="29">
        <v>3288</v>
      </c>
      <c r="C64" s="30" t="s">
        <v>23</v>
      </c>
      <c r="D64" s="40">
        <v>2570</v>
      </c>
      <c r="E64" s="24">
        <v>43484</v>
      </c>
      <c r="F64" s="25">
        <v>2570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43484</v>
      </c>
      <c r="B65" s="29">
        <v>3289</v>
      </c>
      <c r="C65" s="30" t="s">
        <v>8</v>
      </c>
      <c r="D65" s="40">
        <v>16367.6</v>
      </c>
      <c r="E65" s="24">
        <v>43484</v>
      </c>
      <c r="F65" s="25">
        <v>16367.6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43484</v>
      </c>
      <c r="B66" s="29">
        <v>3290</v>
      </c>
      <c r="C66" s="30" t="s">
        <v>23</v>
      </c>
      <c r="D66" s="40">
        <v>84</v>
      </c>
      <c r="E66" s="24">
        <v>43484</v>
      </c>
      <c r="F66" s="25">
        <v>84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43484</v>
      </c>
      <c r="B67" s="29">
        <v>3291</v>
      </c>
      <c r="C67" s="30" t="s">
        <v>9</v>
      </c>
      <c r="D67" s="40">
        <v>33964.800000000003</v>
      </c>
      <c r="E67" s="24">
        <v>43486</v>
      </c>
      <c r="F67" s="25">
        <v>33964.800000000003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43484</v>
      </c>
      <c r="B68" s="29">
        <v>3292</v>
      </c>
      <c r="C68" s="30" t="s">
        <v>11</v>
      </c>
      <c r="D68" s="40">
        <v>7199.84</v>
      </c>
      <c r="E68" s="24">
        <v>43484</v>
      </c>
      <c r="F68" s="25">
        <v>7199.84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43484</v>
      </c>
      <c r="B69" s="29">
        <v>3293</v>
      </c>
      <c r="C69" s="30" t="s">
        <v>11</v>
      </c>
      <c r="D69" s="40">
        <v>12420.6</v>
      </c>
      <c r="E69" s="24">
        <v>43484</v>
      </c>
      <c r="F69" s="25">
        <v>12420.6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43484</v>
      </c>
      <c r="B70" s="29">
        <v>3294</v>
      </c>
      <c r="C70" s="30" t="s">
        <v>8</v>
      </c>
      <c r="D70" s="40">
        <v>7355.8</v>
      </c>
      <c r="E70" s="24">
        <v>43484</v>
      </c>
      <c r="F70" s="25">
        <v>7355.8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43484</v>
      </c>
      <c r="B71" s="29">
        <v>3295</v>
      </c>
      <c r="C71" s="30" t="s">
        <v>12</v>
      </c>
      <c r="D71" s="40">
        <v>6616.8</v>
      </c>
      <c r="E71" s="24">
        <v>43490</v>
      </c>
      <c r="F71" s="25">
        <v>6616.8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43484</v>
      </c>
      <c r="B72" s="29">
        <v>3296</v>
      </c>
      <c r="C72" s="30" t="s">
        <v>10</v>
      </c>
      <c r="D72" s="40">
        <v>6064.2</v>
      </c>
      <c r="E72" s="24">
        <v>43485</v>
      </c>
      <c r="F72" s="25">
        <v>6064.2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43485</v>
      </c>
      <c r="B73" s="29">
        <v>3297</v>
      </c>
      <c r="C73" s="30" t="s">
        <v>7</v>
      </c>
      <c r="D73" s="40">
        <v>3626</v>
      </c>
      <c r="E73" s="24">
        <v>43485</v>
      </c>
      <c r="F73" s="25">
        <v>3626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43485</v>
      </c>
      <c r="B74" s="29">
        <v>3298</v>
      </c>
      <c r="C74" s="30" t="s">
        <v>8</v>
      </c>
      <c r="D74" s="40">
        <v>15225</v>
      </c>
      <c r="E74" s="24">
        <v>43485</v>
      </c>
      <c r="F74" s="25">
        <v>15225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43485</v>
      </c>
      <c r="B75" s="29">
        <v>3299</v>
      </c>
      <c r="C75" s="30" t="s">
        <v>11</v>
      </c>
      <c r="D75" s="40">
        <v>10961.8</v>
      </c>
      <c r="E75" s="24">
        <v>43485</v>
      </c>
      <c r="F75" s="25">
        <v>10961.8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43485</v>
      </c>
      <c r="B76" s="29">
        <v>3300</v>
      </c>
      <c r="C76" s="30" t="s">
        <v>11</v>
      </c>
      <c r="D76" s="40">
        <v>16117.5</v>
      </c>
      <c r="E76" s="24">
        <v>43485</v>
      </c>
      <c r="F76" s="25">
        <v>16117.5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43485</v>
      </c>
      <c r="B77" s="29">
        <v>3301</v>
      </c>
      <c r="C77" s="30" t="s">
        <v>13</v>
      </c>
      <c r="D77" s="40">
        <v>2520</v>
      </c>
      <c r="E77" s="24">
        <v>43485</v>
      </c>
      <c r="F77" s="25">
        <v>2520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43485</v>
      </c>
      <c r="B78" s="29">
        <v>3302</v>
      </c>
      <c r="C78" s="30" t="s">
        <v>10</v>
      </c>
      <c r="D78" s="40">
        <v>4444.2</v>
      </c>
      <c r="E78" s="24">
        <v>43486</v>
      </c>
      <c r="F78" s="25">
        <v>4444.2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43485</v>
      </c>
      <c r="B79" s="29">
        <v>3303</v>
      </c>
      <c r="C79" s="30" t="s">
        <v>9</v>
      </c>
      <c r="D79" s="40">
        <v>17768</v>
      </c>
      <c r="E79" s="24">
        <v>43487</v>
      </c>
      <c r="F79" s="25">
        <v>17768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43485</v>
      </c>
      <c r="B80" s="29">
        <v>3304</v>
      </c>
      <c r="C80" s="30" t="s">
        <v>24</v>
      </c>
      <c r="D80" s="40">
        <v>3280</v>
      </c>
      <c r="E80" s="24">
        <v>43487</v>
      </c>
      <c r="F80" s="25">
        <v>3280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43487</v>
      </c>
      <c r="B81" s="29">
        <v>3305</v>
      </c>
      <c r="C81" s="30" t="s">
        <v>9</v>
      </c>
      <c r="D81" s="40">
        <v>3680</v>
      </c>
      <c r="E81" s="24">
        <v>43487</v>
      </c>
      <c r="F81" s="25">
        <v>3680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43488</v>
      </c>
      <c r="B82" s="29">
        <v>3306</v>
      </c>
      <c r="C82" s="61" t="s">
        <v>8</v>
      </c>
      <c r="D82" s="40">
        <v>30651</v>
      </c>
      <c r="E82" s="24">
        <v>43490</v>
      </c>
      <c r="F82" s="25">
        <v>30651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43488</v>
      </c>
      <c r="B83" s="29">
        <v>3307</v>
      </c>
      <c r="C83" s="30" t="s">
        <v>11</v>
      </c>
      <c r="D83" s="40">
        <v>11000.15</v>
      </c>
      <c r="E83" s="24">
        <v>43488</v>
      </c>
      <c r="F83" s="25">
        <v>11000.15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43490</v>
      </c>
      <c r="B84" s="29">
        <v>3308</v>
      </c>
      <c r="C84" s="30" t="s">
        <v>8</v>
      </c>
      <c r="D84" s="40">
        <v>32926.25</v>
      </c>
      <c r="E84" s="24">
        <v>43495</v>
      </c>
      <c r="F84" s="25">
        <v>32926.25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43490</v>
      </c>
      <c r="B85" s="29">
        <v>3309</v>
      </c>
      <c r="C85" s="30" t="s">
        <v>12</v>
      </c>
      <c r="D85" s="40">
        <v>4190.3999999999996</v>
      </c>
      <c r="E85" s="24">
        <v>43492</v>
      </c>
      <c r="F85" s="25">
        <v>4190.3999999999996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43490</v>
      </c>
      <c r="B86" s="29">
        <v>3310</v>
      </c>
      <c r="C86" s="30" t="s">
        <v>10</v>
      </c>
      <c r="D86" s="40">
        <v>4524</v>
      </c>
      <c r="E86" s="62">
        <v>43491</v>
      </c>
      <c r="F86" s="25">
        <v>4524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43491</v>
      </c>
      <c r="B87" s="29">
        <v>3311</v>
      </c>
      <c r="C87" s="30" t="s">
        <v>7</v>
      </c>
      <c r="D87" s="40">
        <v>7252</v>
      </c>
      <c r="E87" s="62">
        <v>43491</v>
      </c>
      <c r="F87" s="25">
        <v>7252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43491</v>
      </c>
      <c r="B88" s="29">
        <v>3312</v>
      </c>
      <c r="C88" s="30" t="s">
        <v>9</v>
      </c>
      <c r="D88" s="40">
        <v>28478.400000000001</v>
      </c>
      <c r="E88" s="24">
        <v>43493</v>
      </c>
      <c r="F88" s="25">
        <v>28478.400000000001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43491</v>
      </c>
      <c r="B89" s="29">
        <v>3313</v>
      </c>
      <c r="C89" s="30" t="s">
        <v>11</v>
      </c>
      <c r="D89" s="40">
        <v>17000.3</v>
      </c>
      <c r="E89" s="24">
        <v>43491</v>
      </c>
      <c r="F89" s="25">
        <v>17000.3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43491</v>
      </c>
      <c r="B90" s="29">
        <v>3314</v>
      </c>
      <c r="C90" s="30" t="s">
        <v>11</v>
      </c>
      <c r="D90" s="40">
        <v>7000</v>
      </c>
      <c r="E90" s="24">
        <v>43491</v>
      </c>
      <c r="F90" s="25">
        <v>7000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43491</v>
      </c>
      <c r="B91" s="29">
        <v>3315</v>
      </c>
      <c r="C91" s="30" t="s">
        <v>10</v>
      </c>
      <c r="D91" s="40">
        <v>5641.2</v>
      </c>
      <c r="E91" s="24">
        <v>43492</v>
      </c>
      <c r="F91" s="25">
        <v>5641.2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43492</v>
      </c>
      <c r="B92" s="29">
        <v>3316</v>
      </c>
      <c r="C92" s="30" t="s">
        <v>7</v>
      </c>
      <c r="D92" s="40">
        <v>3997</v>
      </c>
      <c r="E92" s="24">
        <v>43492</v>
      </c>
      <c r="F92" s="25">
        <v>3997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43492</v>
      </c>
      <c r="B93" s="29">
        <v>3317</v>
      </c>
      <c r="C93" s="30" t="s">
        <v>11</v>
      </c>
      <c r="D93" s="40">
        <v>13500.1</v>
      </c>
      <c r="E93" s="24">
        <v>43492</v>
      </c>
      <c r="F93" s="25">
        <v>13500.1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43492</v>
      </c>
      <c r="B94" s="29">
        <v>3318</v>
      </c>
      <c r="C94" s="30" t="s">
        <v>11</v>
      </c>
      <c r="D94" s="40">
        <v>8999.9</v>
      </c>
      <c r="E94" s="24">
        <v>43492</v>
      </c>
      <c r="F94" s="25">
        <v>8999.9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43492</v>
      </c>
      <c r="B95" s="29">
        <v>3319</v>
      </c>
      <c r="C95" s="34" t="s">
        <v>9</v>
      </c>
      <c r="D95" s="40">
        <v>14460</v>
      </c>
      <c r="E95" s="24">
        <v>43494</v>
      </c>
      <c r="F95" s="25">
        <v>14460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43492</v>
      </c>
      <c r="B96" s="29">
        <v>3320</v>
      </c>
      <c r="C96" s="30" t="s">
        <v>10</v>
      </c>
      <c r="D96" s="40">
        <v>3585.6</v>
      </c>
      <c r="E96" s="24">
        <v>43493</v>
      </c>
      <c r="F96" s="25">
        <v>3585.6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43494</v>
      </c>
      <c r="B97" s="29">
        <v>3321</v>
      </c>
      <c r="C97" s="30" t="s">
        <v>9</v>
      </c>
      <c r="D97" s="40">
        <v>3610</v>
      </c>
      <c r="E97" s="24">
        <v>43494</v>
      </c>
      <c r="F97" s="25">
        <v>3610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43495</v>
      </c>
      <c r="B98" s="29">
        <v>3322</v>
      </c>
      <c r="C98" s="30" t="s">
        <v>8</v>
      </c>
      <c r="D98" s="40">
        <v>7656.8</v>
      </c>
      <c r="E98" s="24">
        <v>43495</v>
      </c>
      <c r="F98" s="25">
        <v>7656.8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43495</v>
      </c>
      <c r="B99" s="29">
        <v>3323</v>
      </c>
      <c r="C99" s="30" t="s">
        <v>11</v>
      </c>
      <c r="D99" s="40">
        <v>7000</v>
      </c>
      <c r="E99" s="24">
        <v>43495</v>
      </c>
      <c r="F99" s="25">
        <v>7000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43495</v>
      </c>
      <c r="B100" s="29">
        <v>3324</v>
      </c>
      <c r="C100" s="30" t="s">
        <v>12</v>
      </c>
      <c r="D100" s="40">
        <v>1764</v>
      </c>
      <c r="E100" s="67">
        <v>43497</v>
      </c>
      <c r="F100" s="68">
        <v>1764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43496</v>
      </c>
      <c r="B101" s="29">
        <v>3325</v>
      </c>
      <c r="C101" s="30" t="s">
        <v>11</v>
      </c>
      <c r="D101" s="40">
        <v>3799.95</v>
      </c>
      <c r="E101" s="24">
        <v>43496</v>
      </c>
      <c r="F101" s="25">
        <v>3799.95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43496</v>
      </c>
      <c r="B102" s="29">
        <v>3326</v>
      </c>
      <c r="C102" s="30" t="s">
        <v>11</v>
      </c>
      <c r="D102" s="40">
        <v>8000.15</v>
      </c>
      <c r="E102" s="24">
        <v>43496</v>
      </c>
      <c r="F102" s="25">
        <v>8000.15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66">
        <v>43497</v>
      </c>
      <c r="B103" s="33">
        <v>3327</v>
      </c>
      <c r="C103" s="69" t="s">
        <v>8</v>
      </c>
      <c r="D103" s="70">
        <v>9084.7999999999993</v>
      </c>
      <c r="E103" s="71">
        <v>43497</v>
      </c>
      <c r="F103" s="72">
        <v>9084.7999999999993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66">
        <v>43497</v>
      </c>
      <c r="B104" s="33">
        <v>3328</v>
      </c>
      <c r="C104" s="69" t="s">
        <v>11</v>
      </c>
      <c r="D104" s="70">
        <v>7500.36</v>
      </c>
      <c r="E104" s="71">
        <v>43497</v>
      </c>
      <c r="F104" s="72">
        <v>7500.36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66">
        <v>43497</v>
      </c>
      <c r="B105" s="33">
        <v>3329</v>
      </c>
      <c r="C105" s="69" t="s">
        <v>13</v>
      </c>
      <c r="D105" s="70">
        <v>3283</v>
      </c>
      <c r="E105" s="71">
        <v>43497</v>
      </c>
      <c r="F105" s="72">
        <v>3283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66">
        <v>43497</v>
      </c>
      <c r="B106" s="33">
        <v>3330</v>
      </c>
      <c r="C106" s="69" t="s">
        <v>10</v>
      </c>
      <c r="D106" s="70">
        <v>6705.1</v>
      </c>
      <c r="E106" s="71">
        <v>43498</v>
      </c>
      <c r="F106" s="72">
        <v>6705.1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66">
        <v>43497</v>
      </c>
      <c r="B107" s="33">
        <v>3331</v>
      </c>
      <c r="C107" s="69" t="s">
        <v>12</v>
      </c>
      <c r="D107" s="70">
        <v>4416</v>
      </c>
      <c r="E107" s="71">
        <v>43498</v>
      </c>
      <c r="F107" s="72">
        <v>4416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66">
        <v>43497</v>
      </c>
      <c r="B108" s="33">
        <v>3332</v>
      </c>
      <c r="C108" s="69" t="s">
        <v>9</v>
      </c>
      <c r="D108" s="70">
        <v>2450</v>
      </c>
      <c r="E108" s="71">
        <v>43505</v>
      </c>
      <c r="F108" s="72">
        <v>2450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66">
        <v>43498</v>
      </c>
      <c r="B109" s="33">
        <v>3333</v>
      </c>
      <c r="C109" s="69" t="s">
        <v>7</v>
      </c>
      <c r="D109" s="70">
        <v>6827.2</v>
      </c>
      <c r="E109" s="71">
        <v>43498</v>
      </c>
      <c r="F109" s="72">
        <v>6827.2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66">
        <v>43498</v>
      </c>
      <c r="B110" s="33">
        <v>3334</v>
      </c>
      <c r="C110" s="69" t="s">
        <v>9</v>
      </c>
      <c r="D110" s="70">
        <v>33225</v>
      </c>
      <c r="E110" s="71">
        <v>43500</v>
      </c>
      <c r="F110" s="72">
        <v>33225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66">
        <v>43498</v>
      </c>
      <c r="B111" s="33">
        <v>3335</v>
      </c>
      <c r="C111" s="69" t="s">
        <v>8</v>
      </c>
      <c r="D111" s="70">
        <v>11115.3</v>
      </c>
      <c r="E111" s="71">
        <v>43498</v>
      </c>
      <c r="F111" s="72">
        <v>11115.3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66">
        <v>43498</v>
      </c>
      <c r="B112" s="33">
        <v>3336</v>
      </c>
      <c r="C112" s="69" t="s">
        <v>11</v>
      </c>
      <c r="D112" s="70">
        <v>6277.34</v>
      </c>
      <c r="E112" s="71">
        <v>43499</v>
      </c>
      <c r="F112" s="72">
        <v>6277.34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66">
        <v>43498</v>
      </c>
      <c r="B113" s="33">
        <v>3337</v>
      </c>
      <c r="C113" s="69" t="s">
        <v>11</v>
      </c>
      <c r="D113" s="70">
        <v>13722.98</v>
      </c>
      <c r="E113" s="71">
        <v>43499</v>
      </c>
      <c r="F113" s="72">
        <v>13722.98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66">
        <v>45689</v>
      </c>
      <c r="B114" s="33">
        <v>3338</v>
      </c>
      <c r="C114" s="69" t="s">
        <v>27</v>
      </c>
      <c r="D114" s="70">
        <v>30341.19</v>
      </c>
      <c r="E114" s="71">
        <v>43498</v>
      </c>
      <c r="F114" s="72">
        <v>30341.19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66">
        <v>43498</v>
      </c>
      <c r="B115" s="33">
        <v>3339</v>
      </c>
      <c r="C115" s="69" t="s">
        <v>28</v>
      </c>
      <c r="D115" s="70">
        <v>880</v>
      </c>
      <c r="E115" s="71">
        <v>43501</v>
      </c>
      <c r="F115" s="72">
        <v>880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66">
        <v>43498</v>
      </c>
      <c r="B116" s="33">
        <v>3340</v>
      </c>
      <c r="C116" s="69" t="s">
        <v>27</v>
      </c>
      <c r="D116" s="70">
        <v>30864.9</v>
      </c>
      <c r="E116" s="71">
        <v>43498</v>
      </c>
      <c r="F116" s="72">
        <v>30864.9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66">
        <v>43498</v>
      </c>
      <c r="B117" s="33">
        <v>3341</v>
      </c>
      <c r="C117" s="69" t="s">
        <v>12</v>
      </c>
      <c r="D117" s="70">
        <v>3878</v>
      </c>
      <c r="E117" s="71">
        <v>43499</v>
      </c>
      <c r="F117" s="72">
        <v>3878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66">
        <v>43498</v>
      </c>
      <c r="B118" s="33">
        <v>3342</v>
      </c>
      <c r="C118" s="69" t="s">
        <v>10</v>
      </c>
      <c r="D118" s="70">
        <v>4442.8</v>
      </c>
      <c r="E118" s="71">
        <v>43499</v>
      </c>
      <c r="F118" s="72">
        <v>4442.8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66">
        <v>43499</v>
      </c>
      <c r="B119" s="33">
        <v>3343</v>
      </c>
      <c r="C119" s="69" t="s">
        <v>7</v>
      </c>
      <c r="D119" s="70">
        <v>3746.8</v>
      </c>
      <c r="E119" s="71">
        <v>43499</v>
      </c>
      <c r="F119" s="72">
        <v>3746.8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66">
        <v>43499</v>
      </c>
      <c r="B120" s="33">
        <v>3344</v>
      </c>
      <c r="C120" s="69" t="s">
        <v>11</v>
      </c>
      <c r="D120" s="70">
        <v>12000.14</v>
      </c>
      <c r="E120" s="71">
        <v>43499</v>
      </c>
      <c r="F120" s="72">
        <v>12000.14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66">
        <v>43499</v>
      </c>
      <c r="B121" s="33">
        <v>3345</v>
      </c>
      <c r="C121" s="69" t="s">
        <v>12</v>
      </c>
      <c r="D121" s="70">
        <v>6468</v>
      </c>
      <c r="E121" s="71">
        <v>43505</v>
      </c>
      <c r="F121" s="72">
        <v>6468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66">
        <v>43499</v>
      </c>
      <c r="B122" s="33">
        <v>3346</v>
      </c>
      <c r="C122" s="69" t="s">
        <v>11</v>
      </c>
      <c r="D122" s="70">
        <v>7324.82</v>
      </c>
      <c r="E122" s="71">
        <v>43500</v>
      </c>
      <c r="F122" s="72">
        <v>7324.82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66">
        <v>43499</v>
      </c>
      <c r="B123" s="33">
        <v>3347</v>
      </c>
      <c r="C123" s="69" t="s">
        <v>9</v>
      </c>
      <c r="D123" s="70">
        <v>16787.2</v>
      </c>
      <c r="E123" s="71">
        <v>43501</v>
      </c>
      <c r="F123" s="72">
        <v>16787.2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66">
        <v>43499</v>
      </c>
      <c r="B124" s="33">
        <v>3348</v>
      </c>
      <c r="C124" s="69" t="s">
        <v>18</v>
      </c>
      <c r="D124" s="70">
        <v>14944.5</v>
      </c>
      <c r="E124" s="71">
        <v>43505</v>
      </c>
      <c r="F124" s="72">
        <v>14944.5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66">
        <v>43499</v>
      </c>
      <c r="B125" s="33">
        <v>3349</v>
      </c>
      <c r="C125" s="69" t="s">
        <v>10</v>
      </c>
      <c r="D125" s="70">
        <v>4337.8999999999996</v>
      </c>
      <c r="E125" s="71">
        <v>43500</v>
      </c>
      <c r="F125" s="72">
        <v>4337.8999999999996</v>
      </c>
      <c r="G125" s="32">
        <f t="shared" si="0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66">
        <v>43501</v>
      </c>
      <c r="B126" s="33">
        <v>3350</v>
      </c>
      <c r="C126" s="69" t="s">
        <v>9</v>
      </c>
      <c r="D126" s="70">
        <v>3150</v>
      </c>
      <c r="E126" s="71">
        <v>43501</v>
      </c>
      <c r="F126" s="72">
        <v>3150</v>
      </c>
      <c r="G126" s="32">
        <f t="shared" si="0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66">
        <v>43502</v>
      </c>
      <c r="B127" s="33">
        <v>3351</v>
      </c>
      <c r="C127" s="30" t="s">
        <v>11</v>
      </c>
      <c r="D127" s="40">
        <v>5477.6</v>
      </c>
      <c r="E127" s="71">
        <v>43502</v>
      </c>
      <c r="F127" s="72">
        <v>5477.6</v>
      </c>
      <c r="G127" s="32">
        <f t="shared" si="0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66">
        <v>43502</v>
      </c>
      <c r="B128" s="33">
        <v>3352</v>
      </c>
      <c r="C128" s="30" t="s">
        <v>12</v>
      </c>
      <c r="D128" s="40">
        <v>3360</v>
      </c>
      <c r="E128" s="71">
        <v>43502</v>
      </c>
      <c r="F128" s="72">
        <v>3360</v>
      </c>
      <c r="G128" s="32">
        <f t="shared" si="0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66">
        <v>43503</v>
      </c>
      <c r="B129" s="33">
        <v>3353</v>
      </c>
      <c r="C129" s="30" t="s">
        <v>11</v>
      </c>
      <c r="D129" s="40">
        <v>421.2</v>
      </c>
      <c r="E129" s="71">
        <v>43503</v>
      </c>
      <c r="F129" s="72">
        <v>421.2</v>
      </c>
      <c r="G129" s="32">
        <f t="shared" si="0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66">
        <v>43503</v>
      </c>
      <c r="B130" s="33">
        <v>3354</v>
      </c>
      <c r="C130" s="30" t="s">
        <v>9</v>
      </c>
      <c r="D130" s="40">
        <v>2410.8000000000002</v>
      </c>
      <c r="E130" s="71">
        <v>43503</v>
      </c>
      <c r="F130" s="72">
        <v>2410.8000000000002</v>
      </c>
      <c r="G130" s="32">
        <f t="shared" si="0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66">
        <v>43503</v>
      </c>
      <c r="B131" s="33">
        <v>3355</v>
      </c>
      <c r="C131" s="30" t="s">
        <v>14</v>
      </c>
      <c r="D131" s="40">
        <v>2916.2</v>
      </c>
      <c r="E131" s="71">
        <v>43503</v>
      </c>
      <c r="F131" s="72">
        <v>2916.2</v>
      </c>
      <c r="G131" s="32">
        <f t="shared" si="0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66">
        <v>43504</v>
      </c>
      <c r="B132" s="33">
        <v>3356</v>
      </c>
      <c r="C132" s="30" t="s">
        <v>11</v>
      </c>
      <c r="D132" s="40">
        <v>4414.8</v>
      </c>
      <c r="E132" s="71">
        <v>43504</v>
      </c>
      <c r="F132" s="72">
        <v>4414.8</v>
      </c>
      <c r="G132" s="32">
        <f t="shared" si="0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66">
        <v>43504</v>
      </c>
      <c r="B133" s="33">
        <v>3357</v>
      </c>
      <c r="C133" s="30" t="s">
        <v>8</v>
      </c>
      <c r="D133" s="40">
        <v>29697.279999999999</v>
      </c>
      <c r="E133" s="71">
        <v>43504</v>
      </c>
      <c r="F133" s="72">
        <v>29697.279999999999</v>
      </c>
      <c r="G133" s="32">
        <f t="shared" si="0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66">
        <v>43505</v>
      </c>
      <c r="B134" s="33">
        <v>3358</v>
      </c>
      <c r="C134" s="30" t="s">
        <v>7</v>
      </c>
      <c r="D134" s="40">
        <v>5433.2</v>
      </c>
      <c r="E134" s="71">
        <v>43505</v>
      </c>
      <c r="F134" s="72">
        <v>5433.2</v>
      </c>
      <c r="G134" s="32">
        <f t="shared" si="0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66">
        <v>43505</v>
      </c>
      <c r="B135" s="33">
        <v>3359</v>
      </c>
      <c r="C135" s="30" t="s">
        <v>9</v>
      </c>
      <c r="D135" s="40">
        <v>29074</v>
      </c>
      <c r="E135" s="67">
        <v>43506</v>
      </c>
      <c r="F135" s="68">
        <v>29074</v>
      </c>
      <c r="G135" s="32">
        <f t="shared" si="0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66">
        <v>43505</v>
      </c>
      <c r="B136" s="33">
        <v>3360</v>
      </c>
      <c r="C136" s="30" t="s">
        <v>29</v>
      </c>
      <c r="D136" s="40">
        <v>5848.2</v>
      </c>
      <c r="E136" s="71">
        <v>43505</v>
      </c>
      <c r="F136" s="72">
        <v>5848.2</v>
      </c>
      <c r="G136" s="32">
        <f t="shared" si="0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66">
        <v>43505</v>
      </c>
      <c r="B137" s="33">
        <v>3361</v>
      </c>
      <c r="C137" s="30" t="s">
        <v>10</v>
      </c>
      <c r="D137" s="40">
        <v>5336.3</v>
      </c>
      <c r="E137" s="71">
        <v>43505</v>
      </c>
      <c r="F137" s="72">
        <v>5336.3</v>
      </c>
      <c r="G137" s="32">
        <f t="shared" si="0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66">
        <v>43505</v>
      </c>
      <c r="B138" s="33">
        <v>3362</v>
      </c>
      <c r="C138" s="30" t="s">
        <v>11</v>
      </c>
      <c r="D138" s="40">
        <v>14261.8</v>
      </c>
      <c r="E138" s="67" t="s">
        <v>33</v>
      </c>
      <c r="F138" s="68">
        <f>10000+4261.8</f>
        <v>14261.8</v>
      </c>
      <c r="G138" s="32">
        <f t="shared" si="0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66">
        <v>43505</v>
      </c>
      <c r="B139" s="33">
        <v>3363</v>
      </c>
      <c r="C139" s="30" t="s">
        <v>12</v>
      </c>
      <c r="D139" s="40">
        <v>1536.8</v>
      </c>
      <c r="E139" s="67">
        <v>43510</v>
      </c>
      <c r="F139" s="68">
        <v>1536.8</v>
      </c>
      <c r="G139" s="32">
        <f t="shared" si="0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66"/>
      <c r="B140" s="29"/>
      <c r="C140" s="30"/>
      <c r="D140" s="40"/>
      <c r="E140" s="24"/>
      <c r="F140" s="25"/>
      <c r="G140" s="32">
        <f t="shared" si="0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thickBot="1" x14ac:dyDescent="0.3">
      <c r="A141" s="43"/>
      <c r="B141" s="44"/>
      <c r="C141" s="45"/>
      <c r="D141" s="46"/>
      <c r="E141" s="47"/>
      <c r="F141" s="46"/>
      <c r="G141" s="32">
        <f t="shared" si="0"/>
        <v>0</v>
      </c>
      <c r="H141" s="2"/>
    </row>
    <row r="142" spans="1:17" ht="16.5" thickTop="1" x14ac:dyDescent="0.25">
      <c r="A142" s="49"/>
      <c r="B142" s="50"/>
      <c r="C142" s="2"/>
      <c r="D142" s="51">
        <f>SUM(D4:D141)</f>
        <v>1333427.9100000001</v>
      </c>
      <c r="E142" s="52"/>
      <c r="F142" s="51">
        <f>SUM(F4:F141)</f>
        <v>1333427.9110000001</v>
      </c>
      <c r="G142" s="55"/>
      <c r="H142" s="2"/>
    </row>
    <row r="143" spans="1:17" x14ac:dyDescent="0.25">
      <c r="A143" s="49"/>
      <c r="B143" s="50"/>
      <c r="C143" s="2"/>
      <c r="D143" s="53"/>
      <c r="E143" s="52"/>
      <c r="F143" s="53"/>
      <c r="G143" s="55"/>
      <c r="H143" s="2"/>
    </row>
    <row r="144" spans="1:17" ht="30" x14ac:dyDescent="0.25">
      <c r="A144" s="49"/>
      <c r="B144" s="50"/>
      <c r="C144" s="2"/>
      <c r="D144" s="56" t="s">
        <v>15</v>
      </c>
      <c r="E144" s="52"/>
      <c r="F144" s="57" t="s">
        <v>16</v>
      </c>
      <c r="G144" s="55"/>
      <c r="H144" s="2"/>
    </row>
    <row r="145" spans="1:16" ht="15.75" thickBot="1" x14ac:dyDescent="0.3">
      <c r="A145" s="49"/>
      <c r="B145" s="50"/>
      <c r="C145" s="2"/>
      <c r="D145" s="56"/>
      <c r="E145" s="52"/>
      <c r="F145" s="57"/>
      <c r="G145" s="55"/>
      <c r="H145" s="2"/>
    </row>
    <row r="146" spans="1:16" ht="21.75" thickBot="1" x14ac:dyDescent="0.4">
      <c r="A146" s="49"/>
      <c r="B146" s="50"/>
      <c r="C146" s="2"/>
      <c r="D146" s="126">
        <f>D142-F142</f>
        <v>-9.9999993108212948E-4</v>
      </c>
      <c r="E146" s="127"/>
      <c r="F146" s="128"/>
      <c r="H146" s="2"/>
    </row>
    <row r="147" spans="1:16" x14ac:dyDescent="0.25">
      <c r="A147" s="49"/>
      <c r="B147" s="50"/>
      <c r="C147" s="2"/>
      <c r="D147" s="53"/>
      <c r="E147" s="52"/>
      <c r="F147" s="53"/>
      <c r="H147" s="2"/>
      <c r="K147" s="49"/>
      <c r="L147" s="50"/>
      <c r="M147" s="2"/>
      <c r="N147" s="53"/>
      <c r="O147" s="52"/>
      <c r="P147" s="53"/>
    </row>
    <row r="148" spans="1:16" ht="18.75" x14ac:dyDescent="0.3">
      <c r="A148" s="49"/>
      <c r="B148" s="50"/>
      <c r="C148" s="2"/>
      <c r="D148" s="129" t="s">
        <v>17</v>
      </c>
      <c r="E148" s="129"/>
      <c r="F148" s="129"/>
      <c r="H148" s="2"/>
      <c r="K148" s="49"/>
      <c r="L148" s="50"/>
      <c r="M148" s="2"/>
    </row>
    <row r="149" spans="1:16" x14ac:dyDescent="0.25">
      <c r="A149" s="49"/>
      <c r="B149" s="50"/>
      <c r="C149" s="2"/>
      <c r="D149" s="53"/>
      <c r="E149" s="52"/>
      <c r="F149" s="53"/>
      <c r="H149" s="2"/>
      <c r="K149" s="49"/>
      <c r="L149" s="50"/>
      <c r="M149" s="2"/>
      <c r="N149" s="53"/>
      <c r="O149" s="52"/>
      <c r="P149" s="53"/>
    </row>
    <row r="150" spans="1:16" x14ac:dyDescent="0.25">
      <c r="A150" s="49"/>
      <c r="B150" s="50"/>
      <c r="C150" s="2"/>
      <c r="D150" s="53"/>
      <c r="E150" s="52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52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52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52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52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52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52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52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52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52"/>
      <c r="F159" s="53"/>
      <c r="H159" s="2"/>
      <c r="K159" s="49"/>
      <c r="L159" s="50"/>
      <c r="M159" s="2"/>
      <c r="N159" s="53"/>
      <c r="O159" s="52"/>
      <c r="P159" s="53"/>
    </row>
  </sheetData>
  <mergeCells count="8">
    <mergeCell ref="D146:F146"/>
    <mergeCell ref="D148:F14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EF68E-0D9B-4183-8AF4-D56D8293E797}">
  <sheetPr>
    <tabColor theme="2" tint="-0.499984740745262"/>
  </sheetPr>
  <dimension ref="A1:Q143"/>
  <sheetViews>
    <sheetView tabSelected="1" topLeftCell="A112" workbookViewId="0">
      <selection activeCell="B128" sqref="B128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style="11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161</v>
      </c>
      <c r="C1" s="130"/>
      <c r="D1" s="130"/>
      <c r="E1" s="130"/>
      <c r="F1" s="130"/>
      <c r="H1" s="2"/>
      <c r="K1" s="3"/>
      <c r="L1" s="131" t="s">
        <v>177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122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23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43741</v>
      </c>
      <c r="B4" s="87">
        <v>4271</v>
      </c>
      <c r="C4" s="88" t="s">
        <v>10</v>
      </c>
      <c r="D4" s="89">
        <v>1366.2</v>
      </c>
      <c r="E4" s="103">
        <v>43742</v>
      </c>
      <c r="F4" s="96">
        <v>1366.2</v>
      </c>
      <c r="G4" s="124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43741</v>
      </c>
      <c r="B5" s="87">
        <f t="shared" ref="B5:B68" si="0">B4+1</f>
        <v>4272</v>
      </c>
      <c r="C5" s="88" t="s">
        <v>8</v>
      </c>
      <c r="D5" s="89">
        <v>960</v>
      </c>
      <c r="E5" s="103">
        <v>43743</v>
      </c>
      <c r="F5" s="96">
        <v>960</v>
      </c>
      <c r="G5" s="93">
        <f>D5-F5</f>
        <v>0</v>
      </c>
      <c r="H5" s="2"/>
      <c r="K5" s="28">
        <v>43741</v>
      </c>
      <c r="L5" s="33">
        <v>263</v>
      </c>
      <c r="M5" s="34" t="s">
        <v>25</v>
      </c>
      <c r="N5" s="31">
        <v>3604</v>
      </c>
      <c r="O5" s="24"/>
      <c r="P5" s="25"/>
      <c r="Q5" s="32">
        <f>N5-P5</f>
        <v>3604</v>
      </c>
    </row>
    <row r="6" spans="1:17" ht="15.75" x14ac:dyDescent="0.25">
      <c r="A6" s="86">
        <v>43741</v>
      </c>
      <c r="B6" s="87">
        <f t="shared" si="0"/>
        <v>4273</v>
      </c>
      <c r="C6" s="88" t="s">
        <v>9</v>
      </c>
      <c r="D6" s="89">
        <v>10423.6</v>
      </c>
      <c r="E6" s="103">
        <v>43745</v>
      </c>
      <c r="F6" s="96">
        <v>10423.6</v>
      </c>
      <c r="G6" s="93">
        <f>D6-F6</f>
        <v>0</v>
      </c>
      <c r="H6" s="2"/>
      <c r="K6" s="28">
        <v>43742</v>
      </c>
      <c r="L6" s="33">
        <f>L5+1</f>
        <v>264</v>
      </c>
      <c r="M6" s="34" t="s">
        <v>25</v>
      </c>
      <c r="N6" s="31">
        <v>3642</v>
      </c>
      <c r="O6" s="24"/>
      <c r="P6" s="25"/>
      <c r="Q6" s="32">
        <f>N6-P6</f>
        <v>3642</v>
      </c>
    </row>
    <row r="7" spans="1:17" ht="15.75" x14ac:dyDescent="0.25">
      <c r="A7" s="86">
        <v>43741</v>
      </c>
      <c r="B7" s="87">
        <f t="shared" si="0"/>
        <v>4274</v>
      </c>
      <c r="C7" s="88" t="s">
        <v>44</v>
      </c>
      <c r="D7" s="89">
        <v>4600.3999999999996</v>
      </c>
      <c r="E7" s="103" t="s">
        <v>166</v>
      </c>
      <c r="F7" s="96">
        <f>4000.4+600</f>
        <v>4600.3999999999996</v>
      </c>
      <c r="G7" s="93">
        <f t="shared" ref="G7:G125" si="1">D7-F7</f>
        <v>0</v>
      </c>
      <c r="H7" s="2"/>
      <c r="K7" s="28">
        <v>43745</v>
      </c>
      <c r="L7" s="33">
        <f t="shared" ref="L7:L16" si="2">L6+1</f>
        <v>265</v>
      </c>
      <c r="M7" s="30" t="s">
        <v>25</v>
      </c>
      <c r="N7" s="31">
        <v>270</v>
      </c>
      <c r="O7" s="24"/>
      <c r="P7" s="25"/>
      <c r="Q7" s="32">
        <f t="shared" ref="Q7:Q22" si="3">N7-P7</f>
        <v>270</v>
      </c>
    </row>
    <row r="8" spans="1:17" ht="15.75" x14ac:dyDescent="0.25">
      <c r="A8" s="86">
        <v>43741</v>
      </c>
      <c r="B8" s="87">
        <f t="shared" si="0"/>
        <v>4275</v>
      </c>
      <c r="C8" s="88" t="s">
        <v>12</v>
      </c>
      <c r="D8" s="89">
        <v>1976</v>
      </c>
      <c r="E8" s="103">
        <v>43742</v>
      </c>
      <c r="F8" s="96">
        <v>1976</v>
      </c>
      <c r="G8" s="93">
        <f t="shared" si="1"/>
        <v>0</v>
      </c>
      <c r="H8" s="2"/>
      <c r="K8" s="28">
        <v>43745</v>
      </c>
      <c r="L8" s="33">
        <f t="shared" si="2"/>
        <v>266</v>
      </c>
      <c r="M8" s="30" t="s">
        <v>25</v>
      </c>
      <c r="N8" s="31">
        <v>6922.5</v>
      </c>
      <c r="O8" s="24"/>
      <c r="P8" s="25"/>
      <c r="Q8" s="32">
        <f t="shared" si="3"/>
        <v>6922.5</v>
      </c>
    </row>
    <row r="9" spans="1:17" ht="15.75" x14ac:dyDescent="0.25">
      <c r="A9" s="86">
        <v>43742</v>
      </c>
      <c r="B9" s="87">
        <f t="shared" si="0"/>
        <v>4276</v>
      </c>
      <c r="C9" s="88" t="s">
        <v>8</v>
      </c>
      <c r="D9" s="89">
        <v>12160.8</v>
      </c>
      <c r="E9" s="103">
        <v>43743</v>
      </c>
      <c r="F9" s="96">
        <v>12160.8</v>
      </c>
      <c r="G9" s="93">
        <f t="shared" si="1"/>
        <v>0</v>
      </c>
      <c r="H9" s="2"/>
      <c r="K9" s="28">
        <v>43747</v>
      </c>
      <c r="L9" s="33">
        <f t="shared" si="2"/>
        <v>267</v>
      </c>
      <c r="M9" s="30" t="s">
        <v>25</v>
      </c>
      <c r="N9" s="31">
        <v>2431</v>
      </c>
      <c r="O9" s="24"/>
      <c r="P9" s="25"/>
      <c r="Q9" s="32">
        <f t="shared" si="3"/>
        <v>2431</v>
      </c>
    </row>
    <row r="10" spans="1:17" ht="15.75" x14ac:dyDescent="0.25">
      <c r="A10" s="86">
        <v>43742</v>
      </c>
      <c r="B10" s="87">
        <f t="shared" si="0"/>
        <v>4277</v>
      </c>
      <c r="C10" s="88" t="s">
        <v>12</v>
      </c>
      <c r="D10" s="102">
        <v>2416.8000000000002</v>
      </c>
      <c r="E10" s="103">
        <v>43744</v>
      </c>
      <c r="F10" s="96">
        <v>2416.8000000000002</v>
      </c>
      <c r="G10" s="93">
        <f t="shared" si="1"/>
        <v>0</v>
      </c>
      <c r="H10" s="2"/>
      <c r="K10" s="28">
        <v>43749</v>
      </c>
      <c r="L10" s="33">
        <f t="shared" si="2"/>
        <v>268</v>
      </c>
      <c r="M10" s="34" t="s">
        <v>25</v>
      </c>
      <c r="N10" s="31">
        <v>1428</v>
      </c>
      <c r="O10" s="24"/>
      <c r="P10" s="25"/>
      <c r="Q10" s="32">
        <f t="shared" si="3"/>
        <v>1428</v>
      </c>
    </row>
    <row r="11" spans="1:17" ht="15.75" x14ac:dyDescent="0.25">
      <c r="A11" s="86">
        <v>43742</v>
      </c>
      <c r="B11" s="87">
        <f t="shared" si="0"/>
        <v>4278</v>
      </c>
      <c r="C11" s="88" t="s">
        <v>10</v>
      </c>
      <c r="D11" s="102">
        <v>3544.6</v>
      </c>
      <c r="E11" s="103">
        <v>43743</v>
      </c>
      <c r="F11" s="96">
        <v>3544.6</v>
      </c>
      <c r="G11" s="93">
        <f t="shared" si="1"/>
        <v>0</v>
      </c>
      <c r="H11" s="2"/>
      <c r="K11" s="86">
        <v>43752</v>
      </c>
      <c r="L11" s="87">
        <f t="shared" si="2"/>
        <v>269</v>
      </c>
      <c r="M11" s="104" t="s">
        <v>25</v>
      </c>
      <c r="N11" s="31">
        <v>3258</v>
      </c>
      <c r="O11" s="24"/>
      <c r="P11" s="25"/>
      <c r="Q11" s="32">
        <f t="shared" si="3"/>
        <v>3258</v>
      </c>
    </row>
    <row r="12" spans="1:17" ht="15.75" x14ac:dyDescent="0.25">
      <c r="A12" s="86">
        <v>43742</v>
      </c>
      <c r="B12" s="87">
        <f t="shared" si="0"/>
        <v>4279</v>
      </c>
      <c r="C12" s="88" t="s">
        <v>13</v>
      </c>
      <c r="D12" s="102">
        <v>12080</v>
      </c>
      <c r="E12" s="103" t="s">
        <v>168</v>
      </c>
      <c r="F12" s="96">
        <f>4000+8080</f>
        <v>12080</v>
      </c>
      <c r="G12" s="93">
        <f t="shared" si="1"/>
        <v>0</v>
      </c>
      <c r="H12" s="2"/>
      <c r="K12" s="28">
        <v>43753</v>
      </c>
      <c r="L12" s="33">
        <f t="shared" si="2"/>
        <v>270</v>
      </c>
      <c r="M12" s="34" t="s">
        <v>25</v>
      </c>
      <c r="N12" s="31">
        <v>7344</v>
      </c>
      <c r="O12" s="24"/>
      <c r="P12" s="25"/>
      <c r="Q12" s="32">
        <f t="shared" si="3"/>
        <v>7344</v>
      </c>
    </row>
    <row r="13" spans="1:17" ht="15.75" x14ac:dyDescent="0.25">
      <c r="A13" s="86">
        <v>43743</v>
      </c>
      <c r="B13" s="87">
        <f t="shared" si="0"/>
        <v>4280</v>
      </c>
      <c r="C13" s="88" t="s">
        <v>7</v>
      </c>
      <c r="D13" s="102">
        <v>7081.8</v>
      </c>
      <c r="E13" s="103">
        <v>43743</v>
      </c>
      <c r="F13" s="96">
        <v>7081.8</v>
      </c>
      <c r="G13" s="93">
        <f t="shared" si="1"/>
        <v>0</v>
      </c>
      <c r="H13" s="2"/>
      <c r="K13" s="86">
        <v>43757</v>
      </c>
      <c r="L13" s="87">
        <f t="shared" si="2"/>
        <v>271</v>
      </c>
      <c r="M13" s="34" t="s">
        <v>25</v>
      </c>
      <c r="N13" s="31">
        <v>210</v>
      </c>
      <c r="O13" s="24"/>
      <c r="P13" s="25"/>
      <c r="Q13" s="32">
        <f t="shared" si="3"/>
        <v>210</v>
      </c>
    </row>
    <row r="14" spans="1:17" ht="15.75" x14ac:dyDescent="0.25">
      <c r="A14" s="86">
        <v>43743</v>
      </c>
      <c r="B14" s="87">
        <f t="shared" si="0"/>
        <v>4281</v>
      </c>
      <c r="C14" s="104" t="s">
        <v>9</v>
      </c>
      <c r="D14" s="102">
        <v>39911</v>
      </c>
      <c r="E14" s="103" t="s">
        <v>188</v>
      </c>
      <c r="F14" s="96">
        <f>31911+8000</f>
        <v>39911</v>
      </c>
      <c r="G14" s="93">
        <f t="shared" si="1"/>
        <v>0</v>
      </c>
      <c r="H14" s="2"/>
      <c r="K14" s="28">
        <v>43757</v>
      </c>
      <c r="L14" s="33">
        <f t="shared" si="2"/>
        <v>272</v>
      </c>
      <c r="M14" s="30" t="s">
        <v>25</v>
      </c>
      <c r="N14" s="31">
        <v>5082</v>
      </c>
      <c r="O14" s="24"/>
      <c r="P14" s="25"/>
      <c r="Q14" s="32">
        <f t="shared" si="3"/>
        <v>5082</v>
      </c>
    </row>
    <row r="15" spans="1:17" ht="15.75" x14ac:dyDescent="0.25">
      <c r="A15" s="86">
        <v>43743</v>
      </c>
      <c r="B15" s="87">
        <f t="shared" si="0"/>
        <v>4282</v>
      </c>
      <c r="C15" s="104" t="s">
        <v>8</v>
      </c>
      <c r="D15" s="102">
        <v>11764.8</v>
      </c>
      <c r="E15" s="103">
        <v>43744</v>
      </c>
      <c r="F15" s="96">
        <v>11764.8</v>
      </c>
      <c r="G15" s="93">
        <f t="shared" si="1"/>
        <v>0</v>
      </c>
      <c r="H15" s="2"/>
      <c r="K15" s="86">
        <v>43759</v>
      </c>
      <c r="L15" s="87">
        <f t="shared" si="2"/>
        <v>273</v>
      </c>
      <c r="M15" s="113" t="s">
        <v>26</v>
      </c>
      <c r="N15" s="102">
        <v>0</v>
      </c>
      <c r="O15" s="24"/>
      <c r="P15" s="25"/>
      <c r="Q15" s="32">
        <f t="shared" si="3"/>
        <v>0</v>
      </c>
    </row>
    <row r="16" spans="1:17" ht="15.75" x14ac:dyDescent="0.25">
      <c r="A16" s="86">
        <v>43743</v>
      </c>
      <c r="B16" s="87">
        <f t="shared" si="0"/>
        <v>4283</v>
      </c>
      <c r="C16" s="117" t="s">
        <v>12</v>
      </c>
      <c r="D16" s="102">
        <v>2561.1999999999998</v>
      </c>
      <c r="E16" s="103">
        <v>43755</v>
      </c>
      <c r="F16" s="96">
        <v>2561.1999999999998</v>
      </c>
      <c r="G16" s="93">
        <f t="shared" si="1"/>
        <v>0</v>
      </c>
      <c r="H16" s="2"/>
      <c r="K16" s="28">
        <v>43759</v>
      </c>
      <c r="L16" s="33">
        <f t="shared" si="2"/>
        <v>274</v>
      </c>
      <c r="M16" s="30" t="s">
        <v>25</v>
      </c>
      <c r="N16" s="31">
        <v>4608</v>
      </c>
      <c r="O16" s="24"/>
      <c r="P16" s="25"/>
      <c r="Q16" s="32">
        <f t="shared" si="3"/>
        <v>4608</v>
      </c>
    </row>
    <row r="17" spans="1:17" ht="15.75" x14ac:dyDescent="0.25">
      <c r="A17" s="86">
        <v>43743</v>
      </c>
      <c r="B17" s="87">
        <f t="shared" si="0"/>
        <v>4284</v>
      </c>
      <c r="C17" s="104" t="s">
        <v>10</v>
      </c>
      <c r="D17" s="102">
        <v>3507.6</v>
      </c>
      <c r="E17" s="103">
        <v>43744</v>
      </c>
      <c r="F17" s="96">
        <v>3507.6</v>
      </c>
      <c r="G17" s="93">
        <f t="shared" si="1"/>
        <v>0</v>
      </c>
      <c r="H17" s="2"/>
      <c r="K17" s="28">
        <v>43762</v>
      </c>
      <c r="L17" s="33">
        <v>275</v>
      </c>
      <c r="M17" s="34" t="s">
        <v>25</v>
      </c>
      <c r="N17" s="31">
        <v>2100</v>
      </c>
      <c r="O17" s="24"/>
      <c r="P17" s="25"/>
      <c r="Q17" s="32">
        <f t="shared" si="3"/>
        <v>2100</v>
      </c>
    </row>
    <row r="18" spans="1:17" ht="15.75" x14ac:dyDescent="0.25">
      <c r="A18" s="86">
        <v>43744</v>
      </c>
      <c r="B18" s="87">
        <f t="shared" si="0"/>
        <v>4285</v>
      </c>
      <c r="C18" s="104" t="s">
        <v>12</v>
      </c>
      <c r="D18" s="102">
        <v>2918.4</v>
      </c>
      <c r="E18" s="103">
        <v>43756</v>
      </c>
      <c r="F18" s="96">
        <v>2918.4</v>
      </c>
      <c r="G18" s="93">
        <f t="shared" si="1"/>
        <v>0</v>
      </c>
      <c r="H18" s="2"/>
      <c r="K18" s="75">
        <v>43762</v>
      </c>
      <c r="L18" s="33">
        <v>276</v>
      </c>
      <c r="M18" s="34" t="s">
        <v>194</v>
      </c>
      <c r="N18" s="31">
        <v>2584</v>
      </c>
      <c r="O18" s="24"/>
      <c r="P18" s="25"/>
      <c r="Q18" s="32">
        <f t="shared" si="3"/>
        <v>2584</v>
      </c>
    </row>
    <row r="19" spans="1:17" ht="15.75" x14ac:dyDescent="0.25">
      <c r="A19" s="86">
        <v>43744</v>
      </c>
      <c r="B19" s="87">
        <f t="shared" si="0"/>
        <v>4286</v>
      </c>
      <c r="C19" s="88" t="s">
        <v>10</v>
      </c>
      <c r="D19" s="102">
        <v>2442</v>
      </c>
      <c r="E19" s="103">
        <v>43745</v>
      </c>
      <c r="F19" s="96">
        <v>2442</v>
      </c>
      <c r="G19" s="93">
        <f t="shared" si="1"/>
        <v>0</v>
      </c>
      <c r="H19" s="2"/>
      <c r="K19" s="75">
        <v>43764</v>
      </c>
      <c r="L19" s="33">
        <v>277</v>
      </c>
      <c r="M19" s="36" t="s">
        <v>26</v>
      </c>
      <c r="N19" s="31">
        <v>0</v>
      </c>
      <c r="O19" s="24"/>
      <c r="P19" s="25"/>
      <c r="Q19" s="32">
        <f t="shared" si="3"/>
        <v>0</v>
      </c>
    </row>
    <row r="20" spans="1:17" ht="15.75" x14ac:dyDescent="0.25">
      <c r="A20" s="86">
        <v>43744</v>
      </c>
      <c r="B20" s="87">
        <f t="shared" si="0"/>
        <v>4287</v>
      </c>
      <c r="C20" s="88" t="s">
        <v>9</v>
      </c>
      <c r="D20" s="102">
        <v>960</v>
      </c>
      <c r="E20" s="103">
        <v>43745</v>
      </c>
      <c r="F20" s="96">
        <v>960</v>
      </c>
      <c r="G20" s="93">
        <f t="shared" si="1"/>
        <v>0</v>
      </c>
      <c r="H20" s="2"/>
      <c r="K20" s="28">
        <v>43764</v>
      </c>
      <c r="L20" s="33">
        <v>278</v>
      </c>
      <c r="M20" s="30" t="s">
        <v>194</v>
      </c>
      <c r="N20" s="31">
        <v>4126</v>
      </c>
      <c r="O20" s="24"/>
      <c r="P20" s="25"/>
      <c r="Q20" s="32">
        <f t="shared" si="3"/>
        <v>4126</v>
      </c>
    </row>
    <row r="21" spans="1:17" ht="30" x14ac:dyDescent="0.25">
      <c r="A21" s="86">
        <v>43745</v>
      </c>
      <c r="B21" s="87">
        <f t="shared" si="0"/>
        <v>4288</v>
      </c>
      <c r="C21" s="88" t="s">
        <v>11</v>
      </c>
      <c r="D21" s="102">
        <v>7329.7</v>
      </c>
      <c r="E21" s="103" t="s">
        <v>169</v>
      </c>
      <c r="F21" s="96">
        <f>3500+3829.7</f>
        <v>7329.7</v>
      </c>
      <c r="G21" s="93">
        <f t="shared" si="1"/>
        <v>0</v>
      </c>
      <c r="H21" s="2"/>
      <c r="K21" s="28">
        <v>43768</v>
      </c>
      <c r="L21" s="33">
        <v>279</v>
      </c>
      <c r="M21" s="30" t="s">
        <v>194</v>
      </c>
      <c r="N21" s="31">
        <v>3168</v>
      </c>
      <c r="O21" s="24"/>
      <c r="P21" s="25"/>
      <c r="Q21" s="32">
        <f t="shared" si="3"/>
        <v>3168</v>
      </c>
    </row>
    <row r="22" spans="1:17" ht="15.75" x14ac:dyDescent="0.25">
      <c r="A22" s="86">
        <v>43745</v>
      </c>
      <c r="B22" s="87">
        <f t="shared" si="0"/>
        <v>4289</v>
      </c>
      <c r="C22" s="88" t="s">
        <v>8</v>
      </c>
      <c r="D22" s="102">
        <v>11282.4</v>
      </c>
      <c r="E22" s="103">
        <v>43748</v>
      </c>
      <c r="F22" s="96">
        <v>11282.4</v>
      </c>
      <c r="G22" s="93">
        <f t="shared" si="1"/>
        <v>0</v>
      </c>
      <c r="H22" s="2"/>
      <c r="K22" s="28">
        <v>43771</v>
      </c>
      <c r="L22" s="33">
        <v>280</v>
      </c>
      <c r="M22" s="30" t="s">
        <v>194</v>
      </c>
      <c r="N22" s="31">
        <v>4192</v>
      </c>
      <c r="O22" s="24"/>
      <c r="P22" s="25"/>
      <c r="Q22" s="32">
        <f t="shared" si="3"/>
        <v>4192</v>
      </c>
    </row>
    <row r="23" spans="1:17" ht="15.75" x14ac:dyDescent="0.25">
      <c r="A23" s="86">
        <v>43745</v>
      </c>
      <c r="B23" s="87">
        <f t="shared" si="0"/>
        <v>4290</v>
      </c>
      <c r="C23" s="88" t="s">
        <v>8</v>
      </c>
      <c r="D23" s="102">
        <v>660</v>
      </c>
      <c r="E23" s="103">
        <v>43748</v>
      </c>
      <c r="F23" s="96">
        <v>660</v>
      </c>
      <c r="G23" s="93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43745</v>
      </c>
      <c r="B24" s="87">
        <f t="shared" si="0"/>
        <v>4291</v>
      </c>
      <c r="C24" s="88" t="s">
        <v>10</v>
      </c>
      <c r="D24" s="102">
        <v>2553</v>
      </c>
      <c r="E24" s="103">
        <v>43746</v>
      </c>
      <c r="F24" s="96">
        <v>2553</v>
      </c>
      <c r="G24" s="93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43746</v>
      </c>
      <c r="B25" s="87">
        <f t="shared" si="0"/>
        <v>4292</v>
      </c>
      <c r="C25" s="88" t="s">
        <v>10</v>
      </c>
      <c r="D25" s="102">
        <v>1761.2</v>
      </c>
      <c r="E25" s="103">
        <v>43747</v>
      </c>
      <c r="F25" s="96">
        <v>1761.2</v>
      </c>
      <c r="G25" s="93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43747</v>
      </c>
      <c r="B26" s="87">
        <f t="shared" si="0"/>
        <v>4293</v>
      </c>
      <c r="C26" s="88" t="s">
        <v>8</v>
      </c>
      <c r="D26" s="102">
        <v>8841.6</v>
      </c>
      <c r="E26" s="103">
        <v>43748</v>
      </c>
      <c r="F26" s="96">
        <v>8841.6</v>
      </c>
      <c r="G26" s="93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43747</v>
      </c>
      <c r="B27" s="87">
        <f t="shared" si="0"/>
        <v>4294</v>
      </c>
      <c r="C27" s="104" t="s">
        <v>10</v>
      </c>
      <c r="D27" s="102">
        <v>2205.1999999999998</v>
      </c>
      <c r="E27" s="103">
        <v>43748</v>
      </c>
      <c r="F27" s="96">
        <v>2205.1999999999998</v>
      </c>
      <c r="G27" s="93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43747</v>
      </c>
      <c r="B28" s="87">
        <f t="shared" si="0"/>
        <v>4295</v>
      </c>
      <c r="C28" s="88" t="s">
        <v>11</v>
      </c>
      <c r="D28" s="102">
        <v>8647.2000000000007</v>
      </c>
      <c r="E28" s="103">
        <v>43751</v>
      </c>
      <c r="F28" s="96">
        <f>5500+3147.2</f>
        <v>8647.2000000000007</v>
      </c>
      <c r="G28" s="93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30" x14ac:dyDescent="0.25">
      <c r="A29" s="86">
        <v>43747</v>
      </c>
      <c r="B29" s="87">
        <f t="shared" si="0"/>
        <v>4296</v>
      </c>
      <c r="C29" s="88" t="s">
        <v>13</v>
      </c>
      <c r="D29" s="102">
        <v>10122.1</v>
      </c>
      <c r="E29" s="103" t="s">
        <v>170</v>
      </c>
      <c r="F29" s="96">
        <f>6000+4122.1</f>
        <v>10122.1</v>
      </c>
      <c r="G29" s="93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43748</v>
      </c>
      <c r="B30" s="87">
        <f t="shared" si="0"/>
        <v>4297</v>
      </c>
      <c r="C30" s="88" t="s">
        <v>9</v>
      </c>
      <c r="D30" s="102">
        <v>5260.8</v>
      </c>
      <c r="E30" s="103">
        <v>43752</v>
      </c>
      <c r="F30" s="96">
        <v>5260.8</v>
      </c>
      <c r="G30" s="93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30" x14ac:dyDescent="0.25">
      <c r="A31" s="86">
        <v>43748</v>
      </c>
      <c r="B31" s="87">
        <f t="shared" si="0"/>
        <v>4298</v>
      </c>
      <c r="C31" s="88" t="s">
        <v>11</v>
      </c>
      <c r="D31" s="102">
        <v>7531.2</v>
      </c>
      <c r="E31" s="103" t="s">
        <v>171</v>
      </c>
      <c r="F31" s="96">
        <f>5053+2478.2</f>
        <v>7531.2</v>
      </c>
      <c r="G31" s="93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43748</v>
      </c>
      <c r="B32" s="87">
        <f t="shared" si="0"/>
        <v>4299</v>
      </c>
      <c r="C32" s="88" t="s">
        <v>8</v>
      </c>
      <c r="D32" s="102">
        <v>6350.4</v>
      </c>
      <c r="E32" s="103">
        <v>43750</v>
      </c>
      <c r="F32" s="96">
        <v>6350.4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43748</v>
      </c>
      <c r="B33" s="87">
        <f t="shared" si="0"/>
        <v>4300</v>
      </c>
      <c r="C33" s="88" t="s">
        <v>10</v>
      </c>
      <c r="D33" s="102">
        <v>2116.4</v>
      </c>
      <c r="E33" s="103">
        <v>43749</v>
      </c>
      <c r="F33" s="96">
        <v>2116.4</v>
      </c>
      <c r="G33" s="93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43749</v>
      </c>
      <c r="B34" s="87">
        <f t="shared" si="0"/>
        <v>4301</v>
      </c>
      <c r="C34" s="88" t="s">
        <v>7</v>
      </c>
      <c r="D34" s="102">
        <v>7171.2</v>
      </c>
      <c r="E34" s="103">
        <v>43749</v>
      </c>
      <c r="F34" s="96">
        <v>7171.2</v>
      </c>
      <c r="G34" s="93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43749</v>
      </c>
      <c r="B35" s="87">
        <f t="shared" si="0"/>
        <v>4302</v>
      </c>
      <c r="C35" s="88" t="s">
        <v>8</v>
      </c>
      <c r="D35" s="102">
        <v>18429.8</v>
      </c>
      <c r="E35" s="103">
        <v>43750</v>
      </c>
      <c r="F35" s="96">
        <v>18429.8</v>
      </c>
      <c r="G35" s="93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43749</v>
      </c>
      <c r="B36" s="87">
        <f t="shared" si="0"/>
        <v>4303</v>
      </c>
      <c r="C36" s="88" t="s">
        <v>10</v>
      </c>
      <c r="D36" s="102">
        <v>2708.4</v>
      </c>
      <c r="E36" s="103">
        <v>43750</v>
      </c>
      <c r="F36" s="96">
        <v>2708.4</v>
      </c>
      <c r="G36" s="93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30" x14ac:dyDescent="0.25">
      <c r="A37" s="86">
        <v>43749</v>
      </c>
      <c r="B37" s="87">
        <f t="shared" si="0"/>
        <v>4304</v>
      </c>
      <c r="C37" s="88" t="s">
        <v>11</v>
      </c>
      <c r="D37" s="89">
        <v>8323.2000000000007</v>
      </c>
      <c r="E37" s="107" t="s">
        <v>173</v>
      </c>
      <c r="F37" s="89">
        <f>2000+4000+2323.2</f>
        <v>8323.2000000000007</v>
      </c>
      <c r="G37" s="93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30.75" thickBot="1" x14ac:dyDescent="0.3">
      <c r="A38" s="86">
        <v>43749</v>
      </c>
      <c r="B38" s="87">
        <f t="shared" si="0"/>
        <v>4305</v>
      </c>
      <c r="C38" s="88" t="s">
        <v>13</v>
      </c>
      <c r="D38" s="89">
        <v>5075</v>
      </c>
      <c r="E38" s="103" t="s">
        <v>174</v>
      </c>
      <c r="F38" s="96">
        <f>4600+475</f>
        <v>5075</v>
      </c>
      <c r="G38" s="93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43750</v>
      </c>
      <c r="B39" s="87">
        <f t="shared" si="0"/>
        <v>4306</v>
      </c>
      <c r="C39" s="104" t="s">
        <v>9</v>
      </c>
      <c r="D39" s="89">
        <v>40352.5</v>
      </c>
      <c r="E39" s="103" t="s">
        <v>199</v>
      </c>
      <c r="F39" s="96">
        <f>32352.5+8000</f>
        <v>40352.5</v>
      </c>
      <c r="G39" s="93">
        <f t="shared" si="1"/>
        <v>0</v>
      </c>
      <c r="H39" s="2"/>
      <c r="K39" s="49"/>
      <c r="L39" s="50"/>
      <c r="M39" s="2"/>
      <c r="N39" s="51">
        <f>SUM(N4:N38)</f>
        <v>54969.5</v>
      </c>
      <c r="O39" s="52"/>
      <c r="P39" s="53">
        <f>SUM(P4:P38)</f>
        <v>0</v>
      </c>
      <c r="Q39" s="54">
        <f>SUM(Q4:Q38)</f>
        <v>54969.5</v>
      </c>
    </row>
    <row r="40" spans="1:17" ht="15.75" x14ac:dyDescent="0.25">
      <c r="A40" s="86">
        <v>43750</v>
      </c>
      <c r="B40" s="87">
        <f t="shared" si="0"/>
        <v>4307</v>
      </c>
      <c r="C40" s="88" t="s">
        <v>8</v>
      </c>
      <c r="D40" s="89">
        <v>6647</v>
      </c>
      <c r="E40" s="103">
        <v>43750</v>
      </c>
      <c r="F40" s="96">
        <v>6647</v>
      </c>
      <c r="G40" s="93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43750</v>
      </c>
      <c r="B41" s="87">
        <f t="shared" si="0"/>
        <v>4308</v>
      </c>
      <c r="C41" s="88" t="s">
        <v>10</v>
      </c>
      <c r="D41" s="89">
        <v>3315.2</v>
      </c>
      <c r="E41" s="103">
        <v>43751</v>
      </c>
      <c r="F41" s="96">
        <v>3315.2</v>
      </c>
      <c r="G41" s="93">
        <f t="shared" si="1"/>
        <v>0</v>
      </c>
      <c r="H41" s="2"/>
      <c r="K41" s="49"/>
      <c r="L41" s="50"/>
      <c r="M41" s="2"/>
      <c r="N41" s="134" t="s">
        <v>15</v>
      </c>
      <c r="O41" s="52"/>
      <c r="P41" s="135" t="s">
        <v>16</v>
      </c>
      <c r="Q41" s="55"/>
    </row>
    <row r="42" spans="1:17" ht="15.75" customHeight="1" x14ac:dyDescent="0.25">
      <c r="A42" s="86">
        <v>43750</v>
      </c>
      <c r="B42" s="87">
        <f t="shared" si="0"/>
        <v>4309</v>
      </c>
      <c r="C42" s="88" t="s">
        <v>7</v>
      </c>
      <c r="D42" s="89">
        <v>5551.2</v>
      </c>
      <c r="E42" s="103">
        <v>43750</v>
      </c>
      <c r="F42" s="96">
        <v>5551.2</v>
      </c>
      <c r="G42" s="93">
        <f t="shared" si="1"/>
        <v>0</v>
      </c>
      <c r="H42" s="2"/>
      <c r="K42" s="49"/>
      <c r="L42" s="50"/>
      <c r="M42" s="2"/>
      <c r="N42" s="134"/>
      <c r="O42" s="52"/>
      <c r="P42" s="135"/>
      <c r="Q42" s="55"/>
    </row>
    <row r="43" spans="1:17" ht="15.75" customHeight="1" x14ac:dyDescent="0.25">
      <c r="A43" s="86">
        <v>43750</v>
      </c>
      <c r="B43" s="87">
        <f t="shared" si="0"/>
        <v>4310</v>
      </c>
      <c r="C43" s="88" t="s">
        <v>8</v>
      </c>
      <c r="D43" s="89">
        <v>11375</v>
      </c>
      <c r="E43" s="103">
        <v>43751</v>
      </c>
      <c r="F43" s="96">
        <v>11375</v>
      </c>
      <c r="G43" s="93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30.75" thickBot="1" x14ac:dyDescent="0.3">
      <c r="A44" s="86">
        <v>43750</v>
      </c>
      <c r="B44" s="87">
        <f t="shared" si="0"/>
        <v>4311</v>
      </c>
      <c r="C44" s="88" t="s">
        <v>13</v>
      </c>
      <c r="D44" s="89">
        <v>10633.8</v>
      </c>
      <c r="E44" s="103" t="s">
        <v>176</v>
      </c>
      <c r="F44" s="96">
        <f>5525+5108.8</f>
        <v>10633.8</v>
      </c>
      <c r="G44" s="93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21.75" thickBot="1" x14ac:dyDescent="0.4">
      <c r="A45" s="86">
        <v>43750</v>
      </c>
      <c r="B45" s="87">
        <f t="shared" si="0"/>
        <v>4312</v>
      </c>
      <c r="C45" s="88" t="s">
        <v>10</v>
      </c>
      <c r="D45" s="89">
        <v>1668.7</v>
      </c>
      <c r="E45" s="103">
        <v>43751</v>
      </c>
      <c r="F45" s="96">
        <v>1668.7</v>
      </c>
      <c r="G45" s="93">
        <f t="shared" si="1"/>
        <v>0</v>
      </c>
      <c r="H45" s="2"/>
      <c r="K45" s="49"/>
      <c r="L45" s="50"/>
      <c r="M45" s="2"/>
      <c r="N45" s="126">
        <f>N39-P39</f>
        <v>54969.5</v>
      </c>
      <c r="O45" s="127"/>
      <c r="P45" s="128"/>
    </row>
    <row r="46" spans="1:17" ht="30" x14ac:dyDescent="0.25">
      <c r="A46" s="86">
        <v>43750</v>
      </c>
      <c r="B46" s="87">
        <f t="shared" si="0"/>
        <v>4313</v>
      </c>
      <c r="C46" s="88" t="s">
        <v>11</v>
      </c>
      <c r="D46" s="89">
        <v>9281.8799999999992</v>
      </c>
      <c r="E46" s="103" t="s">
        <v>178</v>
      </c>
      <c r="F46" s="96">
        <f>5000+4281.88</f>
        <v>9281.880000000001</v>
      </c>
      <c r="G46" s="93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.75" x14ac:dyDescent="0.3">
      <c r="A47" s="86">
        <v>43751</v>
      </c>
      <c r="B47" s="87">
        <f t="shared" si="0"/>
        <v>4314</v>
      </c>
      <c r="C47" s="88" t="s">
        <v>8</v>
      </c>
      <c r="D47" s="89">
        <v>7917</v>
      </c>
      <c r="E47" s="103" t="s">
        <v>175</v>
      </c>
      <c r="F47" s="96">
        <f>7000+917</f>
        <v>7917</v>
      </c>
      <c r="G47" s="93">
        <f t="shared" si="1"/>
        <v>0</v>
      </c>
      <c r="H47" s="2"/>
      <c r="K47" s="20"/>
      <c r="L47" s="58"/>
      <c r="M47" s="59"/>
      <c r="N47" s="129" t="s">
        <v>17</v>
      </c>
      <c r="O47" s="129"/>
      <c r="P47" s="129"/>
      <c r="Q47" s="60"/>
    </row>
    <row r="48" spans="1:17" ht="15.75" x14ac:dyDescent="0.25">
      <c r="A48" s="86">
        <v>43751</v>
      </c>
      <c r="B48" s="87">
        <f t="shared" si="0"/>
        <v>4315</v>
      </c>
      <c r="C48" s="88" t="s">
        <v>10</v>
      </c>
      <c r="D48" s="89">
        <v>3322.6</v>
      </c>
      <c r="E48" s="103">
        <v>43480</v>
      </c>
      <c r="F48" s="96">
        <v>3322.6</v>
      </c>
      <c r="G48" s="93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30" x14ac:dyDescent="0.25">
      <c r="A49" s="86">
        <v>43751</v>
      </c>
      <c r="B49" s="87">
        <f t="shared" si="0"/>
        <v>4316</v>
      </c>
      <c r="C49" s="88" t="s">
        <v>11</v>
      </c>
      <c r="D49" s="89">
        <v>8477.2800000000007</v>
      </c>
      <c r="E49" s="103" t="s">
        <v>179</v>
      </c>
      <c r="F49" s="96">
        <f>5000+3477.28</f>
        <v>8477.2800000000007</v>
      </c>
      <c r="G49" s="93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43753</v>
      </c>
      <c r="B50" s="87">
        <f t="shared" si="0"/>
        <v>4317</v>
      </c>
      <c r="C50" s="88" t="s">
        <v>10</v>
      </c>
      <c r="D50" s="89">
        <v>745.2</v>
      </c>
      <c r="E50" s="103">
        <v>43754</v>
      </c>
      <c r="F50" s="96">
        <v>745.2</v>
      </c>
      <c r="G50" s="93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43754</v>
      </c>
      <c r="B51" s="87">
        <f t="shared" si="0"/>
        <v>4318</v>
      </c>
      <c r="C51" s="88" t="s">
        <v>11</v>
      </c>
      <c r="D51" s="89">
        <v>7133.04</v>
      </c>
      <c r="E51" s="103" t="s">
        <v>180</v>
      </c>
      <c r="F51" s="96">
        <f>3522.5+3610.54</f>
        <v>7133.04</v>
      </c>
      <c r="G51" s="93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43754</v>
      </c>
      <c r="B52" s="87">
        <f t="shared" si="0"/>
        <v>4319</v>
      </c>
      <c r="C52" s="88" t="s">
        <v>10</v>
      </c>
      <c r="D52" s="89">
        <v>2152.8000000000002</v>
      </c>
      <c r="E52" s="103">
        <v>43755</v>
      </c>
      <c r="F52" s="96">
        <v>2152.8000000000002</v>
      </c>
      <c r="G52" s="93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43754</v>
      </c>
      <c r="B53" s="87">
        <f t="shared" si="0"/>
        <v>4320</v>
      </c>
      <c r="C53" s="88" t="s">
        <v>8</v>
      </c>
      <c r="D53" s="89">
        <v>8085</v>
      </c>
      <c r="E53" s="103">
        <v>43756</v>
      </c>
      <c r="F53" s="96">
        <v>8085</v>
      </c>
      <c r="G53" s="93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43754</v>
      </c>
      <c r="B54" s="87">
        <f t="shared" si="0"/>
        <v>4321</v>
      </c>
      <c r="C54" s="88" t="s">
        <v>12</v>
      </c>
      <c r="D54" s="89">
        <v>1983.2</v>
      </c>
      <c r="E54" s="103">
        <v>43757</v>
      </c>
      <c r="F54" s="96">
        <v>1983.2</v>
      </c>
      <c r="G54" s="93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30" x14ac:dyDescent="0.25">
      <c r="A55" s="86">
        <v>43754</v>
      </c>
      <c r="B55" s="87">
        <f t="shared" si="0"/>
        <v>4322</v>
      </c>
      <c r="C55" s="88" t="s">
        <v>13</v>
      </c>
      <c r="D55" s="89">
        <v>8815.2000000000007</v>
      </c>
      <c r="E55" s="103" t="s">
        <v>183</v>
      </c>
      <c r="F55" s="96">
        <f>7900+915.2</f>
        <v>8815.2000000000007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43755</v>
      </c>
      <c r="B56" s="87">
        <f t="shared" si="0"/>
        <v>4323</v>
      </c>
      <c r="C56" s="88" t="s">
        <v>8</v>
      </c>
      <c r="D56" s="89">
        <v>7882</v>
      </c>
      <c r="E56" s="103">
        <v>43756</v>
      </c>
      <c r="F56" s="96">
        <v>7882</v>
      </c>
      <c r="G56" s="93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43755</v>
      </c>
      <c r="B57" s="87">
        <f t="shared" si="0"/>
        <v>4324</v>
      </c>
      <c r="C57" s="88" t="s">
        <v>11</v>
      </c>
      <c r="D57" s="89">
        <v>7980.12</v>
      </c>
      <c r="E57" s="103" t="s">
        <v>181</v>
      </c>
      <c r="F57" s="96">
        <f>389.5+7590.62</f>
        <v>7980.12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43755</v>
      </c>
      <c r="B58" s="87">
        <f t="shared" si="0"/>
        <v>4325</v>
      </c>
      <c r="C58" s="88" t="s">
        <v>12</v>
      </c>
      <c r="D58" s="89">
        <v>2553</v>
      </c>
      <c r="E58" s="103">
        <v>43757</v>
      </c>
      <c r="F58" s="96">
        <v>2553</v>
      </c>
      <c r="G58" s="93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43755</v>
      </c>
      <c r="B59" s="87">
        <f t="shared" si="0"/>
        <v>4326</v>
      </c>
      <c r="C59" s="88" t="s">
        <v>44</v>
      </c>
      <c r="D59" s="89">
        <v>4550</v>
      </c>
      <c r="E59" s="103">
        <v>43755</v>
      </c>
      <c r="F59" s="96">
        <v>4550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43755</v>
      </c>
      <c r="B60" s="87">
        <f t="shared" si="0"/>
        <v>4327</v>
      </c>
      <c r="C60" s="88" t="s">
        <v>10</v>
      </c>
      <c r="D60" s="89">
        <v>3276</v>
      </c>
      <c r="E60" s="103">
        <v>43756</v>
      </c>
      <c r="F60" s="96">
        <v>3276</v>
      </c>
      <c r="G60" s="93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43756</v>
      </c>
      <c r="B61" s="87">
        <f t="shared" si="0"/>
        <v>4328</v>
      </c>
      <c r="C61" s="88" t="s">
        <v>7</v>
      </c>
      <c r="D61" s="89">
        <v>9612.6</v>
      </c>
      <c r="E61" s="103">
        <v>43756</v>
      </c>
      <c r="F61" s="96">
        <v>9612.6</v>
      </c>
      <c r="G61" s="93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43756</v>
      </c>
      <c r="B62" s="87">
        <f t="shared" si="0"/>
        <v>4329</v>
      </c>
      <c r="C62" s="88" t="s">
        <v>8</v>
      </c>
      <c r="D62" s="89">
        <v>13209</v>
      </c>
      <c r="E62" s="103">
        <v>43758</v>
      </c>
      <c r="F62" s="96">
        <v>13209</v>
      </c>
      <c r="G62" s="93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43756</v>
      </c>
      <c r="B63" s="87">
        <f t="shared" si="0"/>
        <v>4330</v>
      </c>
      <c r="C63" s="104" t="s">
        <v>9</v>
      </c>
      <c r="D63" s="118">
        <v>1410</v>
      </c>
      <c r="E63" s="103">
        <v>43759</v>
      </c>
      <c r="F63" s="96">
        <v>1410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43756</v>
      </c>
      <c r="B64" s="87">
        <f t="shared" si="0"/>
        <v>4331</v>
      </c>
      <c r="C64" s="88" t="s">
        <v>10</v>
      </c>
      <c r="D64" s="89">
        <v>2886</v>
      </c>
      <c r="E64" s="103">
        <v>43757</v>
      </c>
      <c r="F64" s="96">
        <v>2886</v>
      </c>
      <c r="G64" s="93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43756</v>
      </c>
      <c r="B65" s="87">
        <f t="shared" si="0"/>
        <v>4332</v>
      </c>
      <c r="C65" s="88" t="s">
        <v>11</v>
      </c>
      <c r="D65" s="89">
        <v>8784.91</v>
      </c>
      <c r="E65" s="103" t="s">
        <v>182</v>
      </c>
      <c r="F65" s="96">
        <f>5409+3375.91</f>
        <v>8784.91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43757</v>
      </c>
      <c r="B66" s="87">
        <f t="shared" si="0"/>
        <v>4333</v>
      </c>
      <c r="C66" s="88" t="s">
        <v>9</v>
      </c>
      <c r="D66" s="89">
        <v>43693.4</v>
      </c>
      <c r="E66" s="103" t="s">
        <v>201</v>
      </c>
      <c r="F66" s="96">
        <f>35693.4+8000</f>
        <v>43693.4</v>
      </c>
      <c r="G66" s="93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30" x14ac:dyDescent="0.25">
      <c r="A67" s="86">
        <v>43757</v>
      </c>
      <c r="B67" s="87">
        <f t="shared" si="0"/>
        <v>4334</v>
      </c>
      <c r="C67" s="88" t="s">
        <v>12</v>
      </c>
      <c r="D67" s="89">
        <v>5715.2</v>
      </c>
      <c r="E67" s="103" t="s">
        <v>184</v>
      </c>
      <c r="F67" s="96">
        <f>2500+2000+1215.2</f>
        <v>5715.2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43757</v>
      </c>
      <c r="B68" s="87">
        <f t="shared" si="0"/>
        <v>4335</v>
      </c>
      <c r="C68" s="88" t="s">
        <v>8</v>
      </c>
      <c r="D68" s="89">
        <v>10499.6</v>
      </c>
      <c r="E68" s="103">
        <v>43758</v>
      </c>
      <c r="F68" s="96">
        <v>10499.6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43757</v>
      </c>
      <c r="B69" s="87">
        <f t="shared" ref="B69:B123" si="5">B68+1</f>
        <v>4336</v>
      </c>
      <c r="C69" s="88" t="s">
        <v>13</v>
      </c>
      <c r="D69" s="89">
        <v>10619.4</v>
      </c>
      <c r="E69" s="103" t="s">
        <v>185</v>
      </c>
      <c r="F69" s="96">
        <f>5085+5534.4</f>
        <v>10619.4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43757</v>
      </c>
      <c r="B70" s="87">
        <f t="shared" si="5"/>
        <v>4337</v>
      </c>
      <c r="C70" s="88" t="s">
        <v>18</v>
      </c>
      <c r="D70" s="89">
        <v>2082.4</v>
      </c>
      <c r="E70" s="103">
        <v>43758</v>
      </c>
      <c r="F70" s="96">
        <v>2082.4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30" x14ac:dyDescent="0.25">
      <c r="A71" s="86">
        <v>43757</v>
      </c>
      <c r="B71" s="87">
        <f t="shared" si="5"/>
        <v>4338</v>
      </c>
      <c r="C71" s="88" t="s">
        <v>32</v>
      </c>
      <c r="D71" s="89">
        <v>4965.3999999999996</v>
      </c>
      <c r="E71" s="103" t="s">
        <v>180</v>
      </c>
      <c r="F71" s="96">
        <f>3000+1965.4</f>
        <v>4965.3999999999996</v>
      </c>
      <c r="G71" s="93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43757</v>
      </c>
      <c r="B72" s="87">
        <f t="shared" si="5"/>
        <v>4339</v>
      </c>
      <c r="C72" s="88" t="s">
        <v>10</v>
      </c>
      <c r="D72" s="89">
        <v>4180</v>
      </c>
      <c r="E72" s="103">
        <v>43758</v>
      </c>
      <c r="F72" s="96">
        <v>4180</v>
      </c>
      <c r="G72" s="93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30" x14ac:dyDescent="0.25">
      <c r="A73" s="86">
        <v>43758</v>
      </c>
      <c r="B73" s="87">
        <f t="shared" si="5"/>
        <v>4340</v>
      </c>
      <c r="C73" s="88" t="s">
        <v>11</v>
      </c>
      <c r="D73" s="89">
        <v>7626.3</v>
      </c>
      <c r="E73" s="103" t="s">
        <v>186</v>
      </c>
      <c r="F73" s="96">
        <f>1124+6100+402.3</f>
        <v>7626.3</v>
      </c>
      <c r="G73" s="93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43758</v>
      </c>
      <c r="B74" s="87">
        <f t="shared" si="5"/>
        <v>4341</v>
      </c>
      <c r="C74" s="88" t="s">
        <v>8</v>
      </c>
      <c r="D74" s="89">
        <v>7842</v>
      </c>
      <c r="E74" s="103">
        <v>43759</v>
      </c>
      <c r="F74" s="96">
        <v>7842</v>
      </c>
      <c r="G74" s="93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43758</v>
      </c>
      <c r="B75" s="87">
        <f t="shared" si="5"/>
        <v>4342</v>
      </c>
      <c r="C75" s="88" t="s">
        <v>10</v>
      </c>
      <c r="D75" s="89">
        <v>2538.4</v>
      </c>
      <c r="E75" s="103">
        <v>43759</v>
      </c>
      <c r="F75" s="96">
        <v>2538.4</v>
      </c>
      <c r="G75" s="93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43758</v>
      </c>
      <c r="B76" s="87">
        <f t="shared" si="5"/>
        <v>4343</v>
      </c>
      <c r="C76" s="88" t="s">
        <v>8</v>
      </c>
      <c r="D76" s="89">
        <v>2812</v>
      </c>
      <c r="E76" s="103">
        <v>43759</v>
      </c>
      <c r="F76" s="96">
        <v>2812</v>
      </c>
      <c r="G76" s="93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43759</v>
      </c>
      <c r="B77" s="87">
        <f t="shared" si="5"/>
        <v>4344</v>
      </c>
      <c r="C77" s="88" t="s">
        <v>8</v>
      </c>
      <c r="D77" s="89">
        <v>16328.2</v>
      </c>
      <c r="E77" s="103">
        <v>43759</v>
      </c>
      <c r="F77" s="96">
        <v>16328.2</v>
      </c>
      <c r="G77" s="93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43759</v>
      </c>
      <c r="B78" s="87">
        <f t="shared" si="5"/>
        <v>4345</v>
      </c>
      <c r="C78" s="88" t="s">
        <v>10</v>
      </c>
      <c r="D78" s="89">
        <v>1739.4</v>
      </c>
      <c r="E78" s="103">
        <v>43760</v>
      </c>
      <c r="F78" s="96">
        <v>1739.4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30" x14ac:dyDescent="0.25">
      <c r="A79" s="86">
        <v>43759</v>
      </c>
      <c r="B79" s="87">
        <f t="shared" si="5"/>
        <v>4346</v>
      </c>
      <c r="C79" s="88" t="s">
        <v>12</v>
      </c>
      <c r="D79" s="89">
        <v>2230.8000000000002</v>
      </c>
      <c r="E79" s="103" t="s">
        <v>187</v>
      </c>
      <c r="F79" s="96">
        <f>2000+230.8</f>
        <v>2230.8000000000002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43759</v>
      </c>
      <c r="B80" s="87">
        <f t="shared" si="5"/>
        <v>4347</v>
      </c>
      <c r="C80" s="88" t="s">
        <v>11</v>
      </c>
      <c r="D80" s="89">
        <v>15710.34</v>
      </c>
      <c r="E80" s="103" t="s">
        <v>190</v>
      </c>
      <c r="F80" s="96">
        <f>10597.5+3500+1612.84</f>
        <v>15710.34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43760</v>
      </c>
      <c r="B81" s="87">
        <f t="shared" si="5"/>
        <v>4348</v>
      </c>
      <c r="C81" s="88" t="s">
        <v>8</v>
      </c>
      <c r="D81" s="89">
        <v>12350.6</v>
      </c>
      <c r="E81" s="103">
        <v>43761</v>
      </c>
      <c r="F81" s="96">
        <v>12350.6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43760</v>
      </c>
      <c r="B82" s="87">
        <f t="shared" si="5"/>
        <v>4349</v>
      </c>
      <c r="C82" s="88" t="s">
        <v>10</v>
      </c>
      <c r="D82" s="89">
        <v>2184</v>
      </c>
      <c r="E82" s="103">
        <v>43762</v>
      </c>
      <c r="F82" s="96">
        <v>2184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43760</v>
      </c>
      <c r="B83" s="87">
        <f t="shared" si="5"/>
        <v>4350</v>
      </c>
      <c r="C83" s="88" t="s">
        <v>13</v>
      </c>
      <c r="D83" s="89">
        <v>4254</v>
      </c>
      <c r="E83" s="103">
        <v>43763</v>
      </c>
      <c r="F83" s="96">
        <v>4254</v>
      </c>
      <c r="G83" s="93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0" x14ac:dyDescent="0.25">
      <c r="A84" s="86">
        <v>43760</v>
      </c>
      <c r="B84" s="87">
        <f t="shared" si="5"/>
        <v>4351</v>
      </c>
      <c r="C84" s="88" t="s">
        <v>12</v>
      </c>
      <c r="D84" s="89">
        <v>2535</v>
      </c>
      <c r="E84" s="103" t="s">
        <v>189</v>
      </c>
      <c r="F84" s="96">
        <f>2300+235</f>
        <v>2535</v>
      </c>
      <c r="G84" s="93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43761</v>
      </c>
      <c r="B85" s="87">
        <f t="shared" si="5"/>
        <v>4352</v>
      </c>
      <c r="C85" s="88" t="s">
        <v>11</v>
      </c>
      <c r="D85" s="89">
        <v>7667.4</v>
      </c>
      <c r="E85" s="103">
        <v>43765</v>
      </c>
      <c r="F85" s="96">
        <v>7667.4</v>
      </c>
      <c r="G85" s="93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43761</v>
      </c>
      <c r="B86" s="87">
        <f t="shared" si="5"/>
        <v>4353</v>
      </c>
      <c r="C86" s="104" t="s">
        <v>18</v>
      </c>
      <c r="D86" s="118">
        <v>4856</v>
      </c>
      <c r="E86" s="103">
        <v>43762</v>
      </c>
      <c r="F86" s="96">
        <v>4856</v>
      </c>
      <c r="G86" s="93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30" x14ac:dyDescent="0.25">
      <c r="A87" s="86">
        <v>43761</v>
      </c>
      <c r="B87" s="87">
        <f t="shared" si="5"/>
        <v>4354</v>
      </c>
      <c r="C87" s="88" t="s">
        <v>13</v>
      </c>
      <c r="D87" s="89">
        <v>5010.8</v>
      </c>
      <c r="E87" s="103" t="s">
        <v>191</v>
      </c>
      <c r="F87" s="96">
        <f>3746+1264.8</f>
        <v>5010.8</v>
      </c>
      <c r="G87" s="93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30" x14ac:dyDescent="0.25">
      <c r="A88" s="86">
        <v>43762</v>
      </c>
      <c r="B88" s="87">
        <f t="shared" si="5"/>
        <v>4355</v>
      </c>
      <c r="C88" s="88" t="s">
        <v>11</v>
      </c>
      <c r="D88" s="89">
        <v>7261.92</v>
      </c>
      <c r="E88" s="103" t="s">
        <v>192</v>
      </c>
      <c r="F88" s="96">
        <f>1219.5+6042.42</f>
        <v>7261.92</v>
      </c>
      <c r="G88" s="93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43762</v>
      </c>
      <c r="B89" s="87">
        <f t="shared" si="5"/>
        <v>4356</v>
      </c>
      <c r="C89" s="88" t="s">
        <v>8</v>
      </c>
      <c r="D89" s="89">
        <v>10984</v>
      </c>
      <c r="E89" s="103">
        <v>43763</v>
      </c>
      <c r="F89" s="96">
        <v>10984</v>
      </c>
      <c r="G89" s="93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43762</v>
      </c>
      <c r="B90" s="87">
        <f t="shared" si="5"/>
        <v>4357</v>
      </c>
      <c r="C90" s="88" t="s">
        <v>10</v>
      </c>
      <c r="D90" s="89">
        <v>1976.2</v>
      </c>
      <c r="E90" s="103">
        <v>43764</v>
      </c>
      <c r="F90" s="96">
        <v>1976.2</v>
      </c>
      <c r="G90" s="93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43762</v>
      </c>
      <c r="B91" s="87">
        <f t="shared" si="5"/>
        <v>4358</v>
      </c>
      <c r="C91" s="88" t="s">
        <v>12</v>
      </c>
      <c r="D91" s="89">
        <v>3519.6</v>
      </c>
      <c r="E91" s="103">
        <v>43764</v>
      </c>
      <c r="F91" s="96">
        <v>3519.6</v>
      </c>
      <c r="G91" s="93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43763</v>
      </c>
      <c r="B92" s="87">
        <f t="shared" si="5"/>
        <v>4359</v>
      </c>
      <c r="C92" s="88" t="s">
        <v>7</v>
      </c>
      <c r="D92" s="89">
        <v>7358.4</v>
      </c>
      <c r="E92" s="103">
        <v>43763</v>
      </c>
      <c r="F92" s="96">
        <v>7358.4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30" x14ac:dyDescent="0.25">
      <c r="A93" s="86">
        <v>43763</v>
      </c>
      <c r="B93" s="87">
        <f t="shared" si="5"/>
        <v>4360</v>
      </c>
      <c r="C93" s="88" t="s">
        <v>13</v>
      </c>
      <c r="D93" s="89">
        <v>11542.2</v>
      </c>
      <c r="E93" s="103" t="s">
        <v>195</v>
      </c>
      <c r="F93" s="96">
        <f>8735+2807.2</f>
        <v>11542.2</v>
      </c>
      <c r="G93" s="93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30" x14ac:dyDescent="0.25">
      <c r="A94" s="86">
        <v>43763</v>
      </c>
      <c r="B94" s="87">
        <f t="shared" si="5"/>
        <v>4361</v>
      </c>
      <c r="C94" s="88" t="s">
        <v>12</v>
      </c>
      <c r="D94" s="89">
        <v>1856.4</v>
      </c>
      <c r="E94" s="103" t="s">
        <v>193</v>
      </c>
      <c r="F94" s="96">
        <f>856.4+1000</f>
        <v>1856.4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43764</v>
      </c>
      <c r="B95" s="87">
        <f t="shared" si="5"/>
        <v>4362</v>
      </c>
      <c r="C95" s="88" t="s">
        <v>9</v>
      </c>
      <c r="D95" s="89">
        <v>8114</v>
      </c>
      <c r="E95" s="103">
        <v>43767</v>
      </c>
      <c r="F95" s="96">
        <v>8114</v>
      </c>
      <c r="G95" s="93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43764</v>
      </c>
      <c r="B96" s="87">
        <f t="shared" si="5"/>
        <v>4363</v>
      </c>
      <c r="C96" s="88" t="s">
        <v>10</v>
      </c>
      <c r="D96" s="89">
        <v>4687.2</v>
      </c>
      <c r="E96" s="103">
        <v>43765</v>
      </c>
      <c r="F96" s="96">
        <v>4687.2</v>
      </c>
      <c r="G96" s="93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43764</v>
      </c>
      <c r="B97" s="87">
        <f t="shared" si="5"/>
        <v>4364</v>
      </c>
      <c r="C97" s="88" t="s">
        <v>9</v>
      </c>
      <c r="D97" s="89">
        <v>1325</v>
      </c>
      <c r="E97" s="103">
        <v>43767</v>
      </c>
      <c r="F97" s="96">
        <v>1325</v>
      </c>
      <c r="G97" s="93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30" x14ac:dyDescent="0.25">
      <c r="A98" s="86">
        <v>43764</v>
      </c>
      <c r="B98" s="87">
        <f t="shared" si="5"/>
        <v>4365</v>
      </c>
      <c r="C98" s="88" t="s">
        <v>11</v>
      </c>
      <c r="D98" s="89">
        <v>9036.2999999999993</v>
      </c>
      <c r="E98" s="103" t="s">
        <v>196</v>
      </c>
      <c r="F98" s="96">
        <f>5000+2000+2036.3</f>
        <v>9036.2999999999993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43765</v>
      </c>
      <c r="B99" s="87">
        <f t="shared" si="5"/>
        <v>4366</v>
      </c>
      <c r="C99" s="88" t="s">
        <v>8</v>
      </c>
      <c r="D99" s="89">
        <v>20393.25</v>
      </c>
      <c r="E99" s="103">
        <v>43766</v>
      </c>
      <c r="F99" s="96">
        <v>20393.25</v>
      </c>
      <c r="G99" s="93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43765</v>
      </c>
      <c r="B100" s="87">
        <f t="shared" si="5"/>
        <v>4367</v>
      </c>
      <c r="C100" s="88" t="s">
        <v>10</v>
      </c>
      <c r="D100" s="89">
        <v>2872.8</v>
      </c>
      <c r="E100" s="103">
        <v>43766</v>
      </c>
      <c r="F100" s="96">
        <v>2872.8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30" x14ac:dyDescent="0.25">
      <c r="A101" s="86">
        <v>43765</v>
      </c>
      <c r="B101" s="87">
        <f t="shared" si="5"/>
        <v>4368</v>
      </c>
      <c r="C101" s="88" t="s">
        <v>13</v>
      </c>
      <c r="D101" s="89">
        <v>9625.7999999999993</v>
      </c>
      <c r="E101" s="103" t="s">
        <v>196</v>
      </c>
      <c r="F101" s="96">
        <f>1693+7932.8</f>
        <v>9625.7999999999993</v>
      </c>
      <c r="G101" s="93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30" x14ac:dyDescent="0.25">
      <c r="A102" s="86">
        <v>43765</v>
      </c>
      <c r="B102" s="87">
        <f t="shared" si="5"/>
        <v>4369</v>
      </c>
      <c r="C102" s="88" t="s">
        <v>11</v>
      </c>
      <c r="D102" s="89">
        <v>9774.24</v>
      </c>
      <c r="E102" s="103" t="s">
        <v>197</v>
      </c>
      <c r="F102" s="96">
        <f>9530+244.24</f>
        <v>9774.24</v>
      </c>
      <c r="G102" s="93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43766</v>
      </c>
      <c r="B103" s="87">
        <f t="shared" si="5"/>
        <v>4370</v>
      </c>
      <c r="C103" s="88" t="s">
        <v>8</v>
      </c>
      <c r="D103" s="89">
        <v>12476.6</v>
      </c>
      <c r="E103" s="103">
        <v>43768</v>
      </c>
      <c r="F103" s="96">
        <v>12476.6</v>
      </c>
      <c r="G103" s="93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43766</v>
      </c>
      <c r="B104" s="87">
        <f t="shared" si="5"/>
        <v>4371</v>
      </c>
      <c r="C104" s="88" t="s">
        <v>10</v>
      </c>
      <c r="D104" s="89">
        <v>2704.8</v>
      </c>
      <c r="E104" s="103">
        <v>43768</v>
      </c>
      <c r="F104" s="96">
        <v>2704.8</v>
      </c>
      <c r="G104" s="93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43766</v>
      </c>
      <c r="B105" s="87">
        <f t="shared" si="5"/>
        <v>4372</v>
      </c>
      <c r="C105" s="88" t="s">
        <v>11</v>
      </c>
      <c r="D105" s="89">
        <v>2714.04</v>
      </c>
      <c r="E105" s="103">
        <v>43769</v>
      </c>
      <c r="F105" s="96">
        <v>2714.04</v>
      </c>
      <c r="G105" s="93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43767</v>
      </c>
      <c r="B106" s="87">
        <f t="shared" si="5"/>
        <v>4373</v>
      </c>
      <c r="C106" s="88" t="s">
        <v>11</v>
      </c>
      <c r="D106" s="89">
        <v>5618.36</v>
      </c>
      <c r="E106" s="103" t="s">
        <v>198</v>
      </c>
      <c r="F106" s="96">
        <f>2042+3576.36</f>
        <v>5618.3600000000006</v>
      </c>
      <c r="G106" s="93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43768</v>
      </c>
      <c r="B107" s="87">
        <f t="shared" si="5"/>
        <v>4374</v>
      </c>
      <c r="C107" s="88" t="s">
        <v>10</v>
      </c>
      <c r="D107" s="89">
        <v>2469.6</v>
      </c>
      <c r="E107" s="103">
        <v>43769</v>
      </c>
      <c r="F107" s="96">
        <v>2469.6</v>
      </c>
      <c r="G107" s="93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43768</v>
      </c>
      <c r="B108" s="87">
        <f t="shared" si="5"/>
        <v>4375</v>
      </c>
      <c r="C108" s="88" t="s">
        <v>18</v>
      </c>
      <c r="D108" s="89">
        <v>5233.2</v>
      </c>
      <c r="E108" s="103">
        <v>43769</v>
      </c>
      <c r="F108" s="96">
        <v>5233.2</v>
      </c>
      <c r="G108" s="93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43768</v>
      </c>
      <c r="B109" s="87">
        <f t="shared" si="5"/>
        <v>4376</v>
      </c>
      <c r="C109" s="88" t="s">
        <v>13</v>
      </c>
      <c r="D109" s="89">
        <v>11773.8</v>
      </c>
      <c r="E109" s="103" t="s">
        <v>202</v>
      </c>
      <c r="F109" s="96">
        <f>5000+3080+3693.8</f>
        <v>11773.8</v>
      </c>
      <c r="G109" s="93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43768</v>
      </c>
      <c r="B110" s="87">
        <f t="shared" si="5"/>
        <v>4377</v>
      </c>
      <c r="C110" s="88" t="s">
        <v>8</v>
      </c>
      <c r="D110" s="89">
        <v>4739.6000000000004</v>
      </c>
      <c r="E110" s="103">
        <v>43770</v>
      </c>
      <c r="F110" s="96">
        <v>4739.6000000000004</v>
      </c>
      <c r="G110" s="93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30" x14ac:dyDescent="0.25">
      <c r="A111" s="86">
        <v>43768</v>
      </c>
      <c r="B111" s="87">
        <f t="shared" si="5"/>
        <v>4378</v>
      </c>
      <c r="C111" s="88" t="s">
        <v>12</v>
      </c>
      <c r="D111" s="89">
        <v>7129.4</v>
      </c>
      <c r="E111" s="103" t="s">
        <v>200</v>
      </c>
      <c r="F111" s="96">
        <f>3000+4129.4</f>
        <v>7129.4</v>
      </c>
      <c r="G111" s="93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30" x14ac:dyDescent="0.25">
      <c r="A112" s="86">
        <v>43768</v>
      </c>
      <c r="B112" s="87">
        <f t="shared" si="5"/>
        <v>4379</v>
      </c>
      <c r="C112" s="88" t="s">
        <v>11</v>
      </c>
      <c r="D112" s="89">
        <v>14382.8</v>
      </c>
      <c r="E112" s="103" t="s">
        <v>200</v>
      </c>
      <c r="F112" s="96">
        <f>12923.5+1459.3</f>
        <v>14382.8</v>
      </c>
      <c r="G112" s="93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43769</v>
      </c>
      <c r="B113" s="87">
        <f t="shared" si="5"/>
        <v>4380</v>
      </c>
      <c r="C113" s="88" t="s">
        <v>8</v>
      </c>
      <c r="D113" s="89">
        <v>7544</v>
      </c>
      <c r="E113" s="103">
        <v>43770</v>
      </c>
      <c r="F113" s="96">
        <v>7544</v>
      </c>
      <c r="G113" s="93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43769</v>
      </c>
      <c r="B114" s="87">
        <f t="shared" si="5"/>
        <v>4381</v>
      </c>
      <c r="C114" s="88" t="s">
        <v>10</v>
      </c>
      <c r="D114" s="89">
        <v>1789.2</v>
      </c>
      <c r="E114" s="103">
        <v>43770</v>
      </c>
      <c r="F114" s="96">
        <v>1789.2</v>
      </c>
      <c r="G114" s="93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43770</v>
      </c>
      <c r="B115" s="87">
        <f t="shared" si="5"/>
        <v>4382</v>
      </c>
      <c r="C115" s="88" t="s">
        <v>10</v>
      </c>
      <c r="D115" s="89">
        <v>804.3</v>
      </c>
      <c r="E115" s="103">
        <v>43772</v>
      </c>
      <c r="F115" s="96">
        <v>804.3</v>
      </c>
      <c r="G115" s="93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43770</v>
      </c>
      <c r="B116" s="87">
        <f t="shared" si="5"/>
        <v>4383</v>
      </c>
      <c r="C116" s="88" t="s">
        <v>11</v>
      </c>
      <c r="D116" s="89">
        <v>8847.7199999999993</v>
      </c>
      <c r="E116" s="103">
        <v>43772</v>
      </c>
      <c r="F116" s="96">
        <f>6540.5+2307.22</f>
        <v>8847.7199999999993</v>
      </c>
      <c r="G116" s="93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43771</v>
      </c>
      <c r="B117" s="87">
        <f t="shared" si="5"/>
        <v>4384</v>
      </c>
      <c r="C117" s="88" t="s">
        <v>8</v>
      </c>
      <c r="D117" s="89">
        <v>7306.2</v>
      </c>
      <c r="E117" s="103">
        <v>43772</v>
      </c>
      <c r="F117" s="96">
        <v>7306.2</v>
      </c>
      <c r="G117" s="93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43771</v>
      </c>
      <c r="B118" s="87">
        <f t="shared" si="5"/>
        <v>4385</v>
      </c>
      <c r="C118" s="88" t="s">
        <v>11</v>
      </c>
      <c r="D118" s="89">
        <v>7290.22</v>
      </c>
      <c r="E118" s="103">
        <v>43772</v>
      </c>
      <c r="F118" s="96">
        <v>7290.22</v>
      </c>
      <c r="G118" s="93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43772</v>
      </c>
      <c r="B119" s="87">
        <f t="shared" si="5"/>
        <v>4386</v>
      </c>
      <c r="C119" s="88" t="s">
        <v>11</v>
      </c>
      <c r="D119" s="89">
        <v>1779.4</v>
      </c>
      <c r="E119" s="103">
        <v>43773</v>
      </c>
      <c r="F119" s="96">
        <v>1779.4</v>
      </c>
      <c r="G119" s="93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43772</v>
      </c>
      <c r="B120" s="87">
        <f t="shared" si="5"/>
        <v>4387</v>
      </c>
      <c r="C120" s="88" t="s">
        <v>11</v>
      </c>
      <c r="D120" s="89">
        <v>12078.6</v>
      </c>
      <c r="E120" s="103">
        <v>43772</v>
      </c>
      <c r="F120" s="96">
        <v>12078.6</v>
      </c>
      <c r="G120" s="93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43772</v>
      </c>
      <c r="B121" s="87">
        <f t="shared" si="5"/>
        <v>4388</v>
      </c>
      <c r="C121" s="88" t="s">
        <v>32</v>
      </c>
      <c r="D121" s="89">
        <v>5277</v>
      </c>
      <c r="E121" s="103">
        <v>43773</v>
      </c>
      <c r="F121" s="96">
        <v>5277</v>
      </c>
      <c r="G121" s="93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>
        <f t="shared" si="5"/>
        <v>4389</v>
      </c>
      <c r="C122" s="88"/>
      <c r="D122" s="89"/>
      <c r="E122" s="103"/>
      <c r="F122" s="96"/>
      <c r="G122" s="93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>
        <f t="shared" si="5"/>
        <v>4390</v>
      </c>
      <c r="C123" s="88"/>
      <c r="D123" s="89"/>
      <c r="E123" s="103"/>
      <c r="F123" s="96"/>
      <c r="G123" s="93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3"/>
      <c r="F124" s="96"/>
      <c r="G124" s="93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93">
        <f t="shared" si="1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846371.02000000014</v>
      </c>
      <c r="E126" s="110"/>
      <c r="F126" s="51">
        <f>SUM(F4:F125)</f>
        <v>846371.02000000014</v>
      </c>
      <c r="G126" s="125"/>
      <c r="H126" s="2"/>
    </row>
    <row r="127" spans="1:17" x14ac:dyDescent="0.25">
      <c r="A127" s="49"/>
      <c r="B127" s="50"/>
      <c r="C127" s="2"/>
      <c r="D127" s="53"/>
      <c r="E127" s="110"/>
      <c r="F127" s="53"/>
      <c r="G127" s="12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12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125"/>
      <c r="H129" s="2"/>
    </row>
    <row r="130" spans="1:16" ht="21.75" thickBot="1" x14ac:dyDescent="0.4">
      <c r="A130" s="49"/>
      <c r="B130" s="50"/>
      <c r="C130" s="2"/>
      <c r="D130" s="126">
        <f>D126-F126</f>
        <v>0</v>
      </c>
      <c r="E130" s="127"/>
      <c r="F130" s="128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9" t="s">
        <v>17</v>
      </c>
      <c r="E132" s="129"/>
      <c r="F132" s="129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10">
    <mergeCell ref="N45:P45"/>
    <mergeCell ref="N47:P47"/>
    <mergeCell ref="D130:F130"/>
    <mergeCell ref="D132:F132"/>
    <mergeCell ref="B1:F1"/>
    <mergeCell ref="L1:P1"/>
    <mergeCell ref="B2:C2"/>
    <mergeCell ref="L2:M2"/>
    <mergeCell ref="N41:N42"/>
    <mergeCell ref="P41:P4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E50F1-6D12-4A14-8AE0-CD296FF21DA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73AE-D679-431F-8272-3360BD4E79D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26C1-CE4E-4904-B5E4-27614A1F76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3300"/>
  </sheetPr>
  <dimension ref="A1:Q103"/>
  <sheetViews>
    <sheetView topLeftCell="H1" workbookViewId="0">
      <selection activeCell="F65" sqref="F65"/>
    </sheetView>
  </sheetViews>
  <sheetFormatPr baseColWidth="10" defaultRowHeight="15" x14ac:dyDescent="0.25"/>
  <cols>
    <col min="1" max="1" width="11.5703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5703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5703125" style="65"/>
    <col min="16" max="16" width="13" style="64" customWidth="1"/>
    <col min="17" max="17" width="14.140625" customWidth="1"/>
  </cols>
  <sheetData>
    <row r="1" spans="1:17" ht="18.75" x14ac:dyDescent="0.3">
      <c r="B1" s="130" t="s">
        <v>30</v>
      </c>
      <c r="C1" s="130"/>
      <c r="D1" s="130"/>
      <c r="E1" s="130"/>
      <c r="F1" s="130"/>
      <c r="H1" s="2"/>
      <c r="K1" s="3"/>
      <c r="L1" s="131" t="s">
        <v>31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7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43506</v>
      </c>
      <c r="B4" s="27">
        <v>3364</v>
      </c>
      <c r="C4" s="22" t="s">
        <v>8</v>
      </c>
      <c r="D4" s="23">
        <v>23067.4</v>
      </c>
      <c r="E4" s="24">
        <v>43507</v>
      </c>
      <c r="F4" s="25">
        <v>23067.4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43506</v>
      </c>
      <c r="B5" s="33">
        <v>3365</v>
      </c>
      <c r="C5" s="30" t="s">
        <v>9</v>
      </c>
      <c r="D5" s="31">
        <v>16768</v>
      </c>
      <c r="E5" s="24">
        <v>43508</v>
      </c>
      <c r="F5" s="25">
        <v>16768</v>
      </c>
      <c r="G5" s="32">
        <f>D5-F5</f>
        <v>0</v>
      </c>
      <c r="H5" s="2"/>
      <c r="K5" s="28">
        <v>43507</v>
      </c>
      <c r="L5" s="33">
        <v>183</v>
      </c>
      <c r="M5" s="34" t="s">
        <v>25</v>
      </c>
      <c r="N5" s="31">
        <v>6368</v>
      </c>
      <c r="O5" s="24"/>
      <c r="P5" s="25"/>
      <c r="Q5" s="32">
        <f>N5-P5</f>
        <v>6368</v>
      </c>
    </row>
    <row r="6" spans="1:17" ht="15.75" x14ac:dyDescent="0.25">
      <c r="A6" s="28">
        <v>43506</v>
      </c>
      <c r="B6" s="33">
        <v>3366</v>
      </c>
      <c r="C6" s="34" t="s">
        <v>10</v>
      </c>
      <c r="D6" s="31">
        <v>4732.8</v>
      </c>
      <c r="E6" s="24">
        <v>43507</v>
      </c>
      <c r="F6" s="25">
        <v>4732.8</v>
      </c>
      <c r="G6" s="32">
        <f>D6-F6</f>
        <v>0</v>
      </c>
      <c r="H6" s="2"/>
      <c r="K6" s="28">
        <v>43509</v>
      </c>
      <c r="L6" s="33">
        <v>184</v>
      </c>
      <c r="M6" s="34" t="s">
        <v>25</v>
      </c>
      <c r="N6" s="31">
        <v>2431</v>
      </c>
      <c r="O6" s="24"/>
      <c r="P6" s="25"/>
      <c r="Q6" s="32">
        <f>N6-P6</f>
        <v>2431</v>
      </c>
    </row>
    <row r="7" spans="1:17" ht="15.75" x14ac:dyDescent="0.25">
      <c r="A7" s="28">
        <v>43476</v>
      </c>
      <c r="B7" s="33">
        <v>3367</v>
      </c>
      <c r="C7" s="30" t="s">
        <v>32</v>
      </c>
      <c r="D7" s="31">
        <v>10290.799999999999</v>
      </c>
      <c r="E7" s="24">
        <v>43507</v>
      </c>
      <c r="F7" s="25">
        <v>10290.799999999999</v>
      </c>
      <c r="G7" s="32">
        <f t="shared" ref="G7:G85" si="0">D7-F7</f>
        <v>0</v>
      </c>
      <c r="H7" s="2"/>
      <c r="K7" s="28">
        <v>43479</v>
      </c>
      <c r="L7" s="33">
        <v>185</v>
      </c>
      <c r="M7" s="30" t="s">
        <v>25</v>
      </c>
      <c r="N7" s="31">
        <v>3671</v>
      </c>
      <c r="O7" s="24"/>
      <c r="P7" s="25"/>
      <c r="Q7" s="32">
        <f t="shared" ref="Q7:Q22" si="1">N7-P7</f>
        <v>3671</v>
      </c>
    </row>
    <row r="8" spans="1:17" ht="15.75" x14ac:dyDescent="0.25">
      <c r="A8" s="28">
        <v>43508</v>
      </c>
      <c r="B8" s="33">
        <v>3368</v>
      </c>
      <c r="C8" s="30" t="s">
        <v>11</v>
      </c>
      <c r="D8" s="31">
        <v>8378.6</v>
      </c>
      <c r="E8" s="24">
        <v>43511</v>
      </c>
      <c r="F8" s="25">
        <v>8378.6</v>
      </c>
      <c r="G8" s="32">
        <f t="shared" si="0"/>
        <v>0</v>
      </c>
      <c r="H8" s="2"/>
      <c r="K8" s="28">
        <v>43512</v>
      </c>
      <c r="L8" s="33">
        <v>186</v>
      </c>
      <c r="M8" s="30" t="s">
        <v>25</v>
      </c>
      <c r="N8" s="31">
        <v>3679</v>
      </c>
      <c r="O8" s="24"/>
      <c r="P8" s="25"/>
      <c r="Q8" s="32">
        <f t="shared" si="1"/>
        <v>3679</v>
      </c>
    </row>
    <row r="9" spans="1:17" ht="15.75" x14ac:dyDescent="0.25">
      <c r="A9" s="28">
        <v>43508</v>
      </c>
      <c r="B9" s="33">
        <v>3369</v>
      </c>
      <c r="C9" s="30" t="s">
        <v>10</v>
      </c>
      <c r="D9" s="31">
        <v>4086.8</v>
      </c>
      <c r="E9" s="24">
        <v>43508</v>
      </c>
      <c r="F9" s="25">
        <v>4086.8</v>
      </c>
      <c r="G9" s="32">
        <f t="shared" si="0"/>
        <v>0</v>
      </c>
      <c r="H9" s="2"/>
      <c r="K9" s="28">
        <v>43514</v>
      </c>
      <c r="L9" s="33">
        <v>187</v>
      </c>
      <c r="M9" s="30" t="s">
        <v>25</v>
      </c>
      <c r="N9" s="31">
        <v>5239.5</v>
      </c>
      <c r="O9" s="24"/>
      <c r="P9" s="25"/>
      <c r="Q9" s="32">
        <f t="shared" si="1"/>
        <v>5239.5</v>
      </c>
    </row>
    <row r="10" spans="1:17" ht="15.75" x14ac:dyDescent="0.25">
      <c r="A10" s="28">
        <v>43508</v>
      </c>
      <c r="B10" s="33">
        <v>3370</v>
      </c>
      <c r="C10" s="30" t="s">
        <v>9</v>
      </c>
      <c r="D10" s="31">
        <v>3530</v>
      </c>
      <c r="E10" s="24">
        <v>43508</v>
      </c>
      <c r="F10" s="25">
        <v>3530</v>
      </c>
      <c r="G10" s="32">
        <f t="shared" si="0"/>
        <v>0</v>
      </c>
      <c r="H10" s="2"/>
      <c r="K10" s="28">
        <v>43515</v>
      </c>
      <c r="L10" s="33">
        <v>188</v>
      </c>
      <c r="M10" s="34" t="s">
        <v>25</v>
      </c>
      <c r="N10" s="31">
        <v>2533</v>
      </c>
      <c r="O10" s="24"/>
      <c r="P10" s="25"/>
      <c r="Q10" s="32">
        <f t="shared" si="1"/>
        <v>2533</v>
      </c>
    </row>
    <row r="11" spans="1:17" ht="15.75" x14ac:dyDescent="0.25">
      <c r="A11" s="28">
        <v>43509</v>
      </c>
      <c r="B11" s="33">
        <v>3371</v>
      </c>
      <c r="C11" s="30" t="s">
        <v>9</v>
      </c>
      <c r="D11" s="31">
        <v>1728</v>
      </c>
      <c r="E11" s="24">
        <v>43516</v>
      </c>
      <c r="F11" s="25">
        <v>1728</v>
      </c>
      <c r="G11" s="32">
        <f t="shared" si="0"/>
        <v>0</v>
      </c>
      <c r="H11" s="2"/>
      <c r="K11" s="28">
        <v>43519</v>
      </c>
      <c r="L11" s="33">
        <v>189</v>
      </c>
      <c r="M11" s="34" t="s">
        <v>25</v>
      </c>
      <c r="N11" s="31">
        <v>7068</v>
      </c>
      <c r="O11" s="24"/>
      <c r="P11" s="25"/>
      <c r="Q11" s="32">
        <f t="shared" si="1"/>
        <v>7068</v>
      </c>
    </row>
    <row r="12" spans="1:17" ht="15.75" x14ac:dyDescent="0.25">
      <c r="A12" s="28">
        <v>43510</v>
      </c>
      <c r="B12" s="33">
        <v>3372</v>
      </c>
      <c r="C12" s="30" t="s">
        <v>12</v>
      </c>
      <c r="D12" s="31">
        <v>2631.6</v>
      </c>
      <c r="E12" s="24">
        <v>43511</v>
      </c>
      <c r="F12" s="25">
        <v>2631.6</v>
      </c>
      <c r="G12" s="32">
        <f t="shared" si="0"/>
        <v>0</v>
      </c>
      <c r="H12" s="2"/>
      <c r="K12" s="28">
        <v>43521</v>
      </c>
      <c r="L12" s="33">
        <v>190</v>
      </c>
      <c r="M12" s="34" t="s">
        <v>25</v>
      </c>
      <c r="N12" s="31">
        <v>2154</v>
      </c>
      <c r="O12" s="24"/>
      <c r="P12" s="25"/>
      <c r="Q12" s="32">
        <f t="shared" si="1"/>
        <v>2154</v>
      </c>
    </row>
    <row r="13" spans="1:17" ht="15.75" x14ac:dyDescent="0.25">
      <c r="A13" s="28">
        <v>43510</v>
      </c>
      <c r="B13" s="33">
        <v>3373</v>
      </c>
      <c r="C13" s="30" t="s">
        <v>10</v>
      </c>
      <c r="D13" s="31">
        <v>5623.6</v>
      </c>
      <c r="E13" s="24">
        <v>43510</v>
      </c>
      <c r="F13" s="25">
        <v>5623.6</v>
      </c>
      <c r="G13" s="32">
        <f t="shared" si="0"/>
        <v>0</v>
      </c>
      <c r="H13" s="2"/>
      <c r="K13" s="28">
        <v>43524</v>
      </c>
      <c r="L13" s="33">
        <v>191</v>
      </c>
      <c r="M13" s="30" t="s">
        <v>25</v>
      </c>
      <c r="N13" s="31">
        <v>3945</v>
      </c>
      <c r="O13" s="24"/>
      <c r="P13" s="25"/>
      <c r="Q13" s="32">
        <f t="shared" si="1"/>
        <v>3945</v>
      </c>
    </row>
    <row r="14" spans="1:17" ht="15.75" x14ac:dyDescent="0.25">
      <c r="A14" s="28">
        <v>43511</v>
      </c>
      <c r="B14" s="33">
        <v>3374</v>
      </c>
      <c r="C14" s="30" t="s">
        <v>8</v>
      </c>
      <c r="D14" s="31">
        <v>29090.240000000002</v>
      </c>
      <c r="E14" s="24">
        <v>43513</v>
      </c>
      <c r="F14" s="25">
        <v>29090.240000000002</v>
      </c>
      <c r="G14" s="32">
        <f t="shared" si="0"/>
        <v>0</v>
      </c>
      <c r="H14" s="2"/>
      <c r="K14" s="28">
        <v>43526</v>
      </c>
      <c r="L14" s="33">
        <v>192</v>
      </c>
      <c r="M14" s="34" t="s">
        <v>25</v>
      </c>
      <c r="N14" s="31">
        <v>3941</v>
      </c>
      <c r="O14" s="24"/>
      <c r="P14" s="25"/>
      <c r="Q14" s="32">
        <f t="shared" si="1"/>
        <v>3941</v>
      </c>
    </row>
    <row r="15" spans="1:17" ht="15.75" x14ac:dyDescent="0.25">
      <c r="A15" s="28">
        <v>43511</v>
      </c>
      <c r="B15" s="33">
        <v>3375</v>
      </c>
      <c r="C15" s="34" t="s">
        <v>12</v>
      </c>
      <c r="D15" s="31">
        <v>3273.6</v>
      </c>
      <c r="E15" s="24">
        <v>43511</v>
      </c>
      <c r="F15" s="25">
        <v>3273.6</v>
      </c>
      <c r="G15" s="32">
        <f t="shared" si="0"/>
        <v>0</v>
      </c>
      <c r="H15" s="2"/>
      <c r="K15" s="28">
        <v>43528</v>
      </c>
      <c r="L15" s="33">
        <v>193</v>
      </c>
      <c r="M15" s="30" t="s">
        <v>25</v>
      </c>
      <c r="N15" s="31">
        <v>3765</v>
      </c>
      <c r="O15" s="24"/>
      <c r="P15" s="25"/>
      <c r="Q15" s="32">
        <f t="shared" si="1"/>
        <v>3765</v>
      </c>
    </row>
    <row r="16" spans="1:17" ht="15.75" x14ac:dyDescent="0.25">
      <c r="A16" s="28">
        <v>43512</v>
      </c>
      <c r="B16" s="33">
        <v>3376</v>
      </c>
      <c r="C16" s="30" t="s">
        <v>7</v>
      </c>
      <c r="D16" s="31">
        <v>6464</v>
      </c>
      <c r="E16" s="24">
        <v>43512</v>
      </c>
      <c r="F16" s="25">
        <v>6464</v>
      </c>
      <c r="G16" s="32">
        <f t="shared" si="0"/>
        <v>0</v>
      </c>
      <c r="H16" s="2"/>
      <c r="K16" s="28">
        <v>43530</v>
      </c>
      <c r="L16" s="33">
        <v>194</v>
      </c>
      <c r="M16" s="30" t="s">
        <v>25</v>
      </c>
      <c r="N16" s="31">
        <v>2700</v>
      </c>
      <c r="O16" s="24"/>
      <c r="P16" s="25"/>
      <c r="Q16" s="32">
        <f t="shared" si="1"/>
        <v>2700</v>
      </c>
    </row>
    <row r="17" spans="1:17" ht="15.75" x14ac:dyDescent="0.25">
      <c r="A17" s="28">
        <v>43512</v>
      </c>
      <c r="B17" s="33">
        <v>3377</v>
      </c>
      <c r="C17" s="34" t="s">
        <v>9</v>
      </c>
      <c r="D17" s="31">
        <v>30884</v>
      </c>
      <c r="E17" s="24">
        <v>43514</v>
      </c>
      <c r="F17" s="25">
        <v>30884</v>
      </c>
      <c r="G17" s="32">
        <f t="shared" si="0"/>
        <v>0</v>
      </c>
      <c r="H17" s="2"/>
      <c r="K17" s="75"/>
      <c r="L17" s="33">
        <v>195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43512</v>
      </c>
      <c r="B18" s="33">
        <v>3378</v>
      </c>
      <c r="C18" s="34" t="s">
        <v>32</v>
      </c>
      <c r="D18" s="31">
        <v>8103.6</v>
      </c>
      <c r="E18" s="24">
        <v>43512</v>
      </c>
      <c r="F18" s="25">
        <v>8103.6</v>
      </c>
      <c r="G18" s="32">
        <f t="shared" si="0"/>
        <v>0</v>
      </c>
      <c r="H18" s="2"/>
      <c r="K18" s="75"/>
      <c r="L18" s="33">
        <v>196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43512</v>
      </c>
      <c r="B19" s="33">
        <v>3379</v>
      </c>
      <c r="C19" s="30" t="s">
        <v>12</v>
      </c>
      <c r="D19" s="31">
        <v>3153.6</v>
      </c>
      <c r="E19" s="24">
        <v>43512</v>
      </c>
      <c r="F19" s="25">
        <v>3153.6</v>
      </c>
      <c r="G19" s="32">
        <f t="shared" si="0"/>
        <v>0</v>
      </c>
      <c r="H19" s="2"/>
      <c r="K19" s="75"/>
      <c r="L19" s="33">
        <v>197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43512</v>
      </c>
      <c r="B20" s="33">
        <v>3380</v>
      </c>
      <c r="C20" s="30" t="s">
        <v>11</v>
      </c>
      <c r="D20" s="31">
        <v>8360.2199999999993</v>
      </c>
      <c r="E20" s="24">
        <v>43512</v>
      </c>
      <c r="F20" s="25">
        <v>8360.2199999999993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43512</v>
      </c>
      <c r="B21" s="33">
        <v>3381</v>
      </c>
      <c r="C21" s="30" t="s">
        <v>10</v>
      </c>
      <c r="D21" s="31">
        <v>5497.8</v>
      </c>
      <c r="E21" s="24">
        <v>43513</v>
      </c>
      <c r="F21" s="25">
        <v>5497.8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43513</v>
      </c>
      <c r="B22" s="33">
        <v>3382</v>
      </c>
      <c r="C22" s="30" t="s">
        <v>8</v>
      </c>
      <c r="D22" s="31">
        <v>13565.2</v>
      </c>
      <c r="E22" s="24">
        <v>43513</v>
      </c>
      <c r="F22" s="25">
        <v>13565.2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43513</v>
      </c>
      <c r="B23" s="33">
        <v>3383</v>
      </c>
      <c r="C23" s="30" t="s">
        <v>7</v>
      </c>
      <c r="D23" s="31">
        <v>2065.6</v>
      </c>
      <c r="E23" s="24">
        <v>43513</v>
      </c>
      <c r="F23" s="25">
        <v>2065.6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43513</v>
      </c>
      <c r="B24" s="33">
        <v>3384</v>
      </c>
      <c r="C24" s="30" t="s">
        <v>11</v>
      </c>
      <c r="D24" s="31">
        <v>10826.22</v>
      </c>
      <c r="E24" s="24">
        <v>43513</v>
      </c>
      <c r="F24" s="25">
        <v>10826.22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43513</v>
      </c>
      <c r="B25" s="33">
        <v>3385</v>
      </c>
      <c r="C25" s="30" t="s">
        <v>12</v>
      </c>
      <c r="D25" s="31">
        <v>3549.6</v>
      </c>
      <c r="E25" s="24">
        <v>43516</v>
      </c>
      <c r="F25" s="25">
        <v>3549.6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43513</v>
      </c>
      <c r="B26" s="33">
        <v>3386</v>
      </c>
      <c r="C26" s="30" t="s">
        <v>10</v>
      </c>
      <c r="D26" s="31">
        <v>4224</v>
      </c>
      <c r="E26" s="24">
        <v>43514</v>
      </c>
      <c r="F26" s="25">
        <v>4224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43513</v>
      </c>
      <c r="B27" s="33">
        <v>3387</v>
      </c>
      <c r="C27" s="34" t="s">
        <v>13</v>
      </c>
      <c r="D27" s="31">
        <v>5383.2</v>
      </c>
      <c r="E27" s="24">
        <v>43514</v>
      </c>
      <c r="F27" s="25">
        <v>5383.2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43513</v>
      </c>
      <c r="B28" s="33">
        <v>3388</v>
      </c>
      <c r="C28" s="30" t="s">
        <v>9</v>
      </c>
      <c r="D28" s="31">
        <v>15079.2</v>
      </c>
      <c r="E28" s="24">
        <v>43516</v>
      </c>
      <c r="F28" s="25">
        <v>15079.2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43514</v>
      </c>
      <c r="B29" s="33">
        <v>3389</v>
      </c>
      <c r="C29" s="30" t="s">
        <v>32</v>
      </c>
      <c r="D29" s="31">
        <v>9773</v>
      </c>
      <c r="E29" s="24">
        <v>43514</v>
      </c>
      <c r="F29" s="25">
        <v>9773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43514</v>
      </c>
      <c r="B30" s="33">
        <v>3390</v>
      </c>
      <c r="C30" s="30" t="s">
        <v>34</v>
      </c>
      <c r="D30" s="31">
        <v>1537.1</v>
      </c>
      <c r="E30" s="24">
        <v>43515</v>
      </c>
      <c r="F30" s="25">
        <v>1537.1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43515</v>
      </c>
      <c r="B31" s="33">
        <v>3391</v>
      </c>
      <c r="C31" s="30" t="s">
        <v>9</v>
      </c>
      <c r="D31" s="31">
        <v>3968.8</v>
      </c>
      <c r="E31" s="24">
        <v>43515</v>
      </c>
      <c r="F31" s="25">
        <v>3968.8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43516</v>
      </c>
      <c r="B32" s="33">
        <v>3392</v>
      </c>
      <c r="C32" s="30" t="s">
        <v>8</v>
      </c>
      <c r="D32" s="31">
        <v>8310.7000000000007</v>
      </c>
      <c r="E32" s="24">
        <v>43516</v>
      </c>
      <c r="F32" s="25">
        <v>8310.7000000000007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43516</v>
      </c>
      <c r="B33" s="33">
        <v>3393</v>
      </c>
      <c r="C33" s="30" t="s">
        <v>11</v>
      </c>
      <c r="D33" s="31">
        <v>7293.12</v>
      </c>
      <c r="E33" s="24">
        <v>43516</v>
      </c>
      <c r="F33" s="25">
        <v>7293.12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43517</v>
      </c>
      <c r="B34" s="33">
        <v>3394</v>
      </c>
      <c r="C34" s="30" t="s">
        <v>8</v>
      </c>
      <c r="D34" s="31">
        <v>11798.6</v>
      </c>
      <c r="E34" s="24">
        <v>43517</v>
      </c>
      <c r="F34" s="25">
        <v>11798.6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43517</v>
      </c>
      <c r="B35" s="33">
        <v>3395</v>
      </c>
      <c r="C35" s="30" t="s">
        <v>11</v>
      </c>
      <c r="D35" s="31">
        <v>7323.6</v>
      </c>
      <c r="E35" s="24">
        <v>43517</v>
      </c>
      <c r="F35" s="25">
        <v>7323.6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43518</v>
      </c>
      <c r="B36" s="33">
        <v>3396</v>
      </c>
      <c r="C36" s="30" t="s">
        <v>8</v>
      </c>
      <c r="D36" s="31">
        <v>6299.2</v>
      </c>
      <c r="E36" s="24">
        <v>43518</v>
      </c>
      <c r="F36" s="25">
        <v>6299.2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43518</v>
      </c>
      <c r="B37" s="33">
        <v>3397</v>
      </c>
      <c r="C37" s="30" t="s">
        <v>11</v>
      </c>
      <c r="D37" s="40">
        <v>6596.4</v>
      </c>
      <c r="E37" s="41">
        <v>43518</v>
      </c>
      <c r="F37" s="40">
        <v>6596.4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43518</v>
      </c>
      <c r="B38" s="33">
        <v>3398</v>
      </c>
      <c r="C38" s="30" t="s">
        <v>12</v>
      </c>
      <c r="D38" s="40">
        <v>1965.15</v>
      </c>
      <c r="E38" s="24">
        <v>43518</v>
      </c>
      <c r="F38" s="25">
        <v>1965.15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43519</v>
      </c>
      <c r="B39" s="33">
        <v>3399</v>
      </c>
      <c r="C39" s="30" t="s">
        <v>7</v>
      </c>
      <c r="D39" s="40">
        <v>9472</v>
      </c>
      <c r="E39" s="24">
        <v>43519</v>
      </c>
      <c r="F39" s="25">
        <v>9472</v>
      </c>
      <c r="G39" s="32">
        <f t="shared" si="0"/>
        <v>0</v>
      </c>
      <c r="H39" s="2"/>
      <c r="K39" s="49"/>
      <c r="L39" s="50"/>
      <c r="M39" s="2"/>
      <c r="N39" s="51">
        <f>SUM(N4:N38)</f>
        <v>47494.5</v>
      </c>
      <c r="O39" s="52"/>
      <c r="P39" s="53">
        <f>SUM(P4:P38)</f>
        <v>0</v>
      </c>
      <c r="Q39" s="54">
        <f>SUM(Q4:Q38)</f>
        <v>47494.5</v>
      </c>
    </row>
    <row r="40" spans="1:17" ht="15.75" x14ac:dyDescent="0.25">
      <c r="A40" s="28">
        <v>43519</v>
      </c>
      <c r="B40" s="33">
        <v>3400</v>
      </c>
      <c r="C40" s="30" t="s">
        <v>9</v>
      </c>
      <c r="D40" s="40">
        <v>36512</v>
      </c>
      <c r="E40" s="24">
        <v>43520</v>
      </c>
      <c r="F40" s="25">
        <v>36512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43519</v>
      </c>
      <c r="B41" s="33">
        <v>3401</v>
      </c>
      <c r="C41" s="30" t="s">
        <v>8</v>
      </c>
      <c r="D41" s="40">
        <v>10540</v>
      </c>
      <c r="E41" s="24">
        <v>43519</v>
      </c>
      <c r="F41" s="25">
        <v>10540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43519</v>
      </c>
      <c r="B42" s="33">
        <v>3402</v>
      </c>
      <c r="C42" s="30" t="s">
        <v>32</v>
      </c>
      <c r="D42" s="40">
        <v>10780.4</v>
      </c>
      <c r="E42" s="24">
        <v>43519</v>
      </c>
      <c r="F42" s="25">
        <v>10780.4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43520</v>
      </c>
      <c r="B43" s="33">
        <v>3403</v>
      </c>
      <c r="C43" s="30" t="s">
        <v>8</v>
      </c>
      <c r="D43" s="40">
        <v>12030</v>
      </c>
      <c r="E43" s="24">
        <v>43520</v>
      </c>
      <c r="F43" s="25">
        <v>12030</v>
      </c>
      <c r="G43" s="32">
        <f t="shared" si="0"/>
        <v>0</v>
      </c>
      <c r="H43" s="2"/>
      <c r="K43" s="49"/>
      <c r="L43" s="50"/>
      <c r="M43" s="2"/>
      <c r="N43" s="126">
        <f>N39-P39</f>
        <v>47494.5</v>
      </c>
      <c r="O43" s="127"/>
      <c r="P43" s="128"/>
    </row>
    <row r="44" spans="1:17" ht="15.75" x14ac:dyDescent="0.25">
      <c r="A44" s="28">
        <v>43520</v>
      </c>
      <c r="B44" s="33">
        <v>3404</v>
      </c>
      <c r="C44" s="30" t="s">
        <v>11</v>
      </c>
      <c r="D44" s="40">
        <v>9999.92</v>
      </c>
      <c r="E44" s="24">
        <v>43520</v>
      </c>
      <c r="F44" s="25">
        <v>9999.92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43520</v>
      </c>
      <c r="B45" s="33">
        <v>3405</v>
      </c>
      <c r="C45" s="30" t="s">
        <v>9</v>
      </c>
      <c r="D45" s="40">
        <v>17200</v>
      </c>
      <c r="E45" s="24">
        <v>43523</v>
      </c>
      <c r="F45" s="25">
        <v>17200</v>
      </c>
      <c r="G45" s="32">
        <f t="shared" si="0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28">
        <v>43520</v>
      </c>
      <c r="B46" s="33">
        <v>3406</v>
      </c>
      <c r="C46" s="30" t="s">
        <v>10</v>
      </c>
      <c r="D46" s="40">
        <v>5124.8</v>
      </c>
      <c r="E46" s="24">
        <v>43521</v>
      </c>
      <c r="F46" s="25">
        <v>5124.8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43520</v>
      </c>
      <c r="B47" s="33">
        <v>3407</v>
      </c>
      <c r="C47" s="30" t="s">
        <v>13</v>
      </c>
      <c r="D47" s="40">
        <v>5868</v>
      </c>
      <c r="E47" s="24">
        <v>43521</v>
      </c>
      <c r="F47" s="25">
        <v>5868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43521</v>
      </c>
      <c r="B48" s="33">
        <v>3408</v>
      </c>
      <c r="C48" s="30" t="s">
        <v>32</v>
      </c>
      <c r="D48" s="40">
        <v>11166.8</v>
      </c>
      <c r="E48" s="24">
        <v>43521</v>
      </c>
      <c r="F48" s="25">
        <v>11166.8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43521</v>
      </c>
      <c r="B49" s="33">
        <v>3409</v>
      </c>
      <c r="C49" s="30" t="s">
        <v>13</v>
      </c>
      <c r="D49" s="40">
        <v>2880</v>
      </c>
      <c r="E49" s="24">
        <v>43522</v>
      </c>
      <c r="F49" s="25">
        <v>2880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43522</v>
      </c>
      <c r="B50" s="33">
        <v>3410</v>
      </c>
      <c r="C50" s="30" t="s">
        <v>9</v>
      </c>
      <c r="D50" s="40">
        <v>3892.4</v>
      </c>
      <c r="E50" s="24">
        <v>43522</v>
      </c>
      <c r="F50" s="25">
        <v>3892.4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43523</v>
      </c>
      <c r="B51" s="33">
        <v>3411</v>
      </c>
      <c r="C51" s="30" t="s">
        <v>12</v>
      </c>
      <c r="D51" s="40">
        <v>2046</v>
      </c>
      <c r="E51" s="24">
        <v>43525</v>
      </c>
      <c r="F51" s="25">
        <v>2046</v>
      </c>
      <c r="G51" s="32">
        <f t="shared" si="0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43523</v>
      </c>
      <c r="B52" s="33">
        <v>3412</v>
      </c>
      <c r="C52" s="30" t="s">
        <v>9</v>
      </c>
      <c r="D52" s="40">
        <v>1799.5</v>
      </c>
      <c r="E52" s="24">
        <v>43527</v>
      </c>
      <c r="F52" s="25">
        <v>1799.5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76">
        <v>43524</v>
      </c>
      <c r="B53" s="77">
        <v>3413</v>
      </c>
      <c r="C53" s="78" t="s">
        <v>8</v>
      </c>
      <c r="D53" s="79">
        <v>8478</v>
      </c>
      <c r="E53" s="80">
        <v>43524</v>
      </c>
      <c r="F53" s="81">
        <v>8478</v>
      </c>
      <c r="G53" s="82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43525</v>
      </c>
      <c r="B54" s="33">
        <v>3414</v>
      </c>
      <c r="C54" s="30" t="s">
        <v>11</v>
      </c>
      <c r="D54" s="40">
        <v>6000</v>
      </c>
      <c r="E54" s="24">
        <v>43525</v>
      </c>
      <c r="F54" s="25">
        <v>6000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43525</v>
      </c>
      <c r="B55" s="33">
        <v>3415</v>
      </c>
      <c r="C55" s="30" t="s">
        <v>12</v>
      </c>
      <c r="D55" s="40">
        <v>6204.6</v>
      </c>
      <c r="E55" s="24">
        <v>43527</v>
      </c>
      <c r="F55" s="25">
        <v>6204.6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43525</v>
      </c>
      <c r="B56" s="33">
        <v>3416</v>
      </c>
      <c r="C56" s="30" t="s">
        <v>8</v>
      </c>
      <c r="D56" s="40">
        <v>7473.6</v>
      </c>
      <c r="E56" s="24">
        <v>43526</v>
      </c>
      <c r="F56" s="25">
        <v>7473.6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43526</v>
      </c>
      <c r="B57" s="33">
        <v>3417</v>
      </c>
      <c r="C57" s="30" t="s">
        <v>7</v>
      </c>
      <c r="D57" s="40">
        <v>9824</v>
      </c>
      <c r="E57" s="24">
        <v>43526</v>
      </c>
      <c r="F57" s="25">
        <v>9824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43526</v>
      </c>
      <c r="B58" s="33">
        <v>3418</v>
      </c>
      <c r="C58" s="30" t="s">
        <v>9</v>
      </c>
      <c r="D58" s="40">
        <v>32710.6</v>
      </c>
      <c r="E58" s="24">
        <v>43528</v>
      </c>
      <c r="F58" s="25">
        <v>32710.6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43526</v>
      </c>
      <c r="B59" s="33">
        <v>3419</v>
      </c>
      <c r="C59" s="30" t="s">
        <v>8</v>
      </c>
      <c r="D59" s="40">
        <v>28911.599999999999</v>
      </c>
      <c r="E59" s="24">
        <v>43527</v>
      </c>
      <c r="F59" s="25">
        <v>28911.599999999999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28">
        <v>43526</v>
      </c>
      <c r="B60" s="33">
        <v>3420</v>
      </c>
      <c r="C60" s="30" t="s">
        <v>11</v>
      </c>
      <c r="D60" s="40">
        <v>6000</v>
      </c>
      <c r="E60" s="24">
        <v>43526</v>
      </c>
      <c r="F60" s="25">
        <v>6000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43526</v>
      </c>
      <c r="B61" s="33">
        <v>3421</v>
      </c>
      <c r="C61" s="30" t="s">
        <v>29</v>
      </c>
      <c r="D61" s="40">
        <v>13882.4</v>
      </c>
      <c r="E61" s="24">
        <v>43526</v>
      </c>
      <c r="F61" s="25">
        <v>13882.4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43526</v>
      </c>
      <c r="B62" s="33">
        <v>3422</v>
      </c>
      <c r="C62" s="30" t="s">
        <v>10</v>
      </c>
      <c r="D62" s="40">
        <v>4300.8</v>
      </c>
      <c r="E62" s="24">
        <v>43527</v>
      </c>
      <c r="F62" s="25">
        <v>4300.8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43526</v>
      </c>
      <c r="B63" s="33">
        <v>3423</v>
      </c>
      <c r="C63" s="30" t="s">
        <v>13</v>
      </c>
      <c r="D63" s="40">
        <v>5350.4</v>
      </c>
      <c r="E63" s="24">
        <v>43526</v>
      </c>
      <c r="F63" s="25">
        <v>5350.4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43527</v>
      </c>
      <c r="B64" s="33">
        <v>3424</v>
      </c>
      <c r="C64" s="30" t="s">
        <v>11</v>
      </c>
      <c r="D64" s="40">
        <v>8489.84</v>
      </c>
      <c r="E64" s="24">
        <v>43527</v>
      </c>
      <c r="F64" s="25">
        <v>8489.84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43527</v>
      </c>
      <c r="B65" s="33">
        <v>3425</v>
      </c>
      <c r="C65" s="30" t="s">
        <v>12</v>
      </c>
      <c r="D65" s="40">
        <v>7280.4</v>
      </c>
      <c r="E65" s="24">
        <v>43530</v>
      </c>
      <c r="F65" s="25">
        <v>7280.4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43527</v>
      </c>
      <c r="B66" s="33">
        <v>3426</v>
      </c>
      <c r="C66" s="30" t="s">
        <v>11</v>
      </c>
      <c r="D66" s="40">
        <v>5004.8</v>
      </c>
      <c r="E66" s="24">
        <v>43527</v>
      </c>
      <c r="F66" s="25">
        <v>5004.8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43527</v>
      </c>
      <c r="B67" s="33">
        <v>3427</v>
      </c>
      <c r="C67" s="30" t="s">
        <v>13</v>
      </c>
      <c r="D67" s="40">
        <v>5640</v>
      </c>
      <c r="E67" s="24">
        <v>43528</v>
      </c>
      <c r="F67" s="25">
        <v>5640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43527</v>
      </c>
      <c r="B68" s="33">
        <v>3428</v>
      </c>
      <c r="C68" s="30" t="s">
        <v>10</v>
      </c>
      <c r="D68" s="40">
        <v>5590.2</v>
      </c>
      <c r="E68" s="24">
        <v>43528</v>
      </c>
      <c r="F68" s="25">
        <v>5590.2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43527</v>
      </c>
      <c r="B69" s="33">
        <v>3429</v>
      </c>
      <c r="C69" s="30" t="s">
        <v>9</v>
      </c>
      <c r="D69" s="40">
        <v>18018</v>
      </c>
      <c r="E69" s="24">
        <v>43531</v>
      </c>
      <c r="F69" s="25">
        <v>18018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43529</v>
      </c>
      <c r="B70" s="33">
        <v>3430</v>
      </c>
      <c r="C70" s="30" t="s">
        <v>9</v>
      </c>
      <c r="D70" s="40">
        <v>3790</v>
      </c>
      <c r="E70" s="24">
        <v>43529</v>
      </c>
      <c r="F70" s="25">
        <v>3790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43530</v>
      </c>
      <c r="B71" s="33">
        <v>3431</v>
      </c>
      <c r="C71" s="30" t="s">
        <v>12</v>
      </c>
      <c r="D71" s="40">
        <v>8836.2000000000007</v>
      </c>
      <c r="E71" s="67">
        <v>43539</v>
      </c>
      <c r="F71" s="68">
        <v>8836.2000000000007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43530</v>
      </c>
      <c r="B72" s="33">
        <v>3432</v>
      </c>
      <c r="C72" s="30" t="s">
        <v>8</v>
      </c>
      <c r="D72" s="40">
        <v>7979.4</v>
      </c>
      <c r="E72" s="24">
        <v>43530</v>
      </c>
      <c r="F72" s="25">
        <v>7979.4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43530</v>
      </c>
      <c r="B73" s="33">
        <v>3433</v>
      </c>
      <c r="C73" s="30" t="s">
        <v>11</v>
      </c>
      <c r="D73" s="40">
        <v>10000</v>
      </c>
      <c r="E73" s="24">
        <v>43530</v>
      </c>
      <c r="F73" s="25">
        <v>10000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43530</v>
      </c>
      <c r="B74" s="33">
        <v>3434</v>
      </c>
      <c r="C74" s="30" t="s">
        <v>32</v>
      </c>
      <c r="D74" s="40">
        <v>10809.2</v>
      </c>
      <c r="E74" s="24">
        <v>43530</v>
      </c>
      <c r="F74" s="25">
        <v>10809.2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43530</v>
      </c>
      <c r="B75" s="33">
        <v>3435</v>
      </c>
      <c r="C75" s="30" t="s">
        <v>10</v>
      </c>
      <c r="D75" s="40">
        <v>2864.4</v>
      </c>
      <c r="E75" s="24">
        <v>43531</v>
      </c>
      <c r="F75" s="25">
        <v>2864.4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43531</v>
      </c>
      <c r="B76" s="33">
        <v>3436</v>
      </c>
      <c r="C76" s="30" t="s">
        <v>11</v>
      </c>
      <c r="D76" s="40">
        <v>6500.16</v>
      </c>
      <c r="E76" s="24">
        <v>43531</v>
      </c>
      <c r="F76" s="25">
        <v>6500.16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43531</v>
      </c>
      <c r="B77" s="33">
        <v>3437</v>
      </c>
      <c r="C77" s="30" t="s">
        <v>8</v>
      </c>
      <c r="D77" s="40">
        <v>4600.3999999999996</v>
      </c>
      <c r="E77" s="24">
        <v>43531</v>
      </c>
      <c r="F77" s="25">
        <v>4600.3999999999996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43531</v>
      </c>
      <c r="B78" s="33">
        <v>3438</v>
      </c>
      <c r="C78" s="30" t="s">
        <v>12</v>
      </c>
      <c r="D78" s="40">
        <v>3091.2</v>
      </c>
      <c r="E78" s="67">
        <v>43534</v>
      </c>
      <c r="F78" s="68">
        <v>3091.2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43531</v>
      </c>
      <c r="B79" s="33">
        <v>3439</v>
      </c>
      <c r="C79" s="30" t="s">
        <v>13</v>
      </c>
      <c r="D79" s="40">
        <v>2633.4</v>
      </c>
      <c r="E79" s="24">
        <v>43532</v>
      </c>
      <c r="F79" s="25">
        <v>2633.4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43531</v>
      </c>
      <c r="B80" s="33">
        <v>3440</v>
      </c>
      <c r="C80" s="30" t="s">
        <v>11</v>
      </c>
      <c r="D80" s="40">
        <v>15637.12</v>
      </c>
      <c r="E80" s="24">
        <v>43532</v>
      </c>
      <c r="F80" s="25">
        <v>15637.12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43532</v>
      </c>
      <c r="B81" s="33">
        <v>3441</v>
      </c>
      <c r="C81" s="30" t="s">
        <v>8</v>
      </c>
      <c r="D81" s="40">
        <v>7609.6</v>
      </c>
      <c r="E81" s="24">
        <v>43532</v>
      </c>
      <c r="F81" s="25">
        <v>7609.6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43532</v>
      </c>
      <c r="B82" s="33">
        <v>3442</v>
      </c>
      <c r="C82" s="30" t="s">
        <v>11</v>
      </c>
      <c r="D82" s="40">
        <v>14582.4</v>
      </c>
      <c r="E82" s="67">
        <v>43534</v>
      </c>
      <c r="F82" s="68">
        <v>14582.4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43532</v>
      </c>
      <c r="B83" s="33">
        <v>3443</v>
      </c>
      <c r="C83" s="30" t="s">
        <v>18</v>
      </c>
      <c r="D83" s="40">
        <v>1920.6</v>
      </c>
      <c r="E83" s="67">
        <v>43534</v>
      </c>
      <c r="F83" s="68">
        <v>1920.6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43532</v>
      </c>
      <c r="B84" s="33">
        <v>3444</v>
      </c>
      <c r="C84" s="30" t="s">
        <v>13</v>
      </c>
      <c r="D84" s="40">
        <v>2521.1999999999998</v>
      </c>
      <c r="E84" s="67">
        <v>43533</v>
      </c>
      <c r="F84" s="68">
        <v>2521.1999999999998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thickBot="1" x14ac:dyDescent="0.3">
      <c r="A85" s="43"/>
      <c r="B85" s="44"/>
      <c r="C85" s="45"/>
      <c r="D85" s="46"/>
      <c r="E85" s="47"/>
      <c r="F85" s="46"/>
      <c r="G85" s="32">
        <f t="shared" si="0"/>
        <v>0</v>
      </c>
      <c r="H85" s="2"/>
    </row>
    <row r="86" spans="1:17" ht="16.5" thickTop="1" x14ac:dyDescent="0.25">
      <c r="A86" s="49"/>
      <c r="B86" s="50"/>
      <c r="C86" s="2"/>
      <c r="D86" s="51">
        <f>SUM(D4:D85)</f>
        <v>717069.69000000006</v>
      </c>
      <c r="E86" s="52"/>
      <c r="F86" s="51">
        <f>SUM(F4:F85)</f>
        <v>717069.69000000006</v>
      </c>
      <c r="G86" s="55"/>
      <c r="H86" s="2"/>
    </row>
    <row r="87" spans="1:17" x14ac:dyDescent="0.25">
      <c r="A87" s="49"/>
      <c r="B87" s="50"/>
      <c r="C87" s="2"/>
      <c r="D87" s="53"/>
      <c r="E87" s="52"/>
      <c r="F87" s="53"/>
      <c r="G87" s="55"/>
      <c r="H87" s="2"/>
    </row>
    <row r="88" spans="1:17" ht="30" x14ac:dyDescent="0.25">
      <c r="A88" s="49"/>
      <c r="B88" s="50"/>
      <c r="C88" s="2"/>
      <c r="D88" s="56" t="s">
        <v>15</v>
      </c>
      <c r="E88" s="52"/>
      <c r="F88" s="57" t="s">
        <v>16</v>
      </c>
      <c r="G88" s="55"/>
      <c r="H88" s="2"/>
    </row>
    <row r="89" spans="1:17" ht="15.75" thickBot="1" x14ac:dyDescent="0.3">
      <c r="A89" s="49"/>
      <c r="B89" s="50"/>
      <c r="C89" s="2"/>
      <c r="D89" s="56"/>
      <c r="E89" s="52"/>
      <c r="F89" s="57"/>
      <c r="G89" s="55"/>
      <c r="H89" s="2"/>
    </row>
    <row r="90" spans="1:17" ht="21.75" thickBot="1" x14ac:dyDescent="0.4">
      <c r="A90" s="49"/>
      <c r="B90" s="50"/>
      <c r="C90" s="2"/>
      <c r="D90" s="126">
        <f>D86-F86</f>
        <v>0</v>
      </c>
      <c r="E90" s="127"/>
      <c r="F90" s="128"/>
      <c r="H90" s="2"/>
    </row>
    <row r="91" spans="1:17" x14ac:dyDescent="0.25">
      <c r="A91" s="49"/>
      <c r="B91" s="50"/>
      <c r="C91" s="2"/>
      <c r="D91" s="53"/>
      <c r="E91" s="52"/>
      <c r="F91" s="53"/>
      <c r="H91" s="2"/>
      <c r="K91" s="49"/>
      <c r="L91" s="50"/>
      <c r="M91" s="2"/>
      <c r="N91" s="53"/>
      <c r="O91" s="52"/>
      <c r="P91" s="53"/>
    </row>
    <row r="92" spans="1:17" ht="18.75" x14ac:dyDescent="0.3">
      <c r="A92" s="49"/>
      <c r="B92" s="50"/>
      <c r="C92" s="2"/>
      <c r="D92" s="129" t="s">
        <v>17</v>
      </c>
      <c r="E92" s="129"/>
      <c r="F92" s="129"/>
      <c r="H92" s="2"/>
      <c r="K92" s="49"/>
      <c r="L92" s="50"/>
      <c r="M92" s="2"/>
    </row>
    <row r="93" spans="1:17" x14ac:dyDescent="0.25">
      <c r="A93" s="49"/>
      <c r="B93" s="50"/>
      <c r="C93" s="2"/>
      <c r="D93" s="53"/>
      <c r="E93" s="52"/>
      <c r="F93" s="53"/>
      <c r="H93" s="2"/>
      <c r="K93" s="49"/>
      <c r="L93" s="50"/>
      <c r="M93" s="2"/>
      <c r="N93" s="53"/>
      <c r="O93" s="52"/>
      <c r="P93" s="53"/>
    </row>
    <row r="94" spans="1:17" x14ac:dyDescent="0.25">
      <c r="A94" s="49"/>
      <c r="B94" s="50"/>
      <c r="C94" s="2"/>
      <c r="D94" s="53"/>
      <c r="E94" s="52"/>
      <c r="F94" s="53"/>
      <c r="H94" s="2"/>
      <c r="K94" s="49"/>
      <c r="L94" s="50"/>
      <c r="M94" s="2"/>
      <c r="N94" s="53"/>
      <c r="O94" s="52"/>
      <c r="P94" s="53"/>
    </row>
    <row r="95" spans="1:17" x14ac:dyDescent="0.25">
      <c r="A95" s="49"/>
      <c r="B95" s="50"/>
      <c r="C95" s="2"/>
      <c r="D95" s="53"/>
      <c r="E95" s="52"/>
      <c r="F95" s="53"/>
      <c r="H95" s="2"/>
      <c r="K95" s="49"/>
      <c r="L95" s="50"/>
      <c r="M95" s="2"/>
      <c r="N95" s="53"/>
      <c r="O95" s="52"/>
      <c r="P95" s="53"/>
    </row>
    <row r="96" spans="1:17" x14ac:dyDescent="0.25">
      <c r="A96" s="49"/>
      <c r="B96" s="50"/>
      <c r="C96" s="2"/>
      <c r="D96" s="53"/>
      <c r="E96" s="52"/>
      <c r="F96" s="53"/>
      <c r="H96" s="2"/>
      <c r="K96" s="49"/>
      <c r="L96" s="50"/>
      <c r="M96" s="2"/>
      <c r="N96" s="53"/>
      <c r="O96" s="52"/>
      <c r="P96" s="53"/>
    </row>
    <row r="97" spans="1:16" x14ac:dyDescent="0.25">
      <c r="A97" s="49"/>
      <c r="B97" s="50"/>
      <c r="C97" s="2"/>
      <c r="D97" s="53"/>
      <c r="E97" s="52"/>
      <c r="F97" s="53"/>
      <c r="H97" s="2"/>
      <c r="K97" s="49"/>
      <c r="L97" s="50"/>
      <c r="M97" s="2"/>
      <c r="N97" s="53"/>
      <c r="O97" s="52"/>
      <c r="P97" s="53"/>
    </row>
    <row r="98" spans="1:16" x14ac:dyDescent="0.25">
      <c r="A98" s="49"/>
      <c r="B98" s="50"/>
      <c r="C98" s="2"/>
      <c r="D98" s="53"/>
      <c r="E98" s="52"/>
      <c r="F98" s="53"/>
      <c r="H98" s="2"/>
      <c r="K98" s="49"/>
      <c r="L98" s="50"/>
      <c r="M98" s="2"/>
      <c r="N98" s="53"/>
      <c r="O98" s="52"/>
      <c r="P98" s="53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x14ac:dyDescent="0.25">
      <c r="A100" s="49"/>
      <c r="B100" s="50"/>
      <c r="C100" s="2"/>
      <c r="D100" s="53"/>
      <c r="E100" s="52"/>
      <c r="F100" s="53"/>
      <c r="H100" s="2"/>
      <c r="K100" s="49"/>
      <c r="L100" s="50"/>
      <c r="M100" s="2"/>
      <c r="N100" s="53"/>
      <c r="O100" s="52"/>
      <c r="P100" s="53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</sheetData>
  <mergeCells count="8">
    <mergeCell ref="D90:F90"/>
    <mergeCell ref="D92:F9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Q111"/>
  <sheetViews>
    <sheetView workbookViewId="0">
      <pane ySplit="3" topLeftCell="A88" activePane="bottomLeft" state="frozen"/>
      <selection pane="bottomLeft" activeCell="D83" sqref="D83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35</v>
      </c>
      <c r="C1" s="130"/>
      <c r="D1" s="130"/>
      <c r="E1" s="130"/>
      <c r="F1" s="130"/>
      <c r="H1" s="2"/>
      <c r="K1" s="3"/>
      <c r="L1" s="131" t="s">
        <v>36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7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43533</v>
      </c>
      <c r="B4" s="27">
        <v>3445</v>
      </c>
      <c r="C4" s="22" t="s">
        <v>7</v>
      </c>
      <c r="D4" s="23">
        <v>16335</v>
      </c>
      <c r="E4" s="24">
        <v>43533</v>
      </c>
      <c r="F4" s="25">
        <v>16335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30" x14ac:dyDescent="0.25">
      <c r="A5" s="28">
        <v>43533</v>
      </c>
      <c r="B5" s="33">
        <v>3446</v>
      </c>
      <c r="C5" s="30" t="s">
        <v>8</v>
      </c>
      <c r="D5" s="31">
        <v>29189.439999999999</v>
      </c>
      <c r="E5" s="85" t="s">
        <v>37</v>
      </c>
      <c r="F5" s="25">
        <f>15000+14189.44</f>
        <v>29189.440000000002</v>
      </c>
      <c r="G5" s="32">
        <f>D5-F5</f>
        <v>0</v>
      </c>
      <c r="H5" s="2"/>
      <c r="K5" s="28">
        <v>43533</v>
      </c>
      <c r="L5" s="33">
        <v>195</v>
      </c>
      <c r="M5" s="34" t="s">
        <v>25</v>
      </c>
      <c r="N5" s="31">
        <v>3855</v>
      </c>
      <c r="O5" s="24"/>
      <c r="P5" s="25"/>
      <c r="Q5" s="32">
        <f>N5-P5</f>
        <v>3855</v>
      </c>
    </row>
    <row r="6" spans="1:17" ht="15.75" x14ac:dyDescent="0.25">
      <c r="A6" s="28">
        <v>43533</v>
      </c>
      <c r="B6" s="33">
        <v>3447</v>
      </c>
      <c r="C6" s="34" t="s">
        <v>9</v>
      </c>
      <c r="D6" s="31">
        <v>29816.400000000001</v>
      </c>
      <c r="E6" s="24">
        <v>43534</v>
      </c>
      <c r="F6" s="25">
        <v>29816.400000000001</v>
      </c>
      <c r="G6" s="32">
        <f>D6-F6</f>
        <v>0</v>
      </c>
      <c r="H6" s="2"/>
      <c r="K6" s="28">
        <v>43535</v>
      </c>
      <c r="L6" s="33">
        <v>196</v>
      </c>
      <c r="M6" s="34" t="s">
        <v>25</v>
      </c>
      <c r="N6" s="31">
        <v>1203</v>
      </c>
      <c r="O6" s="24"/>
      <c r="P6" s="25"/>
      <c r="Q6" s="32">
        <f>N6-P6</f>
        <v>1203</v>
      </c>
    </row>
    <row r="7" spans="1:17" ht="15.75" x14ac:dyDescent="0.25">
      <c r="A7" s="28">
        <v>43533</v>
      </c>
      <c r="B7" s="33">
        <v>3448</v>
      </c>
      <c r="C7" s="30" t="s">
        <v>29</v>
      </c>
      <c r="D7" s="31">
        <v>10775.6</v>
      </c>
      <c r="E7" s="24">
        <v>43533</v>
      </c>
      <c r="F7" s="25">
        <v>10775.6</v>
      </c>
      <c r="G7" s="32">
        <f t="shared" ref="G7:G93" si="0">D7-F7</f>
        <v>0</v>
      </c>
      <c r="H7" s="2"/>
      <c r="K7" s="28">
        <v>43536</v>
      </c>
      <c r="L7" s="33">
        <v>197</v>
      </c>
      <c r="M7" s="30" t="s">
        <v>25</v>
      </c>
      <c r="N7" s="31">
        <v>2901</v>
      </c>
      <c r="O7" s="24"/>
      <c r="P7" s="25"/>
      <c r="Q7" s="32">
        <f t="shared" ref="Q7:Q22" si="1">N7-P7</f>
        <v>2901</v>
      </c>
    </row>
    <row r="8" spans="1:17" ht="15.75" x14ac:dyDescent="0.25">
      <c r="A8" s="28">
        <v>43533</v>
      </c>
      <c r="B8" s="33">
        <v>3449</v>
      </c>
      <c r="C8" s="30" t="s">
        <v>10</v>
      </c>
      <c r="D8" s="31">
        <v>4270.3999999999996</v>
      </c>
      <c r="E8" s="24">
        <v>43534</v>
      </c>
      <c r="F8" s="25">
        <v>4270.3999999999996</v>
      </c>
      <c r="G8" s="32">
        <f t="shared" si="0"/>
        <v>0</v>
      </c>
      <c r="H8" s="2"/>
      <c r="K8" s="28">
        <v>43541</v>
      </c>
      <c r="L8" s="33">
        <v>198</v>
      </c>
      <c r="M8" s="30" t="s">
        <v>25</v>
      </c>
      <c r="N8" s="31">
        <v>2268</v>
      </c>
      <c r="O8" s="24"/>
      <c r="P8" s="25"/>
      <c r="Q8" s="32">
        <f t="shared" si="1"/>
        <v>2268</v>
      </c>
    </row>
    <row r="9" spans="1:17" ht="15.75" x14ac:dyDescent="0.25">
      <c r="A9" s="28">
        <v>43533</v>
      </c>
      <c r="B9" s="33">
        <v>3450</v>
      </c>
      <c r="C9" s="30" t="s">
        <v>13</v>
      </c>
      <c r="D9" s="31">
        <v>3479</v>
      </c>
      <c r="E9" s="24">
        <v>43534</v>
      </c>
      <c r="F9" s="25">
        <v>3479</v>
      </c>
      <c r="G9" s="32">
        <f t="shared" si="0"/>
        <v>0</v>
      </c>
      <c r="H9" s="2"/>
      <c r="K9" s="28">
        <v>43546</v>
      </c>
      <c r="L9" s="33">
        <v>199</v>
      </c>
      <c r="M9" s="30" t="s">
        <v>25</v>
      </c>
      <c r="N9" s="31">
        <v>3774</v>
      </c>
      <c r="O9" s="24"/>
      <c r="P9" s="25"/>
      <c r="Q9" s="32">
        <f t="shared" si="1"/>
        <v>3774</v>
      </c>
    </row>
    <row r="10" spans="1:17" ht="15.75" x14ac:dyDescent="0.25">
      <c r="A10" s="28">
        <v>43534</v>
      </c>
      <c r="B10" s="33">
        <v>3451</v>
      </c>
      <c r="C10" s="30" t="s">
        <v>10</v>
      </c>
      <c r="D10" s="31">
        <v>4522</v>
      </c>
      <c r="E10" s="24">
        <v>43536</v>
      </c>
      <c r="F10" s="25">
        <v>4522</v>
      </c>
      <c r="G10" s="32">
        <f t="shared" si="0"/>
        <v>0</v>
      </c>
      <c r="H10" s="2"/>
      <c r="K10" s="28">
        <v>43550</v>
      </c>
      <c r="L10" s="33">
        <v>200</v>
      </c>
      <c r="M10" s="34" t="s">
        <v>25</v>
      </c>
      <c r="N10" s="31">
        <v>2697</v>
      </c>
      <c r="O10" s="24"/>
      <c r="P10" s="25"/>
      <c r="Q10" s="32">
        <f t="shared" si="1"/>
        <v>2697</v>
      </c>
    </row>
    <row r="11" spans="1:17" ht="15.75" x14ac:dyDescent="0.25">
      <c r="A11" s="28">
        <v>43534</v>
      </c>
      <c r="B11" s="33">
        <v>3452</v>
      </c>
      <c r="C11" s="30" t="s">
        <v>13</v>
      </c>
      <c r="D11" s="31">
        <v>2849</v>
      </c>
      <c r="E11" s="24">
        <v>43535</v>
      </c>
      <c r="F11" s="25">
        <v>2849</v>
      </c>
      <c r="G11" s="32">
        <f t="shared" si="0"/>
        <v>0</v>
      </c>
      <c r="H11" s="2"/>
      <c r="K11" s="28">
        <v>43554</v>
      </c>
      <c r="L11" s="33">
        <v>201</v>
      </c>
      <c r="M11" s="34" t="s">
        <v>25</v>
      </c>
      <c r="N11" s="31">
        <v>1699</v>
      </c>
      <c r="O11" s="24"/>
      <c r="P11" s="25"/>
      <c r="Q11" s="32">
        <f t="shared" si="1"/>
        <v>1699</v>
      </c>
    </row>
    <row r="12" spans="1:17" ht="15.75" x14ac:dyDescent="0.25">
      <c r="A12" s="28">
        <v>43535</v>
      </c>
      <c r="B12" s="33">
        <v>3453</v>
      </c>
      <c r="C12" s="30" t="s">
        <v>8</v>
      </c>
      <c r="D12" s="31">
        <v>31554.6</v>
      </c>
      <c r="E12" s="24">
        <v>43535</v>
      </c>
      <c r="F12" s="25">
        <v>31554.6</v>
      </c>
      <c r="G12" s="32">
        <f t="shared" si="0"/>
        <v>0</v>
      </c>
      <c r="H12" s="2"/>
      <c r="K12" s="28">
        <v>43557</v>
      </c>
      <c r="L12" s="33">
        <v>202</v>
      </c>
      <c r="M12" s="34" t="s">
        <v>25</v>
      </c>
      <c r="N12" s="31">
        <v>3267</v>
      </c>
      <c r="O12" s="24"/>
      <c r="P12" s="25"/>
      <c r="Q12" s="32">
        <f t="shared" si="1"/>
        <v>3267</v>
      </c>
    </row>
    <row r="13" spans="1:17" ht="15.75" x14ac:dyDescent="0.25">
      <c r="A13" s="28">
        <v>43535</v>
      </c>
      <c r="B13" s="33">
        <v>3454</v>
      </c>
      <c r="C13" s="30" t="s">
        <v>11</v>
      </c>
      <c r="D13" s="31">
        <v>6976.8</v>
      </c>
      <c r="E13" s="24">
        <v>43536</v>
      </c>
      <c r="F13" s="25">
        <v>6976.8</v>
      </c>
      <c r="G13" s="32">
        <f t="shared" si="0"/>
        <v>0</v>
      </c>
      <c r="H13" s="2"/>
      <c r="K13" s="28"/>
      <c r="L13" s="33">
        <v>203</v>
      </c>
      <c r="M13" s="30"/>
      <c r="N13" s="31"/>
      <c r="O13" s="24"/>
      <c r="P13" s="25"/>
      <c r="Q13" s="32">
        <f t="shared" si="1"/>
        <v>0</v>
      </c>
    </row>
    <row r="14" spans="1:17" ht="15.75" x14ac:dyDescent="0.25">
      <c r="A14" s="28">
        <v>43535</v>
      </c>
      <c r="B14" s="33">
        <v>3455</v>
      </c>
      <c r="C14" s="30" t="s">
        <v>10</v>
      </c>
      <c r="D14" s="31">
        <v>4151</v>
      </c>
      <c r="E14" s="24">
        <v>43535</v>
      </c>
      <c r="F14" s="25">
        <v>4151</v>
      </c>
      <c r="G14" s="32">
        <f t="shared" si="0"/>
        <v>0</v>
      </c>
      <c r="H14" s="2"/>
      <c r="K14" s="28"/>
      <c r="L14" s="33">
        <v>204</v>
      </c>
      <c r="M14" s="34"/>
      <c r="N14" s="31"/>
      <c r="O14" s="24"/>
      <c r="P14" s="25"/>
      <c r="Q14" s="32">
        <f t="shared" si="1"/>
        <v>0</v>
      </c>
    </row>
    <row r="15" spans="1:17" ht="15.75" x14ac:dyDescent="0.25">
      <c r="A15" s="28">
        <v>43535</v>
      </c>
      <c r="B15" s="33">
        <v>3456</v>
      </c>
      <c r="C15" s="34" t="s">
        <v>13</v>
      </c>
      <c r="D15" s="31">
        <v>6988.2</v>
      </c>
      <c r="E15" s="24">
        <v>43536</v>
      </c>
      <c r="F15" s="25">
        <v>6988.2</v>
      </c>
      <c r="G15" s="32">
        <f t="shared" si="0"/>
        <v>0</v>
      </c>
      <c r="H15" s="2"/>
      <c r="K15" s="28"/>
      <c r="L15" s="33">
        <v>205</v>
      </c>
      <c r="M15" s="30"/>
      <c r="N15" s="31"/>
      <c r="O15" s="24"/>
      <c r="P15" s="25"/>
      <c r="Q15" s="32">
        <f t="shared" si="1"/>
        <v>0</v>
      </c>
    </row>
    <row r="16" spans="1:17" ht="15.75" x14ac:dyDescent="0.25">
      <c r="A16" s="28">
        <v>43536</v>
      </c>
      <c r="B16" s="33">
        <v>3457</v>
      </c>
      <c r="C16" s="30" t="s">
        <v>32</v>
      </c>
      <c r="D16" s="31">
        <v>11127.2</v>
      </c>
      <c r="E16" s="24">
        <v>43536</v>
      </c>
      <c r="F16" s="25">
        <v>11127.2</v>
      </c>
      <c r="G16" s="32">
        <f t="shared" si="0"/>
        <v>0</v>
      </c>
      <c r="H16" s="2"/>
      <c r="K16" s="28"/>
      <c r="L16" s="33">
        <v>206</v>
      </c>
      <c r="M16" s="30"/>
      <c r="N16" s="31"/>
      <c r="O16" s="24"/>
      <c r="P16" s="25"/>
      <c r="Q16" s="32">
        <f t="shared" si="1"/>
        <v>0</v>
      </c>
    </row>
    <row r="17" spans="1:17" ht="15.75" x14ac:dyDescent="0.25">
      <c r="A17" s="28">
        <v>43536</v>
      </c>
      <c r="B17" s="33">
        <v>3458</v>
      </c>
      <c r="C17" s="34" t="s">
        <v>9</v>
      </c>
      <c r="D17" s="31">
        <v>4500</v>
      </c>
      <c r="E17" s="24">
        <v>43537</v>
      </c>
      <c r="F17" s="25">
        <v>4500</v>
      </c>
      <c r="G17" s="32">
        <f t="shared" si="0"/>
        <v>0</v>
      </c>
      <c r="H17" s="2"/>
      <c r="K17" s="75"/>
      <c r="L17" s="33">
        <v>207</v>
      </c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43536</v>
      </c>
      <c r="B18" s="33">
        <v>3459</v>
      </c>
      <c r="C18" s="34" t="s">
        <v>10</v>
      </c>
      <c r="D18" s="31">
        <v>3759</v>
      </c>
      <c r="E18" s="24">
        <v>43537</v>
      </c>
      <c r="F18" s="25">
        <v>3759</v>
      </c>
      <c r="G18" s="32">
        <f t="shared" si="0"/>
        <v>0</v>
      </c>
      <c r="H18" s="2"/>
      <c r="K18" s="75"/>
      <c r="L18" s="33">
        <v>208</v>
      </c>
      <c r="M18" s="34"/>
      <c r="N18" s="31"/>
      <c r="O18" s="24"/>
      <c r="P18" s="25"/>
      <c r="Q18" s="32">
        <f t="shared" si="1"/>
        <v>0</v>
      </c>
    </row>
    <row r="19" spans="1:17" ht="15.75" x14ac:dyDescent="0.25">
      <c r="A19" s="28">
        <v>43536</v>
      </c>
      <c r="B19" s="33">
        <v>3460</v>
      </c>
      <c r="C19" s="30" t="s">
        <v>13</v>
      </c>
      <c r="D19" s="31">
        <v>3043.2</v>
      </c>
      <c r="E19" s="24">
        <v>43536</v>
      </c>
      <c r="F19" s="25">
        <v>3043.2</v>
      </c>
      <c r="G19" s="32">
        <f t="shared" si="0"/>
        <v>0</v>
      </c>
      <c r="H19" s="2"/>
      <c r="K19" s="75"/>
      <c r="L19" s="33">
        <v>209</v>
      </c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43537</v>
      </c>
      <c r="B20" s="33">
        <v>3461</v>
      </c>
      <c r="C20" s="30" t="s">
        <v>10</v>
      </c>
      <c r="D20" s="31">
        <v>4312.8</v>
      </c>
      <c r="E20" s="24">
        <v>43538</v>
      </c>
      <c r="F20" s="25">
        <v>4312.8</v>
      </c>
      <c r="G20" s="32">
        <f t="shared" si="0"/>
        <v>0</v>
      </c>
      <c r="H20" s="2"/>
      <c r="K20" s="28"/>
      <c r="L20" s="33">
        <v>210</v>
      </c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43538</v>
      </c>
      <c r="B21" s="33">
        <v>3462</v>
      </c>
      <c r="C21" s="30" t="s">
        <v>11</v>
      </c>
      <c r="D21" s="31">
        <v>5712</v>
      </c>
      <c r="E21" s="24">
        <v>43540</v>
      </c>
      <c r="F21" s="25">
        <v>5712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43538</v>
      </c>
      <c r="B22" s="33">
        <v>3463</v>
      </c>
      <c r="C22" s="30" t="s">
        <v>13</v>
      </c>
      <c r="D22" s="31">
        <v>3290.8</v>
      </c>
      <c r="E22" s="24">
        <v>43538</v>
      </c>
      <c r="F22" s="25">
        <v>3290.8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43538</v>
      </c>
      <c r="B23" s="33">
        <v>3464</v>
      </c>
      <c r="C23" s="30" t="s">
        <v>12</v>
      </c>
      <c r="D23" s="31">
        <v>1960.8</v>
      </c>
      <c r="E23" s="24">
        <v>43540</v>
      </c>
      <c r="F23" s="25">
        <v>1960.8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43538</v>
      </c>
      <c r="B24" s="33">
        <v>3465</v>
      </c>
      <c r="C24" s="30" t="s">
        <v>10</v>
      </c>
      <c r="D24" s="31">
        <v>2160</v>
      </c>
      <c r="E24" s="24">
        <v>43539</v>
      </c>
      <c r="F24" s="25">
        <v>2160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43540</v>
      </c>
      <c r="B25" s="33">
        <v>3466</v>
      </c>
      <c r="C25" s="30" t="s">
        <v>9</v>
      </c>
      <c r="D25" s="31">
        <v>37074.1</v>
      </c>
      <c r="E25" s="24">
        <v>43542</v>
      </c>
      <c r="F25" s="25">
        <v>37074.1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43540</v>
      </c>
      <c r="B26" s="33">
        <v>3467</v>
      </c>
      <c r="C26" s="30" t="s">
        <v>8</v>
      </c>
      <c r="D26" s="31">
        <v>33941.879999999997</v>
      </c>
      <c r="E26" s="24">
        <v>43541</v>
      </c>
      <c r="F26" s="25">
        <v>33941.879999999997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43540</v>
      </c>
      <c r="B27" s="33">
        <v>3468</v>
      </c>
      <c r="C27" s="34" t="s">
        <v>32</v>
      </c>
      <c r="D27" s="31">
        <v>11877.2</v>
      </c>
      <c r="E27" s="24">
        <v>43540</v>
      </c>
      <c r="F27" s="25">
        <v>11877.2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43540</v>
      </c>
      <c r="B28" s="33">
        <v>3469</v>
      </c>
      <c r="C28" s="30" t="s">
        <v>12</v>
      </c>
      <c r="D28" s="31">
        <v>8582.4</v>
      </c>
      <c r="E28" s="24">
        <v>43545</v>
      </c>
      <c r="F28" s="25">
        <v>8582.4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43540</v>
      </c>
      <c r="B29" s="33">
        <v>3470</v>
      </c>
      <c r="C29" s="30" t="s">
        <v>11</v>
      </c>
      <c r="D29" s="31">
        <v>16577.900000000001</v>
      </c>
      <c r="E29" s="24">
        <v>43541</v>
      </c>
      <c r="F29" s="25">
        <v>16577.900000000001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43541</v>
      </c>
      <c r="B30" s="33">
        <v>3471</v>
      </c>
      <c r="C30" s="30" t="s">
        <v>7</v>
      </c>
      <c r="D30" s="31">
        <v>4712</v>
      </c>
      <c r="E30" s="24">
        <v>43541</v>
      </c>
      <c r="F30" s="25">
        <v>4712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43541</v>
      </c>
      <c r="B31" s="33">
        <v>3472</v>
      </c>
      <c r="C31" s="30" t="s">
        <v>11</v>
      </c>
      <c r="D31" s="31">
        <v>6186.4</v>
      </c>
      <c r="E31" s="24">
        <v>43542</v>
      </c>
      <c r="F31" s="25">
        <v>6186.4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43541</v>
      </c>
      <c r="B32" s="33">
        <v>3473</v>
      </c>
      <c r="C32" s="30" t="s">
        <v>11</v>
      </c>
      <c r="D32" s="31">
        <v>5570.8</v>
      </c>
      <c r="E32" s="24">
        <v>43541</v>
      </c>
      <c r="F32" s="25">
        <v>5570.8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43541</v>
      </c>
      <c r="B33" s="33">
        <v>3474</v>
      </c>
      <c r="C33" s="30" t="s">
        <v>18</v>
      </c>
      <c r="D33" s="31">
        <v>1483.6</v>
      </c>
      <c r="E33" s="24">
        <v>43546</v>
      </c>
      <c r="F33" s="25">
        <v>1483.6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43541</v>
      </c>
      <c r="B34" s="33">
        <v>3475</v>
      </c>
      <c r="C34" s="30" t="s">
        <v>13</v>
      </c>
      <c r="D34" s="31">
        <v>6289.8</v>
      </c>
      <c r="E34" s="24">
        <v>43542</v>
      </c>
      <c r="F34" s="25">
        <v>6289.8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43541</v>
      </c>
      <c r="B35" s="33">
        <v>3476</v>
      </c>
      <c r="C35" s="30" t="s">
        <v>10</v>
      </c>
      <c r="D35" s="31">
        <v>4248.3999999999996</v>
      </c>
      <c r="E35" s="24">
        <v>43542</v>
      </c>
      <c r="F35" s="25">
        <v>4248.3999999999996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43542</v>
      </c>
      <c r="B36" s="33">
        <v>3477</v>
      </c>
      <c r="C36" s="30" t="s">
        <v>29</v>
      </c>
      <c r="D36" s="31">
        <v>12550</v>
      </c>
      <c r="E36" s="24">
        <v>43542</v>
      </c>
      <c r="F36" s="25">
        <v>12550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43542</v>
      </c>
      <c r="B37" s="33">
        <v>3478</v>
      </c>
      <c r="C37" s="30" t="s">
        <v>11</v>
      </c>
      <c r="D37" s="40">
        <v>12935.2</v>
      </c>
      <c r="E37" s="41">
        <v>43545</v>
      </c>
      <c r="F37" s="40">
        <v>12935.2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43543</v>
      </c>
      <c r="B38" s="33">
        <v>3479</v>
      </c>
      <c r="C38" s="30" t="s">
        <v>9</v>
      </c>
      <c r="D38" s="40">
        <v>6040</v>
      </c>
      <c r="E38" s="24">
        <v>43543</v>
      </c>
      <c r="F38" s="25">
        <v>6040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43544</v>
      </c>
      <c r="B39" s="33">
        <v>3480</v>
      </c>
      <c r="C39" s="36" t="s">
        <v>26</v>
      </c>
      <c r="D39" s="40">
        <v>0</v>
      </c>
      <c r="E39" s="24"/>
      <c r="F39" s="25"/>
      <c r="G39" s="32">
        <f t="shared" si="0"/>
        <v>0</v>
      </c>
      <c r="H39" s="2"/>
      <c r="K39" s="49"/>
      <c r="L39" s="50"/>
      <c r="M39" s="2"/>
      <c r="N39" s="51">
        <f>SUM(N4:N38)</f>
        <v>21664</v>
      </c>
      <c r="O39" s="52"/>
      <c r="P39" s="53">
        <f>SUM(P4:P38)</f>
        <v>0</v>
      </c>
      <c r="Q39" s="54">
        <f>SUM(Q4:Q38)</f>
        <v>21664</v>
      </c>
    </row>
    <row r="40" spans="1:17" ht="15.75" x14ac:dyDescent="0.25">
      <c r="A40" s="28">
        <v>43544</v>
      </c>
      <c r="B40" s="33">
        <v>3481</v>
      </c>
      <c r="C40" s="30" t="s">
        <v>13</v>
      </c>
      <c r="D40" s="40">
        <v>4174.8</v>
      </c>
      <c r="E40" s="24">
        <v>43547</v>
      </c>
      <c r="F40" s="25">
        <v>4174.8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43545</v>
      </c>
      <c r="B41" s="33">
        <v>3482</v>
      </c>
      <c r="C41" s="30" t="s">
        <v>8</v>
      </c>
      <c r="D41" s="40">
        <v>9266</v>
      </c>
      <c r="E41" s="24">
        <v>43546</v>
      </c>
      <c r="F41" s="25">
        <v>9266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43545</v>
      </c>
      <c r="B42" s="33">
        <v>3483</v>
      </c>
      <c r="C42" s="30" t="s">
        <v>12</v>
      </c>
      <c r="D42" s="40">
        <v>2864.4</v>
      </c>
      <c r="E42" s="24">
        <v>43548</v>
      </c>
      <c r="F42" s="25">
        <v>2864.4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43545</v>
      </c>
      <c r="B43" s="33">
        <v>3484</v>
      </c>
      <c r="C43" s="30" t="s">
        <v>13</v>
      </c>
      <c r="D43" s="40">
        <v>6178.8</v>
      </c>
      <c r="E43" s="24">
        <v>43546</v>
      </c>
      <c r="F43" s="25">
        <v>6178.8</v>
      </c>
      <c r="G43" s="32">
        <f t="shared" si="0"/>
        <v>0</v>
      </c>
      <c r="H43" s="2"/>
      <c r="K43" s="49"/>
      <c r="L43" s="50"/>
      <c r="M43" s="2"/>
      <c r="N43" s="126">
        <f>N39-P39</f>
        <v>21664</v>
      </c>
      <c r="O43" s="127"/>
      <c r="P43" s="128"/>
    </row>
    <row r="44" spans="1:17" ht="15.75" x14ac:dyDescent="0.25">
      <c r="A44" s="28">
        <v>43546</v>
      </c>
      <c r="B44" s="33">
        <v>3485</v>
      </c>
      <c r="C44" s="30" t="s">
        <v>11</v>
      </c>
      <c r="D44" s="40">
        <v>6216.7</v>
      </c>
      <c r="E44" s="24">
        <v>43546</v>
      </c>
      <c r="F44" s="25">
        <v>6216.7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43546</v>
      </c>
      <c r="B45" s="33">
        <v>3486</v>
      </c>
      <c r="C45" s="30" t="s">
        <v>13</v>
      </c>
      <c r="D45" s="40">
        <v>4195.2</v>
      </c>
      <c r="E45" s="24">
        <v>43547</v>
      </c>
      <c r="F45" s="25">
        <v>4195.2</v>
      </c>
      <c r="G45" s="32">
        <f t="shared" si="0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28">
        <v>43546</v>
      </c>
      <c r="B46" s="33">
        <v>3487</v>
      </c>
      <c r="C46" s="30" t="s">
        <v>10</v>
      </c>
      <c r="D46" s="40">
        <v>5946.9</v>
      </c>
      <c r="E46" s="24">
        <v>43547</v>
      </c>
      <c r="F46" s="25">
        <v>5946.9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43547</v>
      </c>
      <c r="B47" s="33">
        <v>3488</v>
      </c>
      <c r="C47" s="30" t="s">
        <v>7</v>
      </c>
      <c r="D47" s="40">
        <v>6090</v>
      </c>
      <c r="E47" s="24">
        <v>43547</v>
      </c>
      <c r="F47" s="25">
        <v>6090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43547</v>
      </c>
      <c r="B48" s="33">
        <v>3489</v>
      </c>
      <c r="C48" s="30" t="s">
        <v>9</v>
      </c>
      <c r="D48" s="40">
        <v>8211</v>
      </c>
      <c r="E48" s="24">
        <v>43553</v>
      </c>
      <c r="F48" s="25">
        <v>8211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43547</v>
      </c>
      <c r="B49" s="33">
        <v>3490</v>
      </c>
      <c r="C49" s="30" t="s">
        <v>11</v>
      </c>
      <c r="D49" s="40">
        <v>7544.7</v>
      </c>
      <c r="E49" s="24">
        <v>43548</v>
      </c>
      <c r="F49" s="25">
        <v>7544.7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43547</v>
      </c>
      <c r="B50" s="33">
        <v>3491</v>
      </c>
      <c r="C50" s="30" t="s">
        <v>8</v>
      </c>
      <c r="D50" s="40">
        <v>19069.8</v>
      </c>
      <c r="E50" s="24">
        <v>43547</v>
      </c>
      <c r="F50" s="25">
        <v>19069.8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43547</v>
      </c>
      <c r="B51" s="33">
        <v>3492</v>
      </c>
      <c r="C51" s="30" t="s">
        <v>10</v>
      </c>
      <c r="D51" s="40">
        <v>4586.47</v>
      </c>
      <c r="E51" s="24">
        <v>43548</v>
      </c>
      <c r="F51" s="25">
        <v>4586.47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43547</v>
      </c>
      <c r="B52" s="33">
        <v>3493</v>
      </c>
      <c r="C52" s="30" t="s">
        <v>13</v>
      </c>
      <c r="D52" s="40">
        <v>5203.2</v>
      </c>
      <c r="E52" s="24">
        <v>43548</v>
      </c>
      <c r="F52" s="25">
        <v>5203.2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43547</v>
      </c>
      <c r="B53" s="33">
        <v>3494</v>
      </c>
      <c r="C53" s="30" t="s">
        <v>12</v>
      </c>
      <c r="D53" s="97">
        <v>4755.8</v>
      </c>
      <c r="E53" s="67">
        <v>43565</v>
      </c>
      <c r="F53" s="68">
        <v>4755.8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43548</v>
      </c>
      <c r="B54" s="33">
        <v>3495</v>
      </c>
      <c r="C54" s="30" t="s">
        <v>7</v>
      </c>
      <c r="D54" s="40">
        <v>5913.6</v>
      </c>
      <c r="E54" s="24">
        <v>43548</v>
      </c>
      <c r="F54" s="25">
        <v>5913.6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43548</v>
      </c>
      <c r="B55" s="33">
        <v>3496</v>
      </c>
      <c r="C55" s="30" t="s">
        <v>8</v>
      </c>
      <c r="D55" s="40">
        <v>11398</v>
      </c>
      <c r="E55" s="24">
        <v>43548</v>
      </c>
      <c r="F55" s="25">
        <v>11398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43548</v>
      </c>
      <c r="B56" s="33">
        <v>3497</v>
      </c>
      <c r="C56" s="30" t="s">
        <v>12</v>
      </c>
      <c r="D56" s="40">
        <v>2569.6</v>
      </c>
      <c r="E56" s="24">
        <v>43551</v>
      </c>
      <c r="F56" s="25">
        <v>2569.6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43548</v>
      </c>
      <c r="B57" s="33">
        <v>3498</v>
      </c>
      <c r="C57" s="30" t="s">
        <v>10</v>
      </c>
      <c r="D57" s="40">
        <v>2915.4</v>
      </c>
      <c r="E57" s="24">
        <v>43549</v>
      </c>
      <c r="F57" s="25">
        <v>2915.4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43548</v>
      </c>
      <c r="B58" s="33">
        <v>3499</v>
      </c>
      <c r="C58" s="30" t="s">
        <v>13</v>
      </c>
      <c r="D58" s="40">
        <v>5213.8</v>
      </c>
      <c r="E58" s="24">
        <v>43551</v>
      </c>
      <c r="F58" s="25">
        <v>5213.8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28">
        <v>43549</v>
      </c>
      <c r="B59" s="33">
        <v>3500</v>
      </c>
      <c r="C59" s="30" t="s">
        <v>8</v>
      </c>
      <c r="D59" s="40">
        <v>37653</v>
      </c>
      <c r="E59" s="85" t="s">
        <v>38</v>
      </c>
      <c r="F59" s="25">
        <f>30000+7653</f>
        <v>37653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43549</v>
      </c>
      <c r="B60" s="87">
        <v>3501</v>
      </c>
      <c r="C60" s="88" t="s">
        <v>10</v>
      </c>
      <c r="D60" s="89">
        <v>3999</v>
      </c>
      <c r="E60" s="24">
        <v>43551</v>
      </c>
      <c r="F60" s="25">
        <v>3999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43549</v>
      </c>
      <c r="B61" s="33">
        <v>3502</v>
      </c>
      <c r="C61" s="30" t="s">
        <v>13</v>
      </c>
      <c r="D61" s="40">
        <v>5367.8</v>
      </c>
      <c r="E61" s="24">
        <v>43550</v>
      </c>
      <c r="F61" s="25">
        <v>5367.8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43549</v>
      </c>
      <c r="B62" s="87">
        <v>3503</v>
      </c>
      <c r="C62" s="88" t="s">
        <v>11</v>
      </c>
      <c r="D62" s="89">
        <v>4764.3999999999996</v>
      </c>
      <c r="E62" s="24">
        <v>43551</v>
      </c>
      <c r="F62" s="25">
        <v>4764.3999999999996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43550</v>
      </c>
      <c r="B63" s="33">
        <v>3504</v>
      </c>
      <c r="C63" s="30" t="s">
        <v>13</v>
      </c>
      <c r="D63" s="40">
        <v>3033.6</v>
      </c>
      <c r="E63" s="24">
        <v>43551</v>
      </c>
      <c r="F63" s="25">
        <v>3033.6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43551</v>
      </c>
      <c r="B64" s="33">
        <v>3505</v>
      </c>
      <c r="C64" s="30" t="s">
        <v>11</v>
      </c>
      <c r="D64" s="40">
        <v>6828.8</v>
      </c>
      <c r="E64" s="24">
        <v>43553</v>
      </c>
      <c r="F64" s="25">
        <v>6828.8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43553</v>
      </c>
      <c r="B65" s="33">
        <v>3506</v>
      </c>
      <c r="C65" s="30" t="s">
        <v>11</v>
      </c>
      <c r="D65" s="40">
        <v>4406.26</v>
      </c>
      <c r="E65" s="24">
        <v>43553</v>
      </c>
      <c r="F65" s="25">
        <v>4406.26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43553</v>
      </c>
      <c r="B66" s="33">
        <v>3507</v>
      </c>
      <c r="C66" s="30" t="s">
        <v>10</v>
      </c>
      <c r="D66" s="40">
        <v>6822.2</v>
      </c>
      <c r="E66" s="24">
        <v>43554</v>
      </c>
      <c r="F66" s="25">
        <v>6822.2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43553</v>
      </c>
      <c r="B67" s="33">
        <v>3508</v>
      </c>
      <c r="C67" s="30" t="s">
        <v>13</v>
      </c>
      <c r="D67" s="40">
        <v>5736.6</v>
      </c>
      <c r="E67" s="24">
        <v>43554</v>
      </c>
      <c r="F67" s="25">
        <v>5736.6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43554</v>
      </c>
      <c r="B68" s="33">
        <v>3509</v>
      </c>
      <c r="C68" s="30" t="s">
        <v>7</v>
      </c>
      <c r="D68" s="40">
        <v>6380</v>
      </c>
      <c r="E68" s="24">
        <v>43554</v>
      </c>
      <c r="F68" s="25">
        <v>6380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43554</v>
      </c>
      <c r="B69" s="33">
        <v>3510</v>
      </c>
      <c r="C69" s="30" t="s">
        <v>8</v>
      </c>
      <c r="D69" s="40">
        <v>9592</v>
      </c>
      <c r="E69" s="24">
        <v>43554</v>
      </c>
      <c r="F69" s="25">
        <v>9592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43554</v>
      </c>
      <c r="B70" s="33">
        <v>3511</v>
      </c>
      <c r="C70" s="30" t="s">
        <v>8</v>
      </c>
      <c r="D70" s="40">
        <v>10228.299999999999</v>
      </c>
      <c r="E70" s="24">
        <v>43555</v>
      </c>
      <c r="F70" s="25">
        <v>10228.299999999999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43554</v>
      </c>
      <c r="B71" s="33">
        <v>3512</v>
      </c>
      <c r="C71" s="30" t="s">
        <v>10</v>
      </c>
      <c r="D71" s="40">
        <v>6859.6</v>
      </c>
      <c r="E71" s="24">
        <v>43555</v>
      </c>
      <c r="F71" s="25">
        <v>6859.6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43555</v>
      </c>
      <c r="B72" s="33">
        <v>3513</v>
      </c>
      <c r="C72" s="30" t="s">
        <v>7</v>
      </c>
      <c r="D72" s="40">
        <v>5060</v>
      </c>
      <c r="E72" s="24">
        <v>43555</v>
      </c>
      <c r="F72" s="25">
        <v>5060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43555</v>
      </c>
      <c r="B73" s="33">
        <v>3514</v>
      </c>
      <c r="C73" s="30" t="s">
        <v>9</v>
      </c>
      <c r="D73" s="40">
        <v>1941</v>
      </c>
      <c r="E73" s="24">
        <v>43557</v>
      </c>
      <c r="F73" s="25">
        <v>1941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43555</v>
      </c>
      <c r="B74" s="33">
        <v>3515</v>
      </c>
      <c r="C74" s="30" t="s">
        <v>10</v>
      </c>
      <c r="D74" s="40">
        <v>6621.6</v>
      </c>
      <c r="E74" s="24">
        <v>43556</v>
      </c>
      <c r="F74" s="25">
        <v>6621.6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43555</v>
      </c>
      <c r="B75" s="33">
        <v>3516</v>
      </c>
      <c r="C75" s="30" t="s">
        <v>13</v>
      </c>
      <c r="D75" s="40">
        <v>3292.8</v>
      </c>
      <c r="E75" s="24">
        <v>43556</v>
      </c>
      <c r="F75" s="25">
        <v>3292.8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43556</v>
      </c>
      <c r="B76" s="33">
        <v>3517</v>
      </c>
      <c r="C76" s="30" t="s">
        <v>10</v>
      </c>
      <c r="D76" s="40">
        <v>5200.8</v>
      </c>
      <c r="E76" s="24">
        <v>43558</v>
      </c>
      <c r="F76" s="25">
        <v>5200.8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43556</v>
      </c>
      <c r="B77" s="33">
        <v>3518</v>
      </c>
      <c r="C77" s="30" t="s">
        <v>13</v>
      </c>
      <c r="D77" s="40">
        <v>2553.6</v>
      </c>
      <c r="E77" s="24">
        <v>43557</v>
      </c>
      <c r="F77" s="25">
        <v>2553.6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43557</v>
      </c>
      <c r="B78" s="33">
        <v>3519</v>
      </c>
      <c r="C78" s="30" t="s">
        <v>8</v>
      </c>
      <c r="D78" s="40">
        <v>8518.4</v>
      </c>
      <c r="E78" s="24">
        <v>43557</v>
      </c>
      <c r="F78" s="25">
        <v>8518.4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43557</v>
      </c>
      <c r="B79" s="33">
        <v>3520</v>
      </c>
      <c r="C79" s="30" t="s">
        <v>9</v>
      </c>
      <c r="D79" s="40">
        <v>4400</v>
      </c>
      <c r="E79" s="24">
        <v>43557</v>
      </c>
      <c r="F79" s="25">
        <v>4400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43557</v>
      </c>
      <c r="B80" s="33">
        <v>3521</v>
      </c>
      <c r="C80" s="30" t="s">
        <v>10</v>
      </c>
      <c r="D80" s="40">
        <v>4963.2</v>
      </c>
      <c r="E80" s="24">
        <v>43558</v>
      </c>
      <c r="F80" s="25">
        <v>4963.2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43557</v>
      </c>
      <c r="B81" s="33">
        <v>3522</v>
      </c>
      <c r="C81" s="30" t="s">
        <v>13</v>
      </c>
      <c r="D81" s="40">
        <v>2556</v>
      </c>
      <c r="E81" s="24">
        <v>43558</v>
      </c>
      <c r="F81" s="25">
        <v>2556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43558</v>
      </c>
      <c r="B82" s="33">
        <v>3523</v>
      </c>
      <c r="C82" s="30" t="s">
        <v>12</v>
      </c>
      <c r="D82" s="40">
        <v>1999.8</v>
      </c>
      <c r="E82" s="24">
        <v>43558</v>
      </c>
      <c r="F82" s="25">
        <v>1999.8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43558</v>
      </c>
      <c r="B83" s="33">
        <v>3524</v>
      </c>
      <c r="C83" s="30" t="s">
        <v>12</v>
      </c>
      <c r="D83" s="97">
        <v>5514.4</v>
      </c>
      <c r="E83" s="91">
        <v>43580</v>
      </c>
      <c r="F83" s="92">
        <v>5514.4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39" x14ac:dyDescent="0.25">
      <c r="A84" s="28">
        <v>43558</v>
      </c>
      <c r="B84" s="33">
        <v>3525</v>
      </c>
      <c r="C84" s="88" t="s">
        <v>11</v>
      </c>
      <c r="D84" s="97">
        <v>13803</v>
      </c>
      <c r="E84" s="94" t="s">
        <v>42</v>
      </c>
      <c r="F84" s="92">
        <f>10066+3000+737</f>
        <v>13803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43558</v>
      </c>
      <c r="B85" s="33">
        <v>3526</v>
      </c>
      <c r="C85" s="30" t="s">
        <v>11</v>
      </c>
      <c r="D85" s="97">
        <v>3433.98</v>
      </c>
      <c r="E85" s="91">
        <v>43561</v>
      </c>
      <c r="F85" s="92">
        <v>3433.98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/>
      <c r="B86" s="33"/>
      <c r="C86" s="30"/>
      <c r="D86" s="40"/>
      <c r="E86" s="24"/>
      <c r="F86" s="25"/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/>
      <c r="B87" s="33"/>
      <c r="C87" s="30"/>
      <c r="D87" s="40"/>
      <c r="E87" s="24"/>
      <c r="F87" s="25"/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/>
      <c r="B88" s="33"/>
      <c r="C88" s="30"/>
      <c r="D88" s="40"/>
      <c r="E88" s="24"/>
      <c r="F88" s="25"/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/>
      <c r="B89" s="33"/>
      <c r="C89" s="30"/>
      <c r="D89" s="40"/>
      <c r="E89" s="24"/>
      <c r="F89" s="25"/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/>
      <c r="B90" s="33"/>
      <c r="C90" s="30"/>
      <c r="D90" s="40"/>
      <c r="E90" s="83"/>
      <c r="F90" s="84"/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/>
      <c r="B91" s="33"/>
      <c r="C91" s="30"/>
      <c r="D91" s="40"/>
      <c r="E91" s="83"/>
      <c r="F91" s="84"/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/>
      <c r="B92" s="33"/>
      <c r="C92" s="30"/>
      <c r="D92" s="40"/>
      <c r="E92" s="83"/>
      <c r="F92" s="84"/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thickBot="1" x14ac:dyDescent="0.3">
      <c r="A93" s="43"/>
      <c r="B93" s="44"/>
      <c r="C93" s="45"/>
      <c r="D93" s="46"/>
      <c r="E93" s="47"/>
      <c r="F93" s="46"/>
      <c r="G93" s="32">
        <f t="shared" si="0"/>
        <v>0</v>
      </c>
      <c r="H93" s="2"/>
    </row>
    <row r="94" spans="1:17" ht="16.5" thickTop="1" x14ac:dyDescent="0.25">
      <c r="A94" s="49"/>
      <c r="B94" s="50"/>
      <c r="C94" s="2"/>
      <c r="D94" s="51">
        <f>SUM(D4:D93)</f>
        <v>662687.2300000001</v>
      </c>
      <c r="E94" s="52"/>
      <c r="F94" s="51">
        <f>SUM(F4:F93)</f>
        <v>662687.2300000001</v>
      </c>
      <c r="G94" s="55"/>
      <c r="H94" s="2"/>
    </row>
    <row r="95" spans="1:17" x14ac:dyDescent="0.25">
      <c r="A95" s="49"/>
      <c r="B95" s="50"/>
      <c r="C95" s="2"/>
      <c r="D95" s="53"/>
      <c r="E95" s="52"/>
      <c r="F95" s="53"/>
      <c r="G95" s="55"/>
      <c r="H95" s="2"/>
    </row>
    <row r="96" spans="1:17" ht="30" x14ac:dyDescent="0.25">
      <c r="A96" s="49"/>
      <c r="B96" s="50"/>
      <c r="C96" s="2"/>
      <c r="D96" s="56" t="s">
        <v>15</v>
      </c>
      <c r="E96" s="52"/>
      <c r="F96" s="57" t="s">
        <v>16</v>
      </c>
      <c r="G96" s="55"/>
      <c r="H96" s="2"/>
    </row>
    <row r="97" spans="1:16" ht="15.75" thickBot="1" x14ac:dyDescent="0.3">
      <c r="A97" s="49"/>
      <c r="B97" s="50"/>
      <c r="C97" s="2"/>
      <c r="D97" s="56"/>
      <c r="E97" s="52"/>
      <c r="F97" s="57"/>
      <c r="G97" s="55"/>
      <c r="H97" s="2"/>
    </row>
    <row r="98" spans="1:16" ht="21.75" thickBot="1" x14ac:dyDescent="0.4">
      <c r="A98" s="49"/>
      <c r="B98" s="50"/>
      <c r="C98" s="2"/>
      <c r="D98" s="126">
        <f>D94-F94</f>
        <v>0</v>
      </c>
      <c r="E98" s="127"/>
      <c r="F98" s="128"/>
      <c r="H98" s="2"/>
    </row>
    <row r="99" spans="1:16" x14ac:dyDescent="0.25">
      <c r="A99" s="49"/>
      <c r="B99" s="50"/>
      <c r="C99" s="2"/>
      <c r="D99" s="53"/>
      <c r="E99" s="52"/>
      <c r="F99" s="53"/>
      <c r="H99" s="2"/>
      <c r="K99" s="49"/>
      <c r="L99" s="50"/>
      <c r="M99" s="2"/>
      <c r="N99" s="53"/>
      <c r="O99" s="52"/>
      <c r="P99" s="53"/>
    </row>
    <row r="100" spans="1:16" ht="18.75" x14ac:dyDescent="0.3">
      <c r="A100" s="49"/>
      <c r="B100" s="50"/>
      <c r="C100" s="2"/>
      <c r="D100" s="129" t="s">
        <v>17</v>
      </c>
      <c r="E100" s="129"/>
      <c r="F100" s="129"/>
      <c r="H100" s="2"/>
      <c r="K100" s="49"/>
      <c r="L100" s="50"/>
      <c r="M100" s="2"/>
    </row>
    <row r="101" spans="1:16" x14ac:dyDescent="0.25">
      <c r="A101" s="49"/>
      <c r="B101" s="50"/>
      <c r="C101" s="2"/>
      <c r="D101" s="53"/>
      <c r="E101" s="52"/>
      <c r="F101" s="53"/>
      <c r="H101" s="2"/>
      <c r="K101" s="49"/>
      <c r="L101" s="50"/>
      <c r="M101" s="2"/>
      <c r="N101" s="53"/>
      <c r="O101" s="52"/>
      <c r="P101" s="53"/>
    </row>
    <row r="102" spans="1:16" x14ac:dyDescent="0.25">
      <c r="A102" s="49"/>
      <c r="B102" s="50"/>
      <c r="C102" s="2"/>
      <c r="D102" s="53"/>
      <c r="E102" s="52"/>
      <c r="F102" s="53"/>
      <c r="H102" s="2"/>
      <c r="K102" s="49"/>
      <c r="L102" s="50"/>
      <c r="M102" s="2"/>
      <c r="N102" s="53"/>
      <c r="O102" s="52"/>
      <c r="P102" s="53"/>
    </row>
    <row r="103" spans="1:16" x14ac:dyDescent="0.25">
      <c r="A103" s="49"/>
      <c r="B103" s="50"/>
      <c r="C103" s="2"/>
      <c r="D103" s="53"/>
      <c r="E103" s="52"/>
      <c r="F103" s="53"/>
      <c r="H103" s="2"/>
      <c r="K103" s="49"/>
      <c r="L103" s="50"/>
      <c r="M103" s="2"/>
      <c r="N103" s="53"/>
      <c r="O103" s="52"/>
      <c r="P103" s="53"/>
    </row>
    <row r="104" spans="1:16" x14ac:dyDescent="0.25">
      <c r="A104" s="49"/>
      <c r="B104" s="50"/>
      <c r="C104" s="2"/>
      <c r="D104" s="53"/>
      <c r="E104" s="52"/>
      <c r="F104" s="53"/>
      <c r="H104" s="2"/>
      <c r="K104" s="49"/>
      <c r="L104" s="50"/>
      <c r="M104" s="2"/>
      <c r="N104" s="53"/>
      <c r="O104" s="52"/>
      <c r="P104" s="53"/>
    </row>
    <row r="105" spans="1:16" x14ac:dyDescent="0.25">
      <c r="A105" s="49"/>
      <c r="B105" s="50"/>
      <c r="C105" s="2"/>
      <c r="D105" s="53"/>
      <c r="E105" s="52"/>
      <c r="F105" s="53"/>
      <c r="H105" s="2"/>
      <c r="K105" s="49"/>
      <c r="L105" s="50"/>
      <c r="M105" s="2"/>
      <c r="N105" s="53"/>
      <c r="O105" s="52"/>
      <c r="P105" s="53"/>
    </row>
    <row r="106" spans="1:16" x14ac:dyDescent="0.25">
      <c r="A106" s="49"/>
      <c r="B106" s="50"/>
      <c r="C106" s="2"/>
      <c r="D106" s="53"/>
      <c r="E106" s="52"/>
      <c r="F106" s="53"/>
      <c r="H106" s="2"/>
      <c r="K106" s="49"/>
      <c r="L106" s="50"/>
      <c r="M106" s="2"/>
      <c r="N106" s="53"/>
      <c r="O106" s="52"/>
      <c r="P106" s="53"/>
    </row>
    <row r="107" spans="1:16" x14ac:dyDescent="0.25">
      <c r="A107" s="49"/>
      <c r="B107" s="50"/>
      <c r="C107" s="2"/>
      <c r="D107" s="53"/>
      <c r="E107" s="52"/>
      <c r="F107" s="53"/>
      <c r="H107" s="2"/>
      <c r="K107" s="49"/>
      <c r="L107" s="50"/>
      <c r="M107" s="2"/>
      <c r="N107" s="53"/>
      <c r="O107" s="52"/>
      <c r="P107" s="53"/>
    </row>
    <row r="108" spans="1:16" x14ac:dyDescent="0.25">
      <c r="A108" s="49"/>
      <c r="B108" s="50"/>
      <c r="C108" s="2"/>
      <c r="D108" s="53"/>
      <c r="E108" s="52"/>
      <c r="F108" s="53"/>
      <c r="H108" s="2"/>
      <c r="K108" s="49"/>
      <c r="L108" s="50"/>
      <c r="M108" s="2"/>
      <c r="N108" s="53"/>
      <c r="O108" s="52"/>
      <c r="P108" s="53"/>
    </row>
    <row r="109" spans="1:16" x14ac:dyDescent="0.25">
      <c r="A109" s="49"/>
      <c r="B109" s="50"/>
      <c r="C109" s="2"/>
      <c r="D109" s="53"/>
      <c r="E109" s="52"/>
      <c r="F109" s="53"/>
      <c r="H109" s="2"/>
      <c r="K109" s="49"/>
      <c r="L109" s="50"/>
      <c r="M109" s="2"/>
      <c r="N109" s="53"/>
      <c r="O109" s="52"/>
      <c r="P109" s="53"/>
    </row>
    <row r="110" spans="1:16" x14ac:dyDescent="0.25">
      <c r="A110" s="49"/>
      <c r="B110" s="50"/>
      <c r="C110" s="2"/>
      <c r="D110" s="53"/>
      <c r="E110" s="52"/>
      <c r="F110" s="53"/>
      <c r="H110" s="2"/>
      <c r="K110" s="49"/>
      <c r="L110" s="50"/>
      <c r="M110" s="2"/>
      <c r="N110" s="53"/>
      <c r="O110" s="52"/>
      <c r="P110" s="53"/>
    </row>
    <row r="111" spans="1:16" x14ac:dyDescent="0.25">
      <c r="A111" s="49"/>
      <c r="B111" s="50"/>
      <c r="C111" s="2"/>
      <c r="D111" s="53"/>
      <c r="E111" s="52"/>
      <c r="F111" s="53"/>
      <c r="H111" s="2"/>
      <c r="K111" s="49"/>
      <c r="L111" s="50"/>
      <c r="M111" s="2"/>
      <c r="N111" s="53"/>
      <c r="O111" s="52"/>
      <c r="P111" s="53"/>
    </row>
  </sheetData>
  <mergeCells count="8">
    <mergeCell ref="D98:F98"/>
    <mergeCell ref="D100:F100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Q143"/>
  <sheetViews>
    <sheetView workbookViewId="0">
      <selection activeCell="C70" sqref="C70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65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39</v>
      </c>
      <c r="C1" s="130"/>
      <c r="D1" s="130"/>
      <c r="E1" s="130"/>
      <c r="F1" s="130"/>
      <c r="H1" s="2"/>
      <c r="K1" s="3"/>
      <c r="L1" s="131" t="s">
        <v>40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7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20">
        <v>43560</v>
      </c>
      <c r="B4" s="27">
        <v>3527</v>
      </c>
      <c r="C4" s="22" t="s">
        <v>8</v>
      </c>
      <c r="D4" s="23">
        <v>9984.6</v>
      </c>
      <c r="E4" s="24">
        <v>43560</v>
      </c>
      <c r="F4" s="25">
        <v>9984.6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28">
        <v>43560</v>
      </c>
      <c r="B5" s="33">
        <v>3528</v>
      </c>
      <c r="C5" s="30" t="s">
        <v>10</v>
      </c>
      <c r="D5" s="31">
        <v>4512.2</v>
      </c>
      <c r="E5" s="85">
        <v>43560</v>
      </c>
      <c r="F5" s="25">
        <v>4512.2</v>
      </c>
      <c r="G5" s="32">
        <f>D5-F5</f>
        <v>0</v>
      </c>
      <c r="H5" s="2"/>
      <c r="K5" s="28">
        <v>43564</v>
      </c>
      <c r="L5" s="33">
        <v>203</v>
      </c>
      <c r="M5" s="34" t="s">
        <v>25</v>
      </c>
      <c r="N5" s="31">
        <v>4084</v>
      </c>
      <c r="O5" s="24"/>
      <c r="P5" s="25"/>
      <c r="Q5" s="32">
        <f>N5-P5</f>
        <v>4084</v>
      </c>
    </row>
    <row r="6" spans="1:17" ht="15.75" x14ac:dyDescent="0.25">
      <c r="A6" s="28">
        <v>43560</v>
      </c>
      <c r="B6" s="33">
        <v>3529</v>
      </c>
      <c r="C6" s="34" t="s">
        <v>13</v>
      </c>
      <c r="D6" s="31">
        <v>3405.6</v>
      </c>
      <c r="E6" s="24">
        <v>43560</v>
      </c>
      <c r="F6" s="25">
        <v>3405.6</v>
      </c>
      <c r="G6" s="32">
        <f>D6-F6</f>
        <v>0</v>
      </c>
      <c r="H6" s="2"/>
      <c r="K6" s="28">
        <v>43568</v>
      </c>
      <c r="L6" s="33">
        <v>204</v>
      </c>
      <c r="M6" s="34" t="s">
        <v>25</v>
      </c>
      <c r="N6" s="31">
        <v>3779.2</v>
      </c>
      <c r="O6" s="24"/>
      <c r="P6" s="25"/>
      <c r="Q6" s="32">
        <f>N6-P6</f>
        <v>3779.2</v>
      </c>
    </row>
    <row r="7" spans="1:17" ht="15.75" x14ac:dyDescent="0.25">
      <c r="A7" s="28">
        <v>43560</v>
      </c>
      <c r="B7" s="33">
        <v>3530</v>
      </c>
      <c r="C7" s="36" t="s">
        <v>26</v>
      </c>
      <c r="D7" s="31">
        <v>0</v>
      </c>
      <c r="E7" s="24"/>
      <c r="F7" s="25"/>
      <c r="G7" s="32">
        <f t="shared" ref="G7:G125" si="0">D7-F7</f>
        <v>0</v>
      </c>
      <c r="H7" s="2"/>
      <c r="K7" s="28">
        <v>43570</v>
      </c>
      <c r="L7" s="33">
        <v>205</v>
      </c>
      <c r="M7" s="30" t="s">
        <v>25</v>
      </c>
      <c r="N7" s="31">
        <v>105</v>
      </c>
      <c r="O7" s="24"/>
      <c r="P7" s="25"/>
      <c r="Q7" s="32">
        <f t="shared" ref="Q7:Q22" si="1">N7-P7</f>
        <v>105</v>
      </c>
    </row>
    <row r="8" spans="1:17" ht="15.75" x14ac:dyDescent="0.25">
      <c r="A8" s="28">
        <v>43560</v>
      </c>
      <c r="B8" s="33">
        <v>3531</v>
      </c>
      <c r="C8" s="30" t="s">
        <v>14</v>
      </c>
      <c r="D8" s="31">
        <v>2257.5</v>
      </c>
      <c r="E8" s="24">
        <v>43560</v>
      </c>
      <c r="F8" s="25">
        <v>2257.5</v>
      </c>
      <c r="G8" s="32">
        <f t="shared" si="0"/>
        <v>0</v>
      </c>
      <c r="H8" s="2"/>
      <c r="K8" s="28">
        <v>43571</v>
      </c>
      <c r="L8" s="33">
        <v>206</v>
      </c>
      <c r="M8" s="30" t="s">
        <v>25</v>
      </c>
      <c r="N8" s="31">
        <v>2648.4</v>
      </c>
      <c r="O8" s="24"/>
      <c r="P8" s="25"/>
      <c r="Q8" s="32">
        <f t="shared" si="1"/>
        <v>2648.4</v>
      </c>
    </row>
    <row r="9" spans="1:17" ht="15.75" x14ac:dyDescent="0.25">
      <c r="A9" s="28">
        <v>43561</v>
      </c>
      <c r="B9" s="33">
        <v>3532</v>
      </c>
      <c r="C9" s="30" t="s">
        <v>7</v>
      </c>
      <c r="D9" s="31">
        <v>8367.7999999999993</v>
      </c>
      <c r="E9" s="24">
        <v>43561</v>
      </c>
      <c r="F9" s="25">
        <v>8367.7999999999993</v>
      </c>
      <c r="G9" s="32">
        <f t="shared" si="0"/>
        <v>0</v>
      </c>
      <c r="H9" s="2"/>
      <c r="K9" s="28">
        <v>43575</v>
      </c>
      <c r="L9" s="33">
        <v>207</v>
      </c>
      <c r="M9" s="30" t="s">
        <v>25</v>
      </c>
      <c r="N9" s="31">
        <v>2029</v>
      </c>
      <c r="O9" s="24"/>
      <c r="P9" s="25"/>
      <c r="Q9" s="32">
        <f t="shared" si="1"/>
        <v>2029</v>
      </c>
    </row>
    <row r="10" spans="1:17" ht="15.75" x14ac:dyDescent="0.25">
      <c r="A10" s="28">
        <v>43561</v>
      </c>
      <c r="B10" s="33">
        <v>3533</v>
      </c>
      <c r="C10" s="30" t="s">
        <v>9</v>
      </c>
      <c r="D10" s="31">
        <v>20512</v>
      </c>
      <c r="E10" s="24">
        <v>43569</v>
      </c>
      <c r="F10" s="25">
        <v>20512</v>
      </c>
      <c r="G10" s="32">
        <f t="shared" si="0"/>
        <v>0</v>
      </c>
      <c r="H10" s="2"/>
      <c r="K10" s="28">
        <v>43578</v>
      </c>
      <c r="L10" s="33">
        <v>208</v>
      </c>
      <c r="M10" s="34" t="s">
        <v>25</v>
      </c>
      <c r="N10" s="31">
        <v>2911</v>
      </c>
      <c r="O10" s="24"/>
      <c r="P10" s="25"/>
      <c r="Q10" s="32">
        <f t="shared" si="1"/>
        <v>2911</v>
      </c>
    </row>
    <row r="11" spans="1:17" ht="15.75" x14ac:dyDescent="0.25">
      <c r="A11" s="28">
        <v>43561</v>
      </c>
      <c r="B11" s="33">
        <v>3534</v>
      </c>
      <c r="C11" s="30" t="s">
        <v>13</v>
      </c>
      <c r="D11" s="31">
        <v>5510.4</v>
      </c>
      <c r="E11" s="24">
        <v>43561</v>
      </c>
      <c r="F11" s="25">
        <v>5510.4</v>
      </c>
      <c r="G11" s="32">
        <f t="shared" si="0"/>
        <v>0</v>
      </c>
      <c r="H11" s="2"/>
      <c r="K11" s="28">
        <v>43581</v>
      </c>
      <c r="L11" s="33">
        <v>209</v>
      </c>
      <c r="M11" s="34" t="s">
        <v>25</v>
      </c>
      <c r="N11" s="31">
        <v>2300</v>
      </c>
      <c r="O11" s="24"/>
      <c r="P11" s="25"/>
      <c r="Q11" s="32">
        <f t="shared" si="1"/>
        <v>2300</v>
      </c>
    </row>
    <row r="12" spans="1:17" ht="15.75" x14ac:dyDescent="0.25">
      <c r="A12" s="28">
        <v>43561</v>
      </c>
      <c r="B12" s="33">
        <v>3535</v>
      </c>
      <c r="C12" s="30" t="s">
        <v>10</v>
      </c>
      <c r="D12" s="31">
        <v>8430.4</v>
      </c>
      <c r="E12" s="24">
        <v>43561</v>
      </c>
      <c r="F12" s="25">
        <v>8430.4</v>
      </c>
      <c r="G12" s="32">
        <f t="shared" si="0"/>
        <v>0</v>
      </c>
      <c r="H12" s="2"/>
      <c r="K12" s="28">
        <v>43583</v>
      </c>
      <c r="L12" s="33">
        <v>210</v>
      </c>
      <c r="M12" s="34" t="s">
        <v>25</v>
      </c>
      <c r="N12" s="31">
        <v>3331</v>
      </c>
      <c r="O12" s="24"/>
      <c r="P12" s="25"/>
      <c r="Q12" s="32">
        <f t="shared" si="1"/>
        <v>3331</v>
      </c>
    </row>
    <row r="13" spans="1:17" ht="15.75" x14ac:dyDescent="0.25">
      <c r="A13" s="28">
        <v>43562</v>
      </c>
      <c r="B13" s="33">
        <v>3536</v>
      </c>
      <c r="C13" s="30" t="s">
        <v>7</v>
      </c>
      <c r="D13" s="31">
        <v>4936.3999999999996</v>
      </c>
      <c r="E13" s="24">
        <v>43562</v>
      </c>
      <c r="F13" s="25">
        <v>4936.3999999999996</v>
      </c>
      <c r="G13" s="32">
        <f t="shared" si="0"/>
        <v>0</v>
      </c>
      <c r="H13" s="2"/>
      <c r="K13" s="28">
        <v>43587</v>
      </c>
      <c r="L13" s="33">
        <v>211</v>
      </c>
      <c r="M13" s="30" t="s">
        <v>25</v>
      </c>
      <c r="N13" s="31">
        <v>5894</v>
      </c>
      <c r="O13" s="24"/>
      <c r="P13" s="25"/>
      <c r="Q13" s="32">
        <f t="shared" si="1"/>
        <v>5894</v>
      </c>
    </row>
    <row r="14" spans="1:17" ht="15.75" x14ac:dyDescent="0.25">
      <c r="A14" s="28">
        <v>43562</v>
      </c>
      <c r="B14" s="33">
        <v>3537</v>
      </c>
      <c r="C14" s="30" t="s">
        <v>10</v>
      </c>
      <c r="D14" s="31">
        <v>5600.75</v>
      </c>
      <c r="E14" s="24">
        <v>43562</v>
      </c>
      <c r="F14" s="25">
        <v>5600.75</v>
      </c>
      <c r="G14" s="32">
        <f t="shared" si="0"/>
        <v>0</v>
      </c>
      <c r="H14" s="2"/>
      <c r="K14" s="28">
        <v>43590</v>
      </c>
      <c r="L14" s="33">
        <v>212</v>
      </c>
      <c r="M14" s="34" t="s">
        <v>25</v>
      </c>
      <c r="N14" s="31">
        <v>3980.8</v>
      </c>
      <c r="O14" s="24"/>
      <c r="P14" s="25"/>
      <c r="Q14" s="32">
        <f t="shared" si="1"/>
        <v>3980.8</v>
      </c>
    </row>
    <row r="15" spans="1:17" ht="15.75" x14ac:dyDescent="0.25">
      <c r="A15" s="28">
        <v>43562</v>
      </c>
      <c r="B15" s="33">
        <v>3538</v>
      </c>
      <c r="C15" s="34" t="s">
        <v>13</v>
      </c>
      <c r="D15" s="31">
        <v>3683.4</v>
      </c>
      <c r="E15" s="24">
        <v>43562</v>
      </c>
      <c r="F15" s="25">
        <v>3683.4</v>
      </c>
      <c r="G15" s="32">
        <f t="shared" si="0"/>
        <v>0</v>
      </c>
      <c r="H15" s="2"/>
      <c r="K15" s="28">
        <v>43593</v>
      </c>
      <c r="L15" s="33">
        <v>213</v>
      </c>
      <c r="M15" s="30" t="s">
        <v>25</v>
      </c>
      <c r="N15" s="31">
        <v>3549</v>
      </c>
      <c r="O15" s="24"/>
      <c r="P15" s="25"/>
      <c r="Q15" s="32">
        <f t="shared" si="1"/>
        <v>3549</v>
      </c>
    </row>
    <row r="16" spans="1:17" ht="15.75" x14ac:dyDescent="0.25">
      <c r="A16" s="28">
        <v>43562</v>
      </c>
      <c r="B16" s="33">
        <v>3539</v>
      </c>
      <c r="C16" s="30" t="s">
        <v>29</v>
      </c>
      <c r="D16" s="31">
        <v>5767.2</v>
      </c>
      <c r="E16" s="24">
        <v>43562</v>
      </c>
      <c r="F16" s="25">
        <v>5767.2</v>
      </c>
      <c r="G16" s="32">
        <f t="shared" si="0"/>
        <v>0</v>
      </c>
      <c r="H16" s="2"/>
      <c r="K16" s="28">
        <v>43593</v>
      </c>
      <c r="L16" s="33">
        <v>214</v>
      </c>
      <c r="M16" s="30" t="s">
        <v>25</v>
      </c>
      <c r="N16" s="31">
        <v>2552</v>
      </c>
      <c r="O16" s="24"/>
      <c r="P16" s="25"/>
      <c r="Q16" s="32">
        <f t="shared" si="1"/>
        <v>2552</v>
      </c>
    </row>
    <row r="17" spans="1:17" ht="15.75" x14ac:dyDescent="0.25">
      <c r="A17" s="28">
        <v>43562</v>
      </c>
      <c r="B17" s="33">
        <v>3540</v>
      </c>
      <c r="C17" s="34" t="s">
        <v>9</v>
      </c>
      <c r="D17" s="31">
        <v>16330</v>
      </c>
      <c r="E17" s="24" t="s">
        <v>41</v>
      </c>
      <c r="F17" s="25">
        <f>10000+6330</f>
        <v>16330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1"/>
        <v>0</v>
      </c>
    </row>
    <row r="18" spans="1:17" ht="15.75" x14ac:dyDescent="0.25">
      <c r="A18" s="28">
        <v>43563</v>
      </c>
      <c r="B18" s="33">
        <v>3541</v>
      </c>
      <c r="C18" s="34" t="s">
        <v>32</v>
      </c>
      <c r="D18" s="31">
        <v>12953.2</v>
      </c>
      <c r="E18" s="24">
        <v>43563</v>
      </c>
      <c r="F18" s="25">
        <v>12953.2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1"/>
        <v>0</v>
      </c>
    </row>
    <row r="19" spans="1:17" ht="30" x14ac:dyDescent="0.25">
      <c r="A19" s="28">
        <v>43563</v>
      </c>
      <c r="B19" s="33">
        <v>3542</v>
      </c>
      <c r="C19" s="30" t="s">
        <v>11</v>
      </c>
      <c r="D19" s="31">
        <v>7339</v>
      </c>
      <c r="E19" s="85" t="s">
        <v>43</v>
      </c>
      <c r="F19" s="96">
        <f>5000+2339</f>
        <v>7339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1"/>
        <v>0</v>
      </c>
    </row>
    <row r="20" spans="1:17" ht="15.75" x14ac:dyDescent="0.25">
      <c r="A20" s="28">
        <v>43563</v>
      </c>
      <c r="B20" s="33">
        <v>3543</v>
      </c>
      <c r="C20" s="30" t="s">
        <v>13</v>
      </c>
      <c r="D20" s="31">
        <v>5386.8</v>
      </c>
      <c r="E20" s="24">
        <v>43563</v>
      </c>
      <c r="F20" s="25">
        <v>5386.8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1"/>
        <v>0</v>
      </c>
    </row>
    <row r="21" spans="1:17" ht="15.75" x14ac:dyDescent="0.25">
      <c r="A21" s="28">
        <v>43563</v>
      </c>
      <c r="B21" s="33">
        <v>3544</v>
      </c>
      <c r="C21" s="30" t="s">
        <v>10</v>
      </c>
      <c r="D21" s="31">
        <v>4540.8</v>
      </c>
      <c r="E21" s="24">
        <v>43564</v>
      </c>
      <c r="F21" s="25">
        <v>4540.8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1"/>
        <v>0</v>
      </c>
    </row>
    <row r="22" spans="1:17" ht="15.75" x14ac:dyDescent="0.25">
      <c r="A22" s="28">
        <v>43564</v>
      </c>
      <c r="B22" s="33">
        <v>3545</v>
      </c>
      <c r="C22" s="30" t="s">
        <v>8</v>
      </c>
      <c r="D22" s="31">
        <v>7045.2</v>
      </c>
      <c r="E22" s="24">
        <v>43564</v>
      </c>
      <c r="F22" s="25">
        <v>7045.2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1"/>
        <v>0</v>
      </c>
    </row>
    <row r="23" spans="1:17" ht="15.75" x14ac:dyDescent="0.25">
      <c r="A23" s="28">
        <v>43564</v>
      </c>
      <c r="B23" s="33">
        <v>3546</v>
      </c>
      <c r="C23" s="30" t="s">
        <v>9</v>
      </c>
      <c r="D23" s="31">
        <v>3422</v>
      </c>
      <c r="E23" s="24">
        <v>43564</v>
      </c>
      <c r="F23" s="25">
        <v>3422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28">
        <v>43564</v>
      </c>
      <c r="B24" s="33">
        <v>3547</v>
      </c>
      <c r="C24" s="30" t="s">
        <v>9</v>
      </c>
      <c r="D24" s="31">
        <v>4160</v>
      </c>
      <c r="E24" s="24">
        <v>43564</v>
      </c>
      <c r="F24" s="25">
        <v>4160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2">N24-P24</f>
        <v>0</v>
      </c>
    </row>
    <row r="25" spans="1:17" ht="15.75" x14ac:dyDescent="0.25">
      <c r="A25" s="28">
        <v>43565</v>
      </c>
      <c r="B25" s="33">
        <v>3548</v>
      </c>
      <c r="C25" s="30" t="s">
        <v>9</v>
      </c>
      <c r="D25" s="31">
        <v>1560</v>
      </c>
      <c r="E25" s="24">
        <v>43567</v>
      </c>
      <c r="F25" s="25">
        <v>1560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2"/>
        <v>0</v>
      </c>
    </row>
    <row r="26" spans="1:17" ht="15.75" x14ac:dyDescent="0.25">
      <c r="A26" s="28">
        <v>43565</v>
      </c>
      <c r="B26" s="33">
        <v>3549</v>
      </c>
      <c r="C26" s="30" t="s">
        <v>9</v>
      </c>
      <c r="D26" s="31">
        <v>354</v>
      </c>
      <c r="E26" s="24">
        <v>43567</v>
      </c>
      <c r="F26" s="25">
        <v>354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2"/>
        <v>0</v>
      </c>
    </row>
    <row r="27" spans="1:17" ht="15.75" x14ac:dyDescent="0.25">
      <c r="A27" s="28">
        <v>43567</v>
      </c>
      <c r="B27" s="33">
        <v>3550</v>
      </c>
      <c r="C27" s="34" t="s">
        <v>32</v>
      </c>
      <c r="D27" s="31">
        <v>12500</v>
      </c>
      <c r="E27" s="24">
        <v>43567</v>
      </c>
      <c r="F27" s="25">
        <v>12500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2"/>
        <v>0</v>
      </c>
    </row>
    <row r="28" spans="1:17" ht="15.75" x14ac:dyDescent="0.25">
      <c r="A28" s="28">
        <v>43567</v>
      </c>
      <c r="B28" s="33">
        <v>3551</v>
      </c>
      <c r="C28" s="30" t="s">
        <v>8</v>
      </c>
      <c r="D28" s="31">
        <v>37078.080000000002</v>
      </c>
      <c r="E28" s="24">
        <v>43569</v>
      </c>
      <c r="F28" s="25">
        <f>25000+12078.08</f>
        <v>37078.080000000002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2"/>
        <v>0</v>
      </c>
    </row>
    <row r="29" spans="1:17" ht="15.75" x14ac:dyDescent="0.25">
      <c r="A29" s="28">
        <v>43567</v>
      </c>
      <c r="B29" s="33">
        <v>3552</v>
      </c>
      <c r="C29" s="30" t="s">
        <v>10</v>
      </c>
      <c r="D29" s="31">
        <v>4813.3999999999996</v>
      </c>
      <c r="E29" s="24">
        <v>43568</v>
      </c>
      <c r="F29" s="25">
        <v>4813.3999999999996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2"/>
        <v>0</v>
      </c>
    </row>
    <row r="30" spans="1:17" ht="15.75" x14ac:dyDescent="0.25">
      <c r="A30" s="28">
        <v>43568</v>
      </c>
      <c r="B30" s="33">
        <v>3553</v>
      </c>
      <c r="C30" s="30" t="s">
        <v>7</v>
      </c>
      <c r="D30" s="31">
        <v>5896</v>
      </c>
      <c r="E30" s="24">
        <v>43568</v>
      </c>
      <c r="F30" s="25">
        <v>5896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2"/>
        <v>0</v>
      </c>
    </row>
    <row r="31" spans="1:17" ht="15.75" x14ac:dyDescent="0.25">
      <c r="A31" s="28">
        <v>43568</v>
      </c>
      <c r="B31" s="33">
        <v>3554</v>
      </c>
      <c r="C31" s="30" t="s">
        <v>9</v>
      </c>
      <c r="D31" s="31">
        <v>33710</v>
      </c>
      <c r="E31" s="24">
        <v>43576</v>
      </c>
      <c r="F31" s="25">
        <v>33710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2"/>
        <v>0</v>
      </c>
    </row>
    <row r="32" spans="1:17" ht="15.75" x14ac:dyDescent="0.25">
      <c r="A32" s="28">
        <v>43568</v>
      </c>
      <c r="B32" s="33">
        <v>3555</v>
      </c>
      <c r="C32" s="30" t="s">
        <v>9</v>
      </c>
      <c r="D32" s="31">
        <v>700</v>
      </c>
      <c r="E32" s="24">
        <v>43569</v>
      </c>
      <c r="F32" s="25">
        <v>700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2"/>
        <v>0</v>
      </c>
    </row>
    <row r="33" spans="1:17" ht="15.75" x14ac:dyDescent="0.25">
      <c r="A33" s="28">
        <v>43569</v>
      </c>
      <c r="B33" s="33">
        <v>3556</v>
      </c>
      <c r="C33" s="30" t="s">
        <v>9</v>
      </c>
      <c r="D33" s="31">
        <v>23580</v>
      </c>
      <c r="E33" s="24">
        <v>43571</v>
      </c>
      <c r="F33" s="25">
        <v>23580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2"/>
        <v>0</v>
      </c>
    </row>
    <row r="34" spans="1:17" ht="15.75" x14ac:dyDescent="0.25">
      <c r="A34" s="28">
        <v>43569</v>
      </c>
      <c r="B34" s="33">
        <v>3557</v>
      </c>
      <c r="C34" s="30" t="s">
        <v>7</v>
      </c>
      <c r="D34" s="31">
        <v>6480</v>
      </c>
      <c r="E34" s="24">
        <v>43569</v>
      </c>
      <c r="F34" s="25">
        <v>6480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2"/>
        <v>0</v>
      </c>
    </row>
    <row r="35" spans="1:17" ht="15.75" x14ac:dyDescent="0.25">
      <c r="A35" s="28">
        <v>43569</v>
      </c>
      <c r="B35" s="33">
        <v>3558</v>
      </c>
      <c r="C35" s="30" t="s">
        <v>10</v>
      </c>
      <c r="D35" s="31">
        <v>3903.2</v>
      </c>
      <c r="E35" s="24">
        <v>43570</v>
      </c>
      <c r="F35" s="25">
        <v>3903.2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2"/>
        <v>0</v>
      </c>
    </row>
    <row r="36" spans="1:17" ht="15.75" x14ac:dyDescent="0.25">
      <c r="A36" s="28">
        <v>43569</v>
      </c>
      <c r="B36" s="33">
        <v>3559</v>
      </c>
      <c r="C36" s="30" t="s">
        <v>8</v>
      </c>
      <c r="D36" s="31">
        <v>3972.8</v>
      </c>
      <c r="E36" s="24">
        <v>43569</v>
      </c>
      <c r="F36" s="25">
        <v>3972.8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2"/>
        <v>0</v>
      </c>
    </row>
    <row r="37" spans="1:17" ht="15.75" x14ac:dyDescent="0.25">
      <c r="A37" s="28">
        <v>43570</v>
      </c>
      <c r="B37" s="33">
        <v>3560</v>
      </c>
      <c r="C37" s="30" t="s">
        <v>32</v>
      </c>
      <c r="D37" s="40">
        <v>15280</v>
      </c>
      <c r="E37" s="41">
        <v>43570</v>
      </c>
      <c r="F37" s="40">
        <v>15280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2"/>
        <v>0</v>
      </c>
    </row>
    <row r="38" spans="1:17" ht="16.5" thickBot="1" x14ac:dyDescent="0.3">
      <c r="A38" s="28">
        <v>43570</v>
      </c>
      <c r="B38" s="33">
        <v>3561</v>
      </c>
      <c r="C38" s="30" t="s">
        <v>10</v>
      </c>
      <c r="D38" s="40">
        <v>4723.2</v>
      </c>
      <c r="E38" s="24">
        <v>43571</v>
      </c>
      <c r="F38" s="25">
        <v>4723.2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8">
        <v>43570</v>
      </c>
      <c r="B39" s="33">
        <v>3562</v>
      </c>
      <c r="C39" s="34" t="s">
        <v>13</v>
      </c>
      <c r="D39" s="40">
        <v>2649.6</v>
      </c>
      <c r="E39" s="24">
        <v>43570</v>
      </c>
      <c r="F39" s="25">
        <v>2649.6</v>
      </c>
      <c r="G39" s="32">
        <f t="shared" si="0"/>
        <v>0</v>
      </c>
      <c r="H39" s="2"/>
      <c r="K39" s="49"/>
      <c r="L39" s="50"/>
      <c r="M39" s="2"/>
      <c r="N39" s="51">
        <f>SUM(N4:N38)</f>
        <v>37163.399999999994</v>
      </c>
      <c r="O39" s="52"/>
      <c r="P39" s="53">
        <f>SUM(P4:P38)</f>
        <v>0</v>
      </c>
      <c r="Q39" s="54">
        <f>SUM(Q4:Q38)</f>
        <v>37163.399999999994</v>
      </c>
    </row>
    <row r="40" spans="1:17" ht="15.75" x14ac:dyDescent="0.25">
      <c r="A40" s="28">
        <v>43571</v>
      </c>
      <c r="B40" s="33">
        <v>3563</v>
      </c>
      <c r="C40" s="30" t="s">
        <v>9</v>
      </c>
      <c r="D40" s="40">
        <v>1806.6</v>
      </c>
      <c r="E40" s="24">
        <v>43571</v>
      </c>
      <c r="F40" s="25">
        <v>1806.6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28">
        <v>43571</v>
      </c>
      <c r="B41" s="33">
        <v>3564</v>
      </c>
      <c r="C41" s="30" t="s">
        <v>8</v>
      </c>
      <c r="D41" s="40">
        <v>6344</v>
      </c>
      <c r="E41" s="24">
        <v>43571</v>
      </c>
      <c r="F41" s="25">
        <v>6344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28">
        <v>43571</v>
      </c>
      <c r="B42" s="33">
        <v>3565</v>
      </c>
      <c r="C42" s="30" t="s">
        <v>13</v>
      </c>
      <c r="D42" s="40">
        <v>3283.2</v>
      </c>
      <c r="E42" s="24">
        <v>43572</v>
      </c>
      <c r="F42" s="25">
        <v>3283.2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28">
        <v>43572</v>
      </c>
      <c r="B43" s="33">
        <v>3566</v>
      </c>
      <c r="C43" s="30" t="s">
        <v>10</v>
      </c>
      <c r="D43" s="40">
        <v>4581.5</v>
      </c>
      <c r="E43" s="24">
        <v>43573</v>
      </c>
      <c r="F43" s="25">
        <v>4581.5</v>
      </c>
      <c r="G43" s="32">
        <f t="shared" si="0"/>
        <v>0</v>
      </c>
      <c r="H43" s="2"/>
      <c r="K43" s="49"/>
      <c r="L43" s="50"/>
      <c r="M43" s="2"/>
      <c r="N43" s="126">
        <f>N39-P39</f>
        <v>37163.399999999994</v>
      </c>
      <c r="O43" s="127"/>
      <c r="P43" s="128"/>
    </row>
    <row r="44" spans="1:17" ht="15.75" x14ac:dyDescent="0.25">
      <c r="A44" s="28">
        <v>43572</v>
      </c>
      <c r="B44" s="33">
        <v>3567</v>
      </c>
      <c r="C44" s="30" t="s">
        <v>13</v>
      </c>
      <c r="D44" s="40">
        <v>2528.4</v>
      </c>
      <c r="E44" s="24">
        <v>43572</v>
      </c>
      <c r="F44" s="25">
        <v>2528.4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28">
        <v>43572</v>
      </c>
      <c r="B45" s="33">
        <v>3568</v>
      </c>
      <c r="C45" s="30" t="s">
        <v>8</v>
      </c>
      <c r="D45" s="40">
        <v>10460</v>
      </c>
      <c r="E45" s="24">
        <v>43573</v>
      </c>
      <c r="F45" s="25">
        <v>10460</v>
      </c>
      <c r="G45" s="32">
        <f t="shared" si="0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28">
        <v>43573</v>
      </c>
      <c r="B46" s="33">
        <v>3569</v>
      </c>
      <c r="C46" s="30" t="s">
        <v>29</v>
      </c>
      <c r="D46" s="40">
        <v>1620</v>
      </c>
      <c r="E46" s="24">
        <v>43573</v>
      </c>
      <c r="F46" s="25">
        <v>1620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28">
        <v>43573</v>
      </c>
      <c r="B47" s="33">
        <v>3570</v>
      </c>
      <c r="C47" s="30" t="s">
        <v>32</v>
      </c>
      <c r="D47" s="40">
        <v>8695</v>
      </c>
      <c r="E47" s="24">
        <v>43573</v>
      </c>
      <c r="F47" s="25">
        <v>8695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28">
        <v>43573</v>
      </c>
      <c r="B48" s="33">
        <v>3571</v>
      </c>
      <c r="C48" s="30" t="s">
        <v>8</v>
      </c>
      <c r="D48" s="40">
        <v>7312</v>
      </c>
      <c r="E48" s="24">
        <v>43573</v>
      </c>
      <c r="F48" s="25">
        <v>7312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28">
        <v>43573</v>
      </c>
      <c r="B49" s="33">
        <v>3572</v>
      </c>
      <c r="C49" s="30" t="s">
        <v>13</v>
      </c>
      <c r="D49" s="40">
        <v>3792</v>
      </c>
      <c r="E49" s="24">
        <v>43573</v>
      </c>
      <c r="F49" s="25">
        <v>3792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28">
        <v>43573</v>
      </c>
      <c r="B50" s="33">
        <v>3573</v>
      </c>
      <c r="C50" s="30" t="s">
        <v>8</v>
      </c>
      <c r="D50" s="40">
        <v>6792</v>
      </c>
      <c r="E50" s="24">
        <v>43573</v>
      </c>
      <c r="F50" s="25">
        <v>6792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28">
        <v>43575</v>
      </c>
      <c r="B51" s="33">
        <v>3574</v>
      </c>
      <c r="C51" s="30" t="s">
        <v>7</v>
      </c>
      <c r="D51" s="40">
        <v>6371.4</v>
      </c>
      <c r="E51" s="24">
        <v>43575</v>
      </c>
      <c r="F51" s="25">
        <v>6371.4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28">
        <v>43575</v>
      </c>
      <c r="B52" s="33">
        <v>3575</v>
      </c>
      <c r="C52" s="30" t="s">
        <v>9</v>
      </c>
      <c r="D52" s="40">
        <v>36670</v>
      </c>
      <c r="E52" s="24">
        <v>43584</v>
      </c>
      <c r="F52" s="25">
        <v>36670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28">
        <v>43575</v>
      </c>
      <c r="B53" s="33">
        <v>3576</v>
      </c>
      <c r="C53" s="30" t="s">
        <v>8</v>
      </c>
      <c r="D53" s="40">
        <v>10084</v>
      </c>
      <c r="E53" s="95">
        <v>43575</v>
      </c>
      <c r="F53" s="96">
        <v>10084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28">
        <v>43575</v>
      </c>
      <c r="B54" s="33">
        <v>3577</v>
      </c>
      <c r="C54" s="30" t="s">
        <v>10</v>
      </c>
      <c r="D54" s="40">
        <v>4048.8</v>
      </c>
      <c r="E54" s="24">
        <v>43576</v>
      </c>
      <c r="F54" s="25">
        <v>4048.8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28">
        <v>43576</v>
      </c>
      <c r="B55" s="33">
        <v>3578</v>
      </c>
      <c r="C55" s="30" t="s">
        <v>8</v>
      </c>
      <c r="D55" s="40">
        <v>15836</v>
      </c>
      <c r="E55" s="24">
        <v>43576</v>
      </c>
      <c r="F55" s="25">
        <v>15836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28">
        <v>43576</v>
      </c>
      <c r="B56" s="33">
        <v>3579</v>
      </c>
      <c r="C56" s="30" t="s">
        <v>9</v>
      </c>
      <c r="D56" s="40">
        <v>23890</v>
      </c>
      <c r="E56" s="24">
        <v>43580</v>
      </c>
      <c r="F56" s="25">
        <v>23890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28">
        <v>43576</v>
      </c>
      <c r="B57" s="33">
        <v>3580</v>
      </c>
      <c r="C57" s="30" t="s">
        <v>11</v>
      </c>
      <c r="D57" s="40">
        <v>4124.6000000000004</v>
      </c>
      <c r="E57" s="24">
        <v>43577</v>
      </c>
      <c r="F57" s="25">
        <v>4124.6000000000004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28">
        <v>43576</v>
      </c>
      <c r="B58" s="33">
        <v>3581</v>
      </c>
      <c r="C58" s="30" t="s">
        <v>8</v>
      </c>
      <c r="D58" s="40">
        <v>5928</v>
      </c>
      <c r="E58" s="24">
        <v>43606</v>
      </c>
      <c r="F58" s="25">
        <v>5928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28">
        <v>43577</v>
      </c>
      <c r="B59" s="33">
        <v>3582</v>
      </c>
      <c r="C59" s="30" t="s">
        <v>32</v>
      </c>
      <c r="D59" s="40">
        <v>12391.6</v>
      </c>
      <c r="E59" s="85">
        <v>43577</v>
      </c>
      <c r="F59" s="25">
        <v>12391.6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43577</v>
      </c>
      <c r="B60" s="33">
        <v>3583</v>
      </c>
      <c r="C60" s="88" t="s">
        <v>10</v>
      </c>
      <c r="D60" s="89">
        <v>3798.4</v>
      </c>
      <c r="E60" s="24">
        <v>43578</v>
      </c>
      <c r="F60" s="25">
        <v>3798.4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28">
        <v>43579</v>
      </c>
      <c r="B61" s="33">
        <v>3584</v>
      </c>
      <c r="C61" s="30" t="s">
        <v>9</v>
      </c>
      <c r="D61" s="40">
        <v>4080</v>
      </c>
      <c r="E61" s="24">
        <v>43579</v>
      </c>
      <c r="F61" s="25">
        <v>4080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28">
        <v>43579</v>
      </c>
      <c r="B62" s="33">
        <v>3585</v>
      </c>
      <c r="C62" s="88" t="s">
        <v>8</v>
      </c>
      <c r="D62" s="89">
        <v>9651.4</v>
      </c>
      <c r="E62" s="24">
        <v>43579</v>
      </c>
      <c r="F62" s="25">
        <v>9651.4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28">
        <v>43579</v>
      </c>
      <c r="B63" s="33">
        <v>3586</v>
      </c>
      <c r="C63" s="30" t="s">
        <v>10</v>
      </c>
      <c r="D63" s="40">
        <v>4816</v>
      </c>
      <c r="E63" s="24">
        <v>43580</v>
      </c>
      <c r="F63" s="25">
        <v>4816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28">
        <v>43580</v>
      </c>
      <c r="B64" s="33">
        <v>3587</v>
      </c>
      <c r="C64" s="30" t="s">
        <v>44</v>
      </c>
      <c r="D64" s="40">
        <v>1685.6</v>
      </c>
      <c r="E64" s="24" t="s">
        <v>46</v>
      </c>
      <c r="F64" s="25">
        <f>1500+185.6</f>
        <v>1685.6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28">
        <v>43580</v>
      </c>
      <c r="B65" s="33">
        <v>3588</v>
      </c>
      <c r="C65" s="30" t="s">
        <v>8</v>
      </c>
      <c r="D65" s="40">
        <v>10021.200000000001</v>
      </c>
      <c r="E65" s="24">
        <v>43581</v>
      </c>
      <c r="F65" s="25">
        <v>10021.200000000001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28">
        <v>43580</v>
      </c>
      <c r="B66" s="33">
        <v>3589</v>
      </c>
      <c r="C66" s="30" t="s">
        <v>12</v>
      </c>
      <c r="D66" s="40">
        <v>2812.8</v>
      </c>
      <c r="E66" s="24">
        <v>43581</v>
      </c>
      <c r="F66" s="25">
        <v>2812.8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28">
        <v>43580</v>
      </c>
      <c r="B67" s="33">
        <v>3590</v>
      </c>
      <c r="C67" s="30" t="s">
        <v>13</v>
      </c>
      <c r="D67" s="40">
        <v>3543.2</v>
      </c>
      <c r="E67" s="24">
        <v>43581</v>
      </c>
      <c r="F67" s="25">
        <v>3543.2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28">
        <v>43580</v>
      </c>
      <c r="B68" s="33">
        <v>3591</v>
      </c>
      <c r="C68" s="30" t="s">
        <v>32</v>
      </c>
      <c r="D68" s="40">
        <v>4620</v>
      </c>
      <c r="E68" s="24">
        <v>43584</v>
      </c>
      <c r="F68" s="25">
        <v>4620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28">
        <v>43580</v>
      </c>
      <c r="B69" s="33">
        <v>3592</v>
      </c>
      <c r="C69" s="30" t="s">
        <v>12</v>
      </c>
      <c r="D69" s="40">
        <v>9467.2000000000007</v>
      </c>
      <c r="E69" s="24">
        <v>43583</v>
      </c>
      <c r="F69" s="25">
        <v>9467.2000000000007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28">
        <v>43580</v>
      </c>
      <c r="B70" s="33">
        <v>3593</v>
      </c>
      <c r="C70" s="30" t="s">
        <v>90</v>
      </c>
      <c r="D70" s="40">
        <v>5464.8</v>
      </c>
      <c r="E70" s="24">
        <v>43582</v>
      </c>
      <c r="F70" s="25">
        <v>5464.8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28">
        <v>43580</v>
      </c>
      <c r="B71" s="33">
        <v>3594</v>
      </c>
      <c r="C71" s="30" t="s">
        <v>8</v>
      </c>
      <c r="D71" s="40">
        <v>11499.6</v>
      </c>
      <c r="E71" s="24">
        <v>43582</v>
      </c>
      <c r="F71" s="25">
        <v>11499.6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28">
        <v>43582</v>
      </c>
      <c r="B72" s="33">
        <v>3595</v>
      </c>
      <c r="C72" s="30" t="s">
        <v>7</v>
      </c>
      <c r="D72" s="40">
        <v>6784.8</v>
      </c>
      <c r="E72" s="24">
        <v>43582</v>
      </c>
      <c r="F72" s="25">
        <v>6784.8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28">
        <v>43582</v>
      </c>
      <c r="B73" s="33">
        <v>3596</v>
      </c>
      <c r="C73" s="30" t="s">
        <v>9</v>
      </c>
      <c r="D73" s="40">
        <v>39838.800000000003</v>
      </c>
      <c r="E73" s="24">
        <v>43591</v>
      </c>
      <c r="F73" s="25">
        <v>39838.800000000003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28">
        <v>43582</v>
      </c>
      <c r="B74" s="33">
        <v>3597</v>
      </c>
      <c r="C74" s="30" t="s">
        <v>11</v>
      </c>
      <c r="D74" s="40">
        <v>11293.1</v>
      </c>
      <c r="E74" s="24">
        <v>43582</v>
      </c>
      <c r="F74" s="25">
        <v>11293.1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28">
        <v>43582</v>
      </c>
      <c r="B75" s="33">
        <v>3598</v>
      </c>
      <c r="C75" s="30" t="s">
        <v>8</v>
      </c>
      <c r="D75" s="40">
        <v>13579.4</v>
      </c>
      <c r="E75" s="24">
        <v>43583</v>
      </c>
      <c r="F75" s="25">
        <v>13579.4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28">
        <v>43582</v>
      </c>
      <c r="B76" s="33">
        <v>3599</v>
      </c>
      <c r="C76" s="30" t="s">
        <v>10</v>
      </c>
      <c r="D76" s="40">
        <v>3731.2</v>
      </c>
      <c r="E76" s="24">
        <v>43583</v>
      </c>
      <c r="F76" s="25">
        <v>3731.2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28">
        <v>43582</v>
      </c>
      <c r="B77" s="33">
        <v>3600</v>
      </c>
      <c r="C77" s="30" t="s">
        <v>13</v>
      </c>
      <c r="D77" s="40">
        <v>2295</v>
      </c>
      <c r="E77" s="24">
        <v>43582</v>
      </c>
      <c r="F77" s="25">
        <v>2295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28">
        <v>43583</v>
      </c>
      <c r="B78" s="33">
        <v>3601</v>
      </c>
      <c r="C78" s="30" t="s">
        <v>7</v>
      </c>
      <c r="D78" s="40">
        <v>5438.4</v>
      </c>
      <c r="E78" s="24">
        <v>43583</v>
      </c>
      <c r="F78" s="25">
        <v>5438.4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28">
        <v>43583</v>
      </c>
      <c r="B79" s="33">
        <v>3602</v>
      </c>
      <c r="C79" s="30" t="s">
        <v>11</v>
      </c>
      <c r="D79" s="40">
        <v>5755.2</v>
      </c>
      <c r="E79" s="24">
        <v>43583</v>
      </c>
      <c r="F79" s="25">
        <v>5755.2</v>
      </c>
      <c r="G79" s="32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28">
        <v>43583</v>
      </c>
      <c r="B80" s="33">
        <v>3603</v>
      </c>
      <c r="C80" s="30" t="s">
        <v>8</v>
      </c>
      <c r="D80" s="40">
        <v>14370.4</v>
      </c>
      <c r="E80" s="24">
        <v>43584</v>
      </c>
      <c r="F80" s="25">
        <v>14370.4</v>
      </c>
      <c r="G80" s="32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28">
        <v>43583</v>
      </c>
      <c r="B81" s="33">
        <v>3604</v>
      </c>
      <c r="C81" s="30" t="s">
        <v>9</v>
      </c>
      <c r="D81" s="40">
        <v>33420</v>
      </c>
      <c r="E81" s="24">
        <v>43587</v>
      </c>
      <c r="F81" s="25">
        <v>33420</v>
      </c>
      <c r="G81" s="32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28">
        <v>43583</v>
      </c>
      <c r="B82" s="33">
        <v>3605</v>
      </c>
      <c r="C82" s="30" t="s">
        <v>45</v>
      </c>
      <c r="D82" s="40">
        <v>3013.2</v>
      </c>
      <c r="E82" s="24">
        <v>43588</v>
      </c>
      <c r="F82" s="25">
        <v>3013.2</v>
      </c>
      <c r="G82" s="32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28">
        <v>43583</v>
      </c>
      <c r="B83" s="33">
        <v>3606</v>
      </c>
      <c r="C83" s="30" t="s">
        <v>10</v>
      </c>
      <c r="D83" s="40">
        <v>4408.8</v>
      </c>
      <c r="E83" s="24">
        <v>43584</v>
      </c>
      <c r="F83" s="25">
        <v>4408.8</v>
      </c>
      <c r="G83" s="32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28">
        <v>43583</v>
      </c>
      <c r="B84" s="33">
        <v>3607</v>
      </c>
      <c r="C84" s="30" t="s">
        <v>12</v>
      </c>
      <c r="D84" s="40">
        <v>4048.2</v>
      </c>
      <c r="E84" s="24">
        <v>43586</v>
      </c>
      <c r="F84" s="25">
        <v>4048.2</v>
      </c>
      <c r="G84" s="32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28">
        <v>43584</v>
      </c>
      <c r="B85" s="33">
        <v>3608</v>
      </c>
      <c r="C85" s="30" t="s">
        <v>8</v>
      </c>
      <c r="D85" s="40">
        <v>12232</v>
      </c>
      <c r="E85" s="24">
        <v>43584</v>
      </c>
      <c r="F85" s="25">
        <v>12232</v>
      </c>
      <c r="G85" s="32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28">
        <v>43584</v>
      </c>
      <c r="B86" s="33">
        <v>3609</v>
      </c>
      <c r="C86" s="30" t="s">
        <v>18</v>
      </c>
      <c r="D86" s="40">
        <v>9540</v>
      </c>
      <c r="E86" s="24">
        <v>43586</v>
      </c>
      <c r="F86" s="25">
        <v>9540</v>
      </c>
      <c r="G86" s="32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28">
        <v>43584</v>
      </c>
      <c r="B87" s="33">
        <v>3610</v>
      </c>
      <c r="C87" s="30" t="s">
        <v>10</v>
      </c>
      <c r="D87" s="40">
        <v>5790.4</v>
      </c>
      <c r="E87" s="24">
        <v>43585</v>
      </c>
      <c r="F87" s="25">
        <v>5790.4</v>
      </c>
      <c r="G87" s="32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28">
        <v>43585</v>
      </c>
      <c r="B88" s="33">
        <v>3611</v>
      </c>
      <c r="C88" s="30" t="s">
        <v>9</v>
      </c>
      <c r="D88" s="40">
        <v>10300</v>
      </c>
      <c r="E88" s="24">
        <v>43585</v>
      </c>
      <c r="F88" s="25">
        <v>10300</v>
      </c>
      <c r="G88" s="32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28">
        <v>43586</v>
      </c>
      <c r="B89" s="33">
        <v>3612</v>
      </c>
      <c r="C89" s="30" t="s">
        <v>8</v>
      </c>
      <c r="D89" s="40">
        <v>580</v>
      </c>
      <c r="E89" s="24">
        <v>43588</v>
      </c>
      <c r="F89" s="25">
        <v>580</v>
      </c>
      <c r="G89" s="32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28">
        <v>43586</v>
      </c>
      <c r="B90" s="33">
        <v>3613</v>
      </c>
      <c r="C90" s="30" t="s">
        <v>8</v>
      </c>
      <c r="D90" s="40">
        <v>12762</v>
      </c>
      <c r="E90" s="24">
        <v>43588</v>
      </c>
      <c r="F90" s="25">
        <v>12762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28">
        <v>43586</v>
      </c>
      <c r="B91" s="33">
        <v>3614</v>
      </c>
      <c r="C91" s="30" t="s">
        <v>12</v>
      </c>
      <c r="D91" s="40">
        <v>7094</v>
      </c>
      <c r="E91" s="24">
        <v>43588</v>
      </c>
      <c r="F91" s="25">
        <v>7094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28">
        <v>43586</v>
      </c>
      <c r="B92" s="33">
        <v>3615</v>
      </c>
      <c r="C92" s="30" t="s">
        <v>10</v>
      </c>
      <c r="D92" s="40">
        <v>6241.6</v>
      </c>
      <c r="E92" s="24">
        <v>43588</v>
      </c>
      <c r="F92" s="25">
        <v>6241.6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28">
        <v>43587</v>
      </c>
      <c r="B93" s="33">
        <v>3616</v>
      </c>
      <c r="C93" s="30" t="s">
        <v>11</v>
      </c>
      <c r="D93" s="40">
        <v>6679.2</v>
      </c>
      <c r="E93" s="24">
        <v>43588</v>
      </c>
      <c r="F93" s="25">
        <v>6679.2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28">
        <v>43587</v>
      </c>
      <c r="B94" s="33">
        <v>3617</v>
      </c>
      <c r="C94" s="30" t="s">
        <v>10</v>
      </c>
      <c r="D94" s="40">
        <v>4850.3999999999996</v>
      </c>
      <c r="E94" s="24">
        <v>43589</v>
      </c>
      <c r="F94" s="25">
        <v>4850.3999999999996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28">
        <v>43588</v>
      </c>
      <c r="B95" s="33">
        <v>3618</v>
      </c>
      <c r="C95" s="30" t="s">
        <v>11</v>
      </c>
      <c r="D95" s="40">
        <v>10329.200000000001</v>
      </c>
      <c r="E95" s="24">
        <v>43589</v>
      </c>
      <c r="F95" s="25">
        <v>10329.200000000001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28">
        <v>43588</v>
      </c>
      <c r="B96" s="33">
        <v>3619</v>
      </c>
      <c r="C96" s="30" t="s">
        <v>12</v>
      </c>
      <c r="D96" s="40">
        <v>7040.2</v>
      </c>
      <c r="E96" s="24">
        <v>43590</v>
      </c>
      <c r="F96" s="25">
        <v>7040.2</v>
      </c>
      <c r="G96" s="32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28">
        <v>43588</v>
      </c>
      <c r="B97" s="33">
        <v>3620</v>
      </c>
      <c r="C97" s="30" t="s">
        <v>8</v>
      </c>
      <c r="D97" s="40">
        <v>10377.6</v>
      </c>
      <c r="E97" s="24">
        <v>43589</v>
      </c>
      <c r="F97" s="25">
        <v>10377.6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28">
        <v>43588</v>
      </c>
      <c r="B98" s="33">
        <v>3621</v>
      </c>
      <c r="C98" s="30" t="s">
        <v>13</v>
      </c>
      <c r="D98" s="40">
        <v>3496.8</v>
      </c>
      <c r="E98" s="24">
        <v>43589</v>
      </c>
      <c r="F98" s="25">
        <v>3496.8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28">
        <v>43588</v>
      </c>
      <c r="B99" s="33">
        <v>3622</v>
      </c>
      <c r="C99" s="30" t="s">
        <v>10</v>
      </c>
      <c r="D99" s="40">
        <v>5128.8</v>
      </c>
      <c r="E99" s="24">
        <v>43589</v>
      </c>
      <c r="F99" s="25">
        <v>5128.8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28">
        <v>43588</v>
      </c>
      <c r="B100" s="33">
        <v>3623</v>
      </c>
      <c r="C100" s="30" t="s">
        <v>32</v>
      </c>
      <c r="D100" s="40">
        <v>4100.26</v>
      </c>
      <c r="E100" s="67">
        <v>43595</v>
      </c>
      <c r="F100" s="68">
        <v>4100.26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28">
        <v>43588</v>
      </c>
      <c r="B101" s="33">
        <v>3624</v>
      </c>
      <c r="C101" s="30" t="s">
        <v>11</v>
      </c>
      <c r="D101" s="40">
        <v>6373.2</v>
      </c>
      <c r="E101" s="24">
        <v>43589</v>
      </c>
      <c r="F101" s="25">
        <v>6373.2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28">
        <v>43589</v>
      </c>
      <c r="B102" s="33">
        <v>3625</v>
      </c>
      <c r="C102" s="30" t="s">
        <v>7</v>
      </c>
      <c r="D102" s="40">
        <v>6984.2</v>
      </c>
      <c r="E102" s="24">
        <v>43589</v>
      </c>
      <c r="F102" s="25">
        <v>6984.2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28">
        <v>43589</v>
      </c>
      <c r="B103" s="33">
        <v>3626</v>
      </c>
      <c r="C103" s="30" t="s">
        <v>9</v>
      </c>
      <c r="D103" s="40">
        <v>46760</v>
      </c>
      <c r="E103" s="67">
        <v>43598</v>
      </c>
      <c r="F103" s="68">
        <v>46760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28">
        <v>43589</v>
      </c>
      <c r="B104" s="33">
        <v>3627</v>
      </c>
      <c r="C104" s="30" t="s">
        <v>8</v>
      </c>
      <c r="D104" s="40">
        <v>13248</v>
      </c>
      <c r="E104" s="24">
        <v>43590</v>
      </c>
      <c r="F104" s="25">
        <v>13248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28">
        <v>43589</v>
      </c>
      <c r="B105" s="33">
        <v>3628</v>
      </c>
      <c r="C105" s="30" t="s">
        <v>10</v>
      </c>
      <c r="D105" s="40">
        <v>6504.8</v>
      </c>
      <c r="E105" s="24">
        <v>43590</v>
      </c>
      <c r="F105" s="25">
        <v>6504.8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28">
        <v>43589</v>
      </c>
      <c r="B106" s="33">
        <v>3629</v>
      </c>
      <c r="C106" s="30" t="s">
        <v>11</v>
      </c>
      <c r="D106" s="40">
        <v>12859.2</v>
      </c>
      <c r="E106" s="24">
        <v>43590</v>
      </c>
      <c r="F106" s="25">
        <v>12859.2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28">
        <v>43589</v>
      </c>
      <c r="B107" s="33">
        <v>3630</v>
      </c>
      <c r="C107" s="30" t="s">
        <v>32</v>
      </c>
      <c r="D107" s="40">
        <v>7158.4</v>
      </c>
      <c r="E107" s="24">
        <v>43591</v>
      </c>
      <c r="F107" s="25">
        <v>7158.4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28">
        <v>43590</v>
      </c>
      <c r="B108" s="33">
        <v>3631</v>
      </c>
      <c r="C108" s="30" t="s">
        <v>7</v>
      </c>
      <c r="D108" s="40">
        <v>7144</v>
      </c>
      <c r="E108" s="24">
        <v>43590</v>
      </c>
      <c r="F108" s="25">
        <v>7144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28">
        <v>43590</v>
      </c>
      <c r="B109" s="33">
        <v>3632</v>
      </c>
      <c r="C109" s="30" t="s">
        <v>8</v>
      </c>
      <c r="D109" s="40">
        <v>13680.4</v>
      </c>
      <c r="E109" s="24">
        <v>43591</v>
      </c>
      <c r="F109" s="25">
        <v>13680.4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28">
        <v>43590</v>
      </c>
      <c r="B110" s="33">
        <v>3633</v>
      </c>
      <c r="C110" s="30" t="s">
        <v>11</v>
      </c>
      <c r="D110" s="40">
        <v>11086</v>
      </c>
      <c r="E110" s="24">
        <v>43591</v>
      </c>
      <c r="F110" s="25">
        <v>11086</v>
      </c>
      <c r="G110" s="32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28">
        <v>43590</v>
      </c>
      <c r="B111" s="33">
        <v>3634</v>
      </c>
      <c r="C111" s="30" t="s">
        <v>13</v>
      </c>
      <c r="D111" s="40">
        <v>6325</v>
      </c>
      <c r="E111" s="24">
        <v>43591</v>
      </c>
      <c r="F111" s="25">
        <v>6325</v>
      </c>
      <c r="G111" s="32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28">
        <v>43590</v>
      </c>
      <c r="B112" s="33">
        <v>3635</v>
      </c>
      <c r="C112" s="30" t="s">
        <v>10</v>
      </c>
      <c r="D112" s="40">
        <v>4822.2</v>
      </c>
      <c r="E112" s="24">
        <v>43591</v>
      </c>
      <c r="F112" s="25">
        <v>4822.2</v>
      </c>
      <c r="G112" s="32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28">
        <v>43590</v>
      </c>
      <c r="B113" s="33">
        <v>3636</v>
      </c>
      <c r="C113" s="30" t="s">
        <v>12</v>
      </c>
      <c r="D113" s="40">
        <v>1948.8</v>
      </c>
      <c r="E113" s="24">
        <v>43591</v>
      </c>
      <c r="F113" s="25">
        <v>1948.8</v>
      </c>
      <c r="G113" s="32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28">
        <v>43591</v>
      </c>
      <c r="B114" s="33">
        <v>3637</v>
      </c>
      <c r="C114" s="30" t="s">
        <v>8</v>
      </c>
      <c r="D114" s="40">
        <v>12751.2</v>
      </c>
      <c r="E114" s="24">
        <v>43593</v>
      </c>
      <c r="F114" s="25">
        <v>12751.2</v>
      </c>
      <c r="G114" s="32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28">
        <v>43591</v>
      </c>
      <c r="B115" s="33">
        <v>3638</v>
      </c>
      <c r="C115" s="30" t="s">
        <v>11</v>
      </c>
      <c r="D115" s="40">
        <v>5924.8</v>
      </c>
      <c r="E115" s="24">
        <v>43592</v>
      </c>
      <c r="F115" s="25">
        <v>5924.8</v>
      </c>
      <c r="G115" s="32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28">
        <v>43591</v>
      </c>
      <c r="B116" s="33">
        <v>3639</v>
      </c>
      <c r="C116" s="30" t="s">
        <v>12</v>
      </c>
      <c r="D116" s="40">
        <v>7500.6</v>
      </c>
      <c r="E116" s="67">
        <v>43595</v>
      </c>
      <c r="F116" s="68">
        <v>7500.6</v>
      </c>
      <c r="G116" s="32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28">
        <v>43591</v>
      </c>
      <c r="B117" s="33">
        <v>3640</v>
      </c>
      <c r="C117" s="30" t="s">
        <v>10</v>
      </c>
      <c r="D117" s="40">
        <v>5282.8</v>
      </c>
      <c r="E117" s="24">
        <v>43593</v>
      </c>
      <c r="F117" s="25">
        <v>5282.8</v>
      </c>
      <c r="G117" s="32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28">
        <v>43591</v>
      </c>
      <c r="B118" s="33">
        <v>3641</v>
      </c>
      <c r="C118" s="30" t="s">
        <v>13</v>
      </c>
      <c r="D118" s="40">
        <v>7008</v>
      </c>
      <c r="E118" s="24">
        <v>43591</v>
      </c>
      <c r="F118" s="25">
        <v>7008</v>
      </c>
      <c r="G118" s="32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28">
        <v>43592</v>
      </c>
      <c r="B119" s="33">
        <v>3642</v>
      </c>
      <c r="C119" s="30" t="s">
        <v>9</v>
      </c>
      <c r="D119" s="40">
        <v>6600.3</v>
      </c>
      <c r="E119" s="24">
        <v>43592</v>
      </c>
      <c r="F119" s="25">
        <v>6600.3</v>
      </c>
      <c r="G119" s="32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28">
        <v>43592</v>
      </c>
      <c r="B120" s="33">
        <v>3643</v>
      </c>
      <c r="C120" s="30" t="s">
        <v>13</v>
      </c>
      <c r="D120" s="40">
        <v>3243.6</v>
      </c>
      <c r="E120" s="24">
        <v>43593</v>
      </c>
      <c r="F120" s="25">
        <v>3243.6</v>
      </c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28">
        <v>43593</v>
      </c>
      <c r="B121" s="33">
        <v>3644</v>
      </c>
      <c r="C121" s="30" t="s">
        <v>11</v>
      </c>
      <c r="D121" s="40">
        <v>13900.05</v>
      </c>
      <c r="E121" s="67">
        <v>43595</v>
      </c>
      <c r="F121" s="68">
        <v>13900.05</v>
      </c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28">
        <v>43593</v>
      </c>
      <c r="B122" s="33">
        <v>3645</v>
      </c>
      <c r="C122" s="30" t="s">
        <v>44</v>
      </c>
      <c r="D122" s="40">
        <v>1498.2</v>
      </c>
      <c r="E122" s="67">
        <v>43594</v>
      </c>
      <c r="F122" s="68">
        <v>1498.2</v>
      </c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28">
        <v>43593</v>
      </c>
      <c r="B123" s="33">
        <v>3646</v>
      </c>
      <c r="C123" s="30" t="s">
        <v>10</v>
      </c>
      <c r="D123" s="40">
        <v>6057</v>
      </c>
      <c r="E123" s="67">
        <v>43594</v>
      </c>
      <c r="F123" s="68">
        <v>6057</v>
      </c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28">
        <v>43593</v>
      </c>
      <c r="B124" s="33">
        <v>3647</v>
      </c>
      <c r="C124" s="30" t="s">
        <v>11</v>
      </c>
      <c r="D124" s="40">
        <v>1035</v>
      </c>
      <c r="E124" s="67">
        <v>43594</v>
      </c>
      <c r="F124" s="68">
        <v>1035</v>
      </c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47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1029579.5399999999</v>
      </c>
      <c r="E126" s="52"/>
      <c r="F126" s="51">
        <f>SUM(F4:F125)</f>
        <v>1029579.5399999999</v>
      </c>
      <c r="G126" s="55"/>
      <c r="H126" s="2"/>
    </row>
    <row r="127" spans="1:17" x14ac:dyDescent="0.25">
      <c r="A127" s="49"/>
      <c r="B127" s="50"/>
      <c r="C127" s="2"/>
      <c r="D127" s="53"/>
      <c r="E127" s="52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52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52"/>
      <c r="F129" s="57"/>
      <c r="G129" s="55"/>
      <c r="H129" s="2"/>
    </row>
    <row r="130" spans="1:16" ht="21.75" thickBot="1" x14ac:dyDescent="0.4">
      <c r="A130" s="49"/>
      <c r="B130" s="50"/>
      <c r="C130" s="2"/>
      <c r="D130" s="126">
        <f>D126-F126</f>
        <v>0</v>
      </c>
      <c r="E130" s="127"/>
      <c r="F130" s="128"/>
      <c r="H130" s="2"/>
    </row>
    <row r="131" spans="1:16" x14ac:dyDescent="0.25">
      <c r="A131" s="49"/>
      <c r="B131" s="50"/>
      <c r="C131" s="2"/>
      <c r="D131" s="53"/>
      <c r="E131" s="52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9" t="s">
        <v>17</v>
      </c>
      <c r="E132" s="129"/>
      <c r="F132" s="129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52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52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52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52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52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52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52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52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52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52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52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Q143"/>
  <sheetViews>
    <sheetView topLeftCell="A103" workbookViewId="0">
      <selection activeCell="J94" sqref="J94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2.570312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47</v>
      </c>
      <c r="C1" s="130"/>
      <c r="D1" s="130"/>
      <c r="E1" s="130"/>
      <c r="F1" s="130"/>
      <c r="H1" s="2"/>
      <c r="K1" s="3"/>
      <c r="L1" s="131" t="s">
        <v>48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43594</v>
      </c>
      <c r="B4" s="99">
        <v>3648</v>
      </c>
      <c r="C4" s="100" t="s">
        <v>8</v>
      </c>
      <c r="D4" s="101">
        <v>11035.2</v>
      </c>
      <c r="E4" s="103">
        <v>43595</v>
      </c>
      <c r="F4" s="96">
        <v>11035.2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43594</v>
      </c>
      <c r="B5" s="87">
        <v>3649</v>
      </c>
      <c r="C5" s="88" t="s">
        <v>10</v>
      </c>
      <c r="D5" s="102">
        <v>7328.25</v>
      </c>
      <c r="E5" s="103">
        <v>43596</v>
      </c>
      <c r="F5" s="96">
        <v>7328.25</v>
      </c>
      <c r="G5" s="32">
        <f>D5-F5</f>
        <v>0</v>
      </c>
      <c r="H5" s="2"/>
      <c r="K5" s="28">
        <v>43596</v>
      </c>
      <c r="L5" s="33">
        <v>215</v>
      </c>
      <c r="M5" s="34" t="s">
        <v>25</v>
      </c>
      <c r="N5" s="31">
        <v>6227</v>
      </c>
      <c r="O5" s="24"/>
      <c r="P5" s="25"/>
      <c r="Q5" s="32">
        <f>N5-P5</f>
        <v>6227</v>
      </c>
    </row>
    <row r="6" spans="1:17" ht="30" x14ac:dyDescent="0.25">
      <c r="A6" s="86">
        <v>43594</v>
      </c>
      <c r="B6" s="87">
        <v>3650</v>
      </c>
      <c r="C6" s="104" t="s">
        <v>12</v>
      </c>
      <c r="D6" s="102">
        <v>2971.6</v>
      </c>
      <c r="E6" s="103" t="s">
        <v>50</v>
      </c>
      <c r="F6" s="96">
        <f>1600+1371.6</f>
        <v>2971.6</v>
      </c>
      <c r="G6" s="32">
        <f>D6-F6</f>
        <v>0</v>
      </c>
      <c r="H6" s="2"/>
      <c r="K6" s="28">
        <v>43599</v>
      </c>
      <c r="L6" s="33">
        <f>L5+1</f>
        <v>216</v>
      </c>
      <c r="M6" s="34" t="s">
        <v>25</v>
      </c>
      <c r="N6" s="31">
        <v>3321.6</v>
      </c>
      <c r="O6" s="24"/>
      <c r="P6" s="25"/>
      <c r="Q6" s="32">
        <f>N6-P6</f>
        <v>3321.6</v>
      </c>
    </row>
    <row r="7" spans="1:17" ht="15.75" x14ac:dyDescent="0.25">
      <c r="A7" s="86">
        <v>43594</v>
      </c>
      <c r="B7" s="87">
        <v>3651</v>
      </c>
      <c r="C7" s="104" t="s">
        <v>13</v>
      </c>
      <c r="D7" s="102">
        <v>3312</v>
      </c>
      <c r="E7" s="103">
        <v>43594</v>
      </c>
      <c r="F7" s="96">
        <v>3312</v>
      </c>
      <c r="G7" s="32">
        <f t="shared" ref="G7:G125" si="0">D7-F7</f>
        <v>0</v>
      </c>
      <c r="H7" s="2"/>
      <c r="K7" s="28">
        <v>43603</v>
      </c>
      <c r="L7" s="33">
        <f t="shared" ref="L7:L10" si="1">L6+1</f>
        <v>217</v>
      </c>
      <c r="M7" s="30" t="s">
        <v>25</v>
      </c>
      <c r="N7" s="31">
        <v>3171</v>
      </c>
      <c r="O7" s="24"/>
      <c r="P7" s="25"/>
      <c r="Q7" s="32">
        <f t="shared" ref="Q7:Q22" si="2">N7-P7</f>
        <v>3171</v>
      </c>
    </row>
    <row r="8" spans="1:17" ht="15.75" x14ac:dyDescent="0.25">
      <c r="A8" s="86">
        <v>43595</v>
      </c>
      <c r="B8" s="87">
        <v>3652</v>
      </c>
      <c r="C8" s="88" t="s">
        <v>12</v>
      </c>
      <c r="D8" s="102">
        <v>8114.4</v>
      </c>
      <c r="E8" s="103">
        <v>43597</v>
      </c>
      <c r="F8" s="96">
        <v>8114.4</v>
      </c>
      <c r="G8" s="32">
        <f t="shared" si="0"/>
        <v>0</v>
      </c>
      <c r="H8" s="2"/>
      <c r="K8" s="28">
        <v>43613</v>
      </c>
      <c r="L8" s="33">
        <f t="shared" si="1"/>
        <v>218</v>
      </c>
      <c r="M8" s="30" t="s">
        <v>25</v>
      </c>
      <c r="N8" s="31">
        <v>2230.4</v>
      </c>
      <c r="O8" s="24"/>
      <c r="P8" s="25"/>
      <c r="Q8" s="32">
        <f t="shared" si="2"/>
        <v>2230.4</v>
      </c>
    </row>
    <row r="9" spans="1:17" ht="15.75" x14ac:dyDescent="0.25">
      <c r="A9" s="86">
        <v>43595</v>
      </c>
      <c r="B9" s="87">
        <v>3653</v>
      </c>
      <c r="C9" s="88" t="s">
        <v>8</v>
      </c>
      <c r="D9" s="102">
        <v>12425.35</v>
      </c>
      <c r="E9" s="103">
        <v>43596</v>
      </c>
      <c r="F9" s="96">
        <v>12425.35</v>
      </c>
      <c r="G9" s="32">
        <f t="shared" si="0"/>
        <v>0</v>
      </c>
      <c r="H9" s="2"/>
      <c r="K9" s="28">
        <v>43620</v>
      </c>
      <c r="L9" s="33">
        <f t="shared" si="1"/>
        <v>219</v>
      </c>
      <c r="M9" s="36" t="s">
        <v>26</v>
      </c>
      <c r="N9" s="31">
        <v>0</v>
      </c>
      <c r="O9" s="24"/>
      <c r="P9" s="25"/>
      <c r="Q9" s="32">
        <f t="shared" si="2"/>
        <v>0</v>
      </c>
    </row>
    <row r="10" spans="1:17" ht="15.75" x14ac:dyDescent="0.25">
      <c r="A10" s="86">
        <v>43595</v>
      </c>
      <c r="B10" s="87">
        <v>3654</v>
      </c>
      <c r="C10" s="88" t="s">
        <v>29</v>
      </c>
      <c r="D10" s="102">
        <v>6369.4</v>
      </c>
      <c r="E10" s="103">
        <v>43595</v>
      </c>
      <c r="F10" s="96">
        <v>6369.4</v>
      </c>
      <c r="G10" s="32">
        <f t="shared" si="0"/>
        <v>0</v>
      </c>
      <c r="H10" s="2"/>
      <c r="K10" s="28">
        <v>43621</v>
      </c>
      <c r="L10" s="33">
        <f t="shared" si="1"/>
        <v>220</v>
      </c>
      <c r="M10" s="34" t="s">
        <v>25</v>
      </c>
      <c r="N10" s="31">
        <v>300</v>
      </c>
      <c r="O10" s="24"/>
      <c r="P10" s="25"/>
      <c r="Q10" s="32">
        <f t="shared" si="2"/>
        <v>300</v>
      </c>
    </row>
    <row r="11" spans="1:17" ht="15.75" x14ac:dyDescent="0.25">
      <c r="A11" s="86">
        <v>43595</v>
      </c>
      <c r="B11" s="87">
        <v>3655</v>
      </c>
      <c r="C11" s="88" t="s">
        <v>10</v>
      </c>
      <c r="D11" s="102">
        <v>5130</v>
      </c>
      <c r="E11" s="103">
        <v>43596</v>
      </c>
      <c r="F11" s="96">
        <v>5130</v>
      </c>
      <c r="G11" s="32">
        <f t="shared" si="0"/>
        <v>0</v>
      </c>
      <c r="H11" s="2"/>
      <c r="K11" s="28"/>
      <c r="L11" s="33"/>
      <c r="M11" s="34"/>
      <c r="N11" s="31"/>
      <c r="O11" s="24"/>
      <c r="P11" s="25"/>
      <c r="Q11" s="32">
        <f t="shared" si="2"/>
        <v>0</v>
      </c>
    </row>
    <row r="12" spans="1:17" ht="15.75" x14ac:dyDescent="0.25">
      <c r="A12" s="86">
        <v>43596</v>
      </c>
      <c r="B12" s="87">
        <v>3656</v>
      </c>
      <c r="C12" s="88" t="s">
        <v>7</v>
      </c>
      <c r="D12" s="102">
        <v>8955</v>
      </c>
      <c r="E12" s="103">
        <v>43596</v>
      </c>
      <c r="F12" s="96">
        <v>8955</v>
      </c>
      <c r="G12" s="32">
        <f t="shared" si="0"/>
        <v>0</v>
      </c>
      <c r="H12" s="2"/>
      <c r="K12" s="28"/>
      <c r="L12" s="33"/>
      <c r="M12" s="34"/>
      <c r="N12" s="31"/>
      <c r="O12" s="24"/>
      <c r="P12" s="25"/>
      <c r="Q12" s="32">
        <f t="shared" si="2"/>
        <v>0</v>
      </c>
    </row>
    <row r="13" spans="1:17" ht="15.75" x14ac:dyDescent="0.25">
      <c r="A13" s="86">
        <v>43596</v>
      </c>
      <c r="B13" s="87">
        <v>3657</v>
      </c>
      <c r="C13" s="88" t="s">
        <v>9</v>
      </c>
      <c r="D13" s="102">
        <v>61110.400000000001</v>
      </c>
      <c r="E13" s="103">
        <v>43599</v>
      </c>
      <c r="F13" s="96">
        <v>61110.400000000001</v>
      </c>
      <c r="G13" s="32">
        <f t="shared" si="0"/>
        <v>0</v>
      </c>
      <c r="H13" s="2"/>
      <c r="K13" s="28"/>
      <c r="L13" s="33"/>
      <c r="M13" s="30"/>
      <c r="N13" s="31"/>
      <c r="O13" s="24"/>
      <c r="P13" s="25"/>
      <c r="Q13" s="32">
        <f t="shared" si="2"/>
        <v>0</v>
      </c>
    </row>
    <row r="14" spans="1:17" ht="15.75" x14ac:dyDescent="0.25">
      <c r="A14" s="86">
        <v>43596</v>
      </c>
      <c r="B14" s="87">
        <v>3658</v>
      </c>
      <c r="C14" s="88" t="s">
        <v>32</v>
      </c>
      <c r="D14" s="102">
        <v>5611.44</v>
      </c>
      <c r="E14" s="103">
        <v>43596</v>
      </c>
      <c r="F14" s="96">
        <v>5611.44</v>
      </c>
      <c r="G14" s="32">
        <f t="shared" si="0"/>
        <v>0</v>
      </c>
      <c r="H14" s="2"/>
      <c r="K14" s="28"/>
      <c r="L14" s="33"/>
      <c r="M14" s="34"/>
      <c r="N14" s="31"/>
      <c r="O14" s="24"/>
      <c r="P14" s="25"/>
      <c r="Q14" s="32">
        <f t="shared" si="2"/>
        <v>0</v>
      </c>
    </row>
    <row r="15" spans="1:17" ht="30" x14ac:dyDescent="0.25">
      <c r="A15" s="86">
        <v>43596</v>
      </c>
      <c r="B15" s="87">
        <v>3659</v>
      </c>
      <c r="C15" s="104" t="s">
        <v>32</v>
      </c>
      <c r="D15" s="102">
        <v>5000.24</v>
      </c>
      <c r="E15" s="103" t="s">
        <v>49</v>
      </c>
      <c r="F15" s="96">
        <f>2500+2500.24</f>
        <v>5000.24</v>
      </c>
      <c r="G15" s="32">
        <f t="shared" si="0"/>
        <v>0</v>
      </c>
      <c r="H15" s="2"/>
      <c r="K15" s="28"/>
      <c r="L15" s="33"/>
      <c r="M15" s="30"/>
      <c r="N15" s="31"/>
      <c r="O15" s="24"/>
      <c r="P15" s="25"/>
      <c r="Q15" s="32">
        <f t="shared" si="2"/>
        <v>0</v>
      </c>
    </row>
    <row r="16" spans="1:17" ht="15.75" x14ac:dyDescent="0.25">
      <c r="A16" s="86">
        <v>43596</v>
      </c>
      <c r="B16" s="87">
        <v>3660</v>
      </c>
      <c r="C16" s="88" t="s">
        <v>11</v>
      </c>
      <c r="D16" s="102">
        <v>6579</v>
      </c>
      <c r="E16" s="103">
        <v>43596</v>
      </c>
      <c r="F16" s="96">
        <v>6579</v>
      </c>
      <c r="G16" s="32">
        <f t="shared" si="0"/>
        <v>0</v>
      </c>
      <c r="H16" s="2"/>
      <c r="K16" s="28"/>
      <c r="L16" s="33"/>
      <c r="M16" s="30"/>
      <c r="N16" s="31"/>
      <c r="O16" s="24"/>
      <c r="P16" s="25"/>
      <c r="Q16" s="32">
        <f t="shared" si="2"/>
        <v>0</v>
      </c>
    </row>
    <row r="17" spans="1:17" ht="15.75" x14ac:dyDescent="0.25">
      <c r="A17" s="86">
        <v>43596</v>
      </c>
      <c r="B17" s="87">
        <v>3661</v>
      </c>
      <c r="C17" s="104" t="s">
        <v>8</v>
      </c>
      <c r="D17" s="102">
        <v>11698.2</v>
      </c>
      <c r="E17" s="103">
        <v>43597</v>
      </c>
      <c r="F17" s="96">
        <v>11698.2</v>
      </c>
      <c r="G17" s="32">
        <f t="shared" si="0"/>
        <v>0</v>
      </c>
      <c r="H17" s="2"/>
      <c r="K17" s="75"/>
      <c r="L17" s="33"/>
      <c r="M17" s="36"/>
      <c r="N17" s="31"/>
      <c r="O17" s="24"/>
      <c r="P17" s="25"/>
      <c r="Q17" s="32">
        <f t="shared" si="2"/>
        <v>0</v>
      </c>
    </row>
    <row r="18" spans="1:17" ht="15.75" x14ac:dyDescent="0.25">
      <c r="A18" s="86">
        <v>43596</v>
      </c>
      <c r="B18" s="87">
        <v>3662</v>
      </c>
      <c r="C18" s="104" t="s">
        <v>10</v>
      </c>
      <c r="D18" s="102">
        <v>5290.4</v>
      </c>
      <c r="E18" s="103">
        <v>43597</v>
      </c>
      <c r="F18" s="96">
        <v>5290.4</v>
      </c>
      <c r="G18" s="32">
        <f t="shared" si="0"/>
        <v>0</v>
      </c>
      <c r="H18" s="2"/>
      <c r="K18" s="75"/>
      <c r="L18" s="33"/>
      <c r="M18" s="34"/>
      <c r="N18" s="31"/>
      <c r="O18" s="24"/>
      <c r="P18" s="25"/>
      <c r="Q18" s="32">
        <f t="shared" si="2"/>
        <v>0</v>
      </c>
    </row>
    <row r="19" spans="1:17" ht="30" x14ac:dyDescent="0.25">
      <c r="A19" s="86">
        <v>43596</v>
      </c>
      <c r="B19" s="87">
        <v>3663</v>
      </c>
      <c r="C19" s="88" t="s">
        <v>11</v>
      </c>
      <c r="D19" s="102">
        <v>22125.35</v>
      </c>
      <c r="E19" s="103" t="s">
        <v>49</v>
      </c>
      <c r="F19" s="96">
        <f>8521+13604.35</f>
        <v>22125.35</v>
      </c>
      <c r="G19" s="93">
        <f t="shared" si="0"/>
        <v>0</v>
      </c>
      <c r="H19" s="2"/>
      <c r="K19" s="75"/>
      <c r="L19" s="33"/>
      <c r="M19" s="30"/>
      <c r="N19" s="31"/>
      <c r="O19" s="24"/>
      <c r="P19" s="25"/>
      <c r="Q19" s="32">
        <f t="shared" si="2"/>
        <v>0</v>
      </c>
    </row>
    <row r="20" spans="1:17" ht="15.75" x14ac:dyDescent="0.25">
      <c r="A20" s="86">
        <v>43597</v>
      </c>
      <c r="B20" s="87">
        <v>3664</v>
      </c>
      <c r="C20" s="88" t="s">
        <v>32</v>
      </c>
      <c r="D20" s="102">
        <v>5697</v>
      </c>
      <c r="E20" s="103">
        <v>43601</v>
      </c>
      <c r="F20" s="96">
        <v>5697</v>
      </c>
      <c r="G20" s="32">
        <f t="shared" si="0"/>
        <v>0</v>
      </c>
      <c r="H20" s="2"/>
      <c r="K20" s="28"/>
      <c r="L20" s="33"/>
      <c r="M20" s="30"/>
      <c r="N20" s="31"/>
      <c r="O20" s="24"/>
      <c r="P20" s="25"/>
      <c r="Q20" s="32">
        <f t="shared" si="2"/>
        <v>0</v>
      </c>
    </row>
    <row r="21" spans="1:17" ht="30" x14ac:dyDescent="0.25">
      <c r="A21" s="86">
        <v>43597</v>
      </c>
      <c r="B21" s="87">
        <v>3665</v>
      </c>
      <c r="C21" s="88" t="s">
        <v>12</v>
      </c>
      <c r="D21" s="102">
        <v>8738.4</v>
      </c>
      <c r="E21" s="103" t="s">
        <v>52</v>
      </c>
      <c r="F21" s="96">
        <f>5253+3485.4</f>
        <v>8738.4</v>
      </c>
      <c r="G21" s="32">
        <f t="shared" si="0"/>
        <v>0</v>
      </c>
      <c r="H21" s="2"/>
      <c r="K21" s="28"/>
      <c r="L21" s="33"/>
      <c r="M21" s="30"/>
      <c r="N21" s="31"/>
      <c r="O21" s="24"/>
      <c r="P21" s="25"/>
      <c r="Q21" s="32">
        <f t="shared" si="2"/>
        <v>0</v>
      </c>
    </row>
    <row r="22" spans="1:17" ht="15.75" x14ac:dyDescent="0.25">
      <c r="A22" s="86">
        <v>43597</v>
      </c>
      <c r="B22" s="87">
        <v>3666</v>
      </c>
      <c r="C22" s="88" t="s">
        <v>8</v>
      </c>
      <c r="D22" s="102">
        <v>6444</v>
      </c>
      <c r="E22" s="103">
        <v>43597</v>
      </c>
      <c r="F22" s="96">
        <v>6444</v>
      </c>
      <c r="G22" s="32">
        <f t="shared" si="0"/>
        <v>0</v>
      </c>
      <c r="H22" s="2"/>
      <c r="K22" s="28"/>
      <c r="L22" s="33"/>
      <c r="M22" s="30"/>
      <c r="N22" s="31"/>
      <c r="O22" s="24"/>
      <c r="P22" s="25"/>
      <c r="Q22" s="32">
        <f t="shared" si="2"/>
        <v>0</v>
      </c>
    </row>
    <row r="23" spans="1:17" ht="15.75" x14ac:dyDescent="0.25">
      <c r="A23" s="86">
        <v>43597</v>
      </c>
      <c r="B23" s="87">
        <v>3667</v>
      </c>
      <c r="C23" s="88" t="s">
        <v>10</v>
      </c>
      <c r="D23" s="102">
        <v>5170.3999999999996</v>
      </c>
      <c r="E23" s="103">
        <v>43598</v>
      </c>
      <c r="F23" s="96">
        <v>5170.3999999999996</v>
      </c>
      <c r="G23" s="32">
        <f t="shared" si="0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43598</v>
      </c>
      <c r="B24" s="87">
        <v>3668</v>
      </c>
      <c r="C24" s="88" t="s">
        <v>11</v>
      </c>
      <c r="D24" s="102">
        <v>11396.04</v>
      </c>
      <c r="E24" s="103">
        <v>43598</v>
      </c>
      <c r="F24" s="96">
        <v>11396.04</v>
      </c>
      <c r="G24" s="32">
        <f t="shared" si="0"/>
        <v>0</v>
      </c>
      <c r="H24" s="2"/>
      <c r="K24" s="28"/>
      <c r="L24" s="33"/>
      <c r="M24" s="30"/>
      <c r="N24" s="31"/>
      <c r="O24" s="24"/>
      <c r="P24" s="25"/>
      <c r="Q24" s="32">
        <f t="shared" ref="Q24:Q37" si="3">N24-P24</f>
        <v>0</v>
      </c>
    </row>
    <row r="25" spans="1:17" ht="15.75" x14ac:dyDescent="0.25">
      <c r="A25" s="86">
        <v>43598</v>
      </c>
      <c r="B25" s="87">
        <v>3669</v>
      </c>
      <c r="C25" s="88" t="s">
        <v>8</v>
      </c>
      <c r="D25" s="102">
        <v>11970</v>
      </c>
      <c r="E25" s="103">
        <v>43598</v>
      </c>
      <c r="F25" s="96">
        <v>11970</v>
      </c>
      <c r="G25" s="32">
        <f t="shared" si="0"/>
        <v>0</v>
      </c>
      <c r="H25" s="2"/>
      <c r="K25" s="28"/>
      <c r="L25" s="33"/>
      <c r="M25" s="30"/>
      <c r="N25" s="31"/>
      <c r="O25" s="24"/>
      <c r="P25" s="25"/>
      <c r="Q25" s="32">
        <f t="shared" si="3"/>
        <v>0</v>
      </c>
    </row>
    <row r="26" spans="1:17" ht="15.75" x14ac:dyDescent="0.25">
      <c r="A26" s="86">
        <v>43598</v>
      </c>
      <c r="B26" s="87">
        <v>3670</v>
      </c>
      <c r="C26" s="88" t="s">
        <v>11</v>
      </c>
      <c r="D26" s="102">
        <v>6872.4</v>
      </c>
      <c r="E26" s="103">
        <v>43601</v>
      </c>
      <c r="F26" s="96">
        <v>6872.4</v>
      </c>
      <c r="G26" s="32">
        <f t="shared" si="0"/>
        <v>0</v>
      </c>
      <c r="H26" s="2"/>
      <c r="K26" s="28"/>
      <c r="L26" s="33"/>
      <c r="M26" s="37"/>
      <c r="N26" s="38"/>
      <c r="O26" s="24"/>
      <c r="P26" s="25"/>
      <c r="Q26" s="32">
        <f t="shared" si="3"/>
        <v>0</v>
      </c>
    </row>
    <row r="27" spans="1:17" ht="15.75" x14ac:dyDescent="0.25">
      <c r="A27" s="86">
        <v>43598</v>
      </c>
      <c r="B27" s="87">
        <v>3671</v>
      </c>
      <c r="C27" s="104" t="s">
        <v>13</v>
      </c>
      <c r="D27" s="102">
        <v>2632</v>
      </c>
      <c r="E27" s="103">
        <v>43598</v>
      </c>
      <c r="F27" s="96">
        <v>2632</v>
      </c>
      <c r="G27" s="32">
        <f t="shared" si="0"/>
        <v>0</v>
      </c>
      <c r="H27" s="2"/>
      <c r="K27" s="28"/>
      <c r="L27" s="33"/>
      <c r="M27" s="36"/>
      <c r="N27" s="31"/>
      <c r="O27" s="24"/>
      <c r="P27" s="25"/>
      <c r="Q27" s="32">
        <f t="shared" si="3"/>
        <v>0</v>
      </c>
    </row>
    <row r="28" spans="1:17" ht="15.75" x14ac:dyDescent="0.25">
      <c r="A28" s="86">
        <v>43598</v>
      </c>
      <c r="B28" s="87">
        <v>3672</v>
      </c>
      <c r="C28" s="88" t="s">
        <v>10</v>
      </c>
      <c r="D28" s="102">
        <v>1067.2</v>
      </c>
      <c r="E28" s="103">
        <v>43600</v>
      </c>
      <c r="F28" s="96">
        <v>1067.2</v>
      </c>
      <c r="G28" s="32">
        <f t="shared" si="0"/>
        <v>0</v>
      </c>
      <c r="H28" s="2"/>
      <c r="K28" s="28"/>
      <c r="L28" s="33"/>
      <c r="M28" s="30"/>
      <c r="N28" s="31"/>
      <c r="O28" s="24"/>
      <c r="P28" s="25"/>
      <c r="Q28" s="32">
        <f t="shared" si="3"/>
        <v>0</v>
      </c>
    </row>
    <row r="29" spans="1:17" ht="15.75" x14ac:dyDescent="0.25">
      <c r="A29" s="86">
        <v>43599</v>
      </c>
      <c r="B29" s="87">
        <v>3673</v>
      </c>
      <c r="C29" s="88" t="s">
        <v>9</v>
      </c>
      <c r="D29" s="102">
        <v>4403.8</v>
      </c>
      <c r="E29" s="103">
        <v>43599</v>
      </c>
      <c r="F29" s="96">
        <v>4403.8</v>
      </c>
      <c r="G29" s="32">
        <f t="shared" si="0"/>
        <v>0</v>
      </c>
      <c r="H29" s="2"/>
      <c r="K29" s="28"/>
      <c r="L29" s="33"/>
      <c r="M29" s="37"/>
      <c r="N29" s="31"/>
      <c r="O29" s="24"/>
      <c r="P29" s="25"/>
      <c r="Q29" s="32">
        <f t="shared" si="3"/>
        <v>0</v>
      </c>
    </row>
    <row r="30" spans="1:17" ht="15.75" x14ac:dyDescent="0.25">
      <c r="A30" s="86">
        <v>43599</v>
      </c>
      <c r="B30" s="87">
        <v>3674</v>
      </c>
      <c r="C30" s="88" t="s">
        <v>9</v>
      </c>
      <c r="D30" s="102">
        <v>4118.2</v>
      </c>
      <c r="E30" s="103">
        <v>43599</v>
      </c>
      <c r="F30" s="96">
        <v>4118.2</v>
      </c>
      <c r="G30" s="32">
        <f t="shared" si="0"/>
        <v>0</v>
      </c>
      <c r="H30" s="2"/>
      <c r="K30" s="28"/>
      <c r="L30" s="39"/>
      <c r="M30" s="30"/>
      <c r="N30" s="31"/>
      <c r="O30" s="24"/>
      <c r="P30" s="25"/>
      <c r="Q30" s="32">
        <f t="shared" si="3"/>
        <v>0</v>
      </c>
    </row>
    <row r="31" spans="1:17" ht="30" x14ac:dyDescent="0.25">
      <c r="A31" s="86">
        <v>43600</v>
      </c>
      <c r="B31" s="87">
        <v>3675</v>
      </c>
      <c r="C31" s="88" t="s">
        <v>11</v>
      </c>
      <c r="D31" s="102">
        <v>5564.8</v>
      </c>
      <c r="E31" s="103" t="s">
        <v>51</v>
      </c>
      <c r="F31" s="96">
        <f>2127.5+3437.3</f>
        <v>5564.8</v>
      </c>
      <c r="G31" s="32">
        <f t="shared" si="0"/>
        <v>0</v>
      </c>
      <c r="H31" s="2"/>
      <c r="K31" s="28"/>
      <c r="L31" s="29"/>
      <c r="M31" s="30"/>
      <c r="N31" s="31"/>
      <c r="O31" s="24"/>
      <c r="P31" s="25"/>
      <c r="Q31" s="32">
        <f t="shared" si="3"/>
        <v>0</v>
      </c>
    </row>
    <row r="32" spans="1:17" ht="15.75" x14ac:dyDescent="0.25">
      <c r="A32" s="86">
        <v>43600</v>
      </c>
      <c r="B32" s="87">
        <v>3676</v>
      </c>
      <c r="C32" s="88" t="s">
        <v>10</v>
      </c>
      <c r="D32" s="102">
        <v>4540.8</v>
      </c>
      <c r="E32" s="103">
        <v>43601</v>
      </c>
      <c r="F32" s="96">
        <v>4540.8</v>
      </c>
      <c r="G32" s="32">
        <f t="shared" si="0"/>
        <v>0</v>
      </c>
      <c r="H32" s="2"/>
      <c r="K32" s="28"/>
      <c r="L32" s="39"/>
      <c r="M32" s="37"/>
      <c r="N32" s="31"/>
      <c r="O32" s="24"/>
      <c r="P32" s="25"/>
      <c r="Q32" s="32">
        <f t="shared" si="3"/>
        <v>0</v>
      </c>
    </row>
    <row r="33" spans="1:17" ht="15.75" x14ac:dyDescent="0.25">
      <c r="A33" s="86">
        <v>43600</v>
      </c>
      <c r="B33" s="87">
        <v>3677</v>
      </c>
      <c r="C33" s="88" t="s">
        <v>13</v>
      </c>
      <c r="D33" s="102">
        <v>2832</v>
      </c>
      <c r="E33" s="103">
        <v>43600</v>
      </c>
      <c r="F33" s="96">
        <v>2832</v>
      </c>
      <c r="G33" s="32">
        <f t="shared" si="0"/>
        <v>0</v>
      </c>
      <c r="H33" s="2"/>
      <c r="K33" s="28"/>
      <c r="L33" s="29"/>
      <c r="M33" s="30"/>
      <c r="N33" s="31"/>
      <c r="O33" s="24"/>
      <c r="P33" s="25"/>
      <c r="Q33" s="32">
        <f t="shared" si="3"/>
        <v>0</v>
      </c>
    </row>
    <row r="34" spans="1:17" ht="30" x14ac:dyDescent="0.25">
      <c r="A34" s="86">
        <v>43601</v>
      </c>
      <c r="B34" s="87">
        <v>3678</v>
      </c>
      <c r="C34" s="88" t="s">
        <v>11</v>
      </c>
      <c r="D34" s="102">
        <v>13780.4</v>
      </c>
      <c r="E34" s="103" t="s">
        <v>53</v>
      </c>
      <c r="F34" s="96">
        <f>5562.5+6000+2217.9</f>
        <v>13780.4</v>
      </c>
      <c r="G34" s="32">
        <f t="shared" si="0"/>
        <v>0</v>
      </c>
      <c r="H34" s="2"/>
      <c r="K34" s="28"/>
      <c r="L34" s="39"/>
      <c r="M34" s="30"/>
      <c r="N34" s="31"/>
      <c r="O34" s="24"/>
      <c r="P34" s="25"/>
      <c r="Q34" s="32">
        <f t="shared" si="3"/>
        <v>0</v>
      </c>
    </row>
    <row r="35" spans="1:17" ht="15.75" x14ac:dyDescent="0.25">
      <c r="A35" s="86">
        <v>43601</v>
      </c>
      <c r="B35" s="87">
        <v>3679</v>
      </c>
      <c r="C35" s="88" t="s">
        <v>8</v>
      </c>
      <c r="D35" s="102">
        <v>11205.6</v>
      </c>
      <c r="E35" s="103">
        <v>43601</v>
      </c>
      <c r="F35" s="96">
        <v>11205.6</v>
      </c>
      <c r="G35" s="32">
        <f t="shared" si="0"/>
        <v>0</v>
      </c>
      <c r="H35" s="2"/>
      <c r="K35" s="28"/>
      <c r="L35" s="39"/>
      <c r="M35" s="30"/>
      <c r="N35" s="31"/>
      <c r="O35" s="24"/>
      <c r="P35" s="25"/>
      <c r="Q35" s="32">
        <f t="shared" si="3"/>
        <v>0</v>
      </c>
    </row>
    <row r="36" spans="1:17" ht="15.75" x14ac:dyDescent="0.25">
      <c r="A36" s="86">
        <v>43601</v>
      </c>
      <c r="B36" s="87">
        <v>3680</v>
      </c>
      <c r="C36" s="88" t="s">
        <v>13</v>
      </c>
      <c r="D36" s="102">
        <v>3744</v>
      </c>
      <c r="E36" s="103">
        <v>43601</v>
      </c>
      <c r="F36" s="96">
        <v>3744</v>
      </c>
      <c r="G36" s="32">
        <f t="shared" si="0"/>
        <v>0</v>
      </c>
      <c r="H36" s="2"/>
      <c r="K36" s="28"/>
      <c r="L36" s="39"/>
      <c r="M36" s="30"/>
      <c r="N36" s="31"/>
      <c r="O36" s="24"/>
      <c r="P36" s="25"/>
      <c r="Q36" s="32">
        <f t="shared" si="3"/>
        <v>0</v>
      </c>
    </row>
    <row r="37" spans="1:17" ht="15.75" x14ac:dyDescent="0.25">
      <c r="A37" s="86">
        <v>43601</v>
      </c>
      <c r="B37" s="87">
        <v>3681</v>
      </c>
      <c r="C37" s="88" t="s">
        <v>10</v>
      </c>
      <c r="D37" s="89">
        <v>6086.4</v>
      </c>
      <c r="E37" s="107">
        <v>43602</v>
      </c>
      <c r="F37" s="89">
        <v>6086.4</v>
      </c>
      <c r="G37" s="32">
        <f t="shared" si="0"/>
        <v>0</v>
      </c>
      <c r="H37" s="2"/>
      <c r="K37" s="28"/>
      <c r="L37" s="39"/>
      <c r="M37" s="30"/>
      <c r="N37" s="40"/>
      <c r="O37" s="41"/>
      <c r="P37" s="40"/>
      <c r="Q37" s="42">
        <f t="shared" si="3"/>
        <v>0</v>
      </c>
    </row>
    <row r="38" spans="1:17" ht="16.5" thickBot="1" x14ac:dyDescent="0.3">
      <c r="A38" s="86">
        <v>43601</v>
      </c>
      <c r="B38" s="87">
        <v>3682</v>
      </c>
      <c r="C38" s="88" t="s">
        <v>32</v>
      </c>
      <c r="D38" s="89">
        <v>7299.4</v>
      </c>
      <c r="E38" s="103">
        <v>43611</v>
      </c>
      <c r="F38" s="96">
        <v>7299.4</v>
      </c>
      <c r="G38" s="32">
        <f t="shared" si="0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30.75" thickTop="1" x14ac:dyDescent="0.25">
      <c r="A39" s="86">
        <v>43601</v>
      </c>
      <c r="B39" s="87">
        <v>3683</v>
      </c>
      <c r="C39" s="104" t="s">
        <v>11</v>
      </c>
      <c r="D39" s="89">
        <v>11905</v>
      </c>
      <c r="E39" s="103" t="s">
        <v>54</v>
      </c>
      <c r="F39" s="96">
        <f>1782+10123</f>
        <v>11905</v>
      </c>
      <c r="G39" s="32">
        <f t="shared" si="0"/>
        <v>0</v>
      </c>
      <c r="H39" s="2"/>
      <c r="K39" s="49"/>
      <c r="L39" s="50"/>
      <c r="M39" s="2"/>
      <c r="N39" s="51">
        <f>SUM(N4:N38)</f>
        <v>15250</v>
      </c>
      <c r="O39" s="52"/>
      <c r="P39" s="53">
        <f>SUM(P4:P38)</f>
        <v>0</v>
      </c>
      <c r="Q39" s="54">
        <f>SUM(Q4:Q38)</f>
        <v>15250</v>
      </c>
    </row>
    <row r="40" spans="1:17" ht="15.75" x14ac:dyDescent="0.25">
      <c r="A40" s="86">
        <v>43601</v>
      </c>
      <c r="B40" s="87">
        <v>3684</v>
      </c>
      <c r="C40" s="88" t="s">
        <v>8</v>
      </c>
      <c r="D40" s="89">
        <v>10841.8</v>
      </c>
      <c r="E40" s="103">
        <v>43603</v>
      </c>
      <c r="F40" s="96">
        <v>10841.8</v>
      </c>
      <c r="G40" s="32">
        <f t="shared" si="0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43601</v>
      </c>
      <c r="B41" s="87">
        <v>3685</v>
      </c>
      <c r="C41" s="88" t="s">
        <v>13</v>
      </c>
      <c r="D41" s="89">
        <v>3139.2</v>
      </c>
      <c r="E41" s="103">
        <v>43603</v>
      </c>
      <c r="F41" s="96">
        <v>3139.2</v>
      </c>
      <c r="G41" s="32">
        <f t="shared" si="0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43603</v>
      </c>
      <c r="B42" s="87">
        <v>3686</v>
      </c>
      <c r="C42" s="88" t="s">
        <v>7</v>
      </c>
      <c r="D42" s="89">
        <v>9476</v>
      </c>
      <c r="E42" s="103">
        <v>43603</v>
      </c>
      <c r="F42" s="96">
        <v>9476</v>
      </c>
      <c r="G42" s="32">
        <f t="shared" si="0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43603</v>
      </c>
      <c r="B43" s="87">
        <v>3687</v>
      </c>
      <c r="C43" s="88" t="s">
        <v>9</v>
      </c>
      <c r="D43" s="89">
        <v>45926.35</v>
      </c>
      <c r="E43" s="103">
        <v>43614</v>
      </c>
      <c r="F43" s="96">
        <v>45926.35</v>
      </c>
      <c r="G43" s="32">
        <f t="shared" si="0"/>
        <v>0</v>
      </c>
      <c r="H43" s="2"/>
      <c r="K43" s="49"/>
      <c r="L43" s="50"/>
      <c r="M43" s="2"/>
      <c r="N43" s="126">
        <f>N39-P39</f>
        <v>15250</v>
      </c>
      <c r="O43" s="127"/>
      <c r="P43" s="128"/>
    </row>
    <row r="44" spans="1:17" ht="15.75" x14ac:dyDescent="0.25">
      <c r="A44" s="86">
        <v>43603</v>
      </c>
      <c r="B44" s="87">
        <v>3688</v>
      </c>
      <c r="C44" s="88" t="s">
        <v>8</v>
      </c>
      <c r="D44" s="89">
        <v>13460.8</v>
      </c>
      <c r="E44" s="103">
        <v>43605</v>
      </c>
      <c r="F44" s="96">
        <v>13460.8</v>
      </c>
      <c r="G44" s="32">
        <f t="shared" si="0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43603</v>
      </c>
      <c r="B45" s="87">
        <v>3689</v>
      </c>
      <c r="C45" s="88" t="s">
        <v>12</v>
      </c>
      <c r="D45" s="89">
        <v>9140.6</v>
      </c>
      <c r="E45" s="103">
        <v>43607</v>
      </c>
      <c r="F45" s="96">
        <v>9140.6</v>
      </c>
      <c r="G45" s="32">
        <f t="shared" si="0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86">
        <v>43603</v>
      </c>
      <c r="B46" s="87">
        <v>3690</v>
      </c>
      <c r="C46" s="88" t="s">
        <v>10</v>
      </c>
      <c r="D46" s="89">
        <v>5136</v>
      </c>
      <c r="E46" s="103">
        <v>43604</v>
      </c>
      <c r="F46" s="96">
        <v>5136</v>
      </c>
      <c r="G46" s="32">
        <f t="shared" si="0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30" x14ac:dyDescent="0.25">
      <c r="A47" s="86">
        <v>43603</v>
      </c>
      <c r="B47" s="87">
        <v>3691</v>
      </c>
      <c r="C47" s="88" t="s">
        <v>11</v>
      </c>
      <c r="D47" s="89">
        <v>19663.900000000001</v>
      </c>
      <c r="E47" s="103" t="s">
        <v>55</v>
      </c>
      <c r="F47" s="96">
        <f>6500+13163.9</f>
        <v>19663.900000000001</v>
      </c>
      <c r="G47" s="32">
        <f t="shared" si="0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43603</v>
      </c>
      <c r="B48" s="87">
        <v>3692</v>
      </c>
      <c r="C48" s="88" t="s">
        <v>13</v>
      </c>
      <c r="D48" s="89">
        <v>2745.6</v>
      </c>
      <c r="E48" s="103">
        <v>43604</v>
      </c>
      <c r="F48" s="96">
        <v>2745.6</v>
      </c>
      <c r="G48" s="32">
        <f t="shared" si="0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43604</v>
      </c>
      <c r="B49" s="87">
        <v>3693</v>
      </c>
      <c r="C49" s="88" t="s">
        <v>7</v>
      </c>
      <c r="D49" s="89">
        <v>4254.3999999999996</v>
      </c>
      <c r="E49" s="103">
        <v>43604</v>
      </c>
      <c r="F49" s="96">
        <v>4254.3999999999996</v>
      </c>
      <c r="G49" s="32">
        <f t="shared" si="0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43604</v>
      </c>
      <c r="B50" s="87">
        <v>3694</v>
      </c>
      <c r="C50" s="88" t="s">
        <v>29</v>
      </c>
      <c r="D50" s="89">
        <v>7662</v>
      </c>
      <c r="E50" s="103">
        <v>43604</v>
      </c>
      <c r="F50" s="96">
        <v>7662</v>
      </c>
      <c r="G50" s="32">
        <f t="shared" si="0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30" x14ac:dyDescent="0.25">
      <c r="A51" s="86">
        <v>43604</v>
      </c>
      <c r="B51" s="87">
        <v>3695</v>
      </c>
      <c r="C51" s="88" t="s">
        <v>11</v>
      </c>
      <c r="D51" s="89">
        <v>14297.4</v>
      </c>
      <c r="E51" s="103" t="s">
        <v>56</v>
      </c>
      <c r="F51" s="96">
        <f>11836+2461.4</f>
        <v>14297.4</v>
      </c>
      <c r="G51" s="32">
        <f t="shared" si="0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43604</v>
      </c>
      <c r="B52" s="87">
        <v>3696</v>
      </c>
      <c r="C52" s="88" t="s">
        <v>10</v>
      </c>
      <c r="D52" s="89">
        <v>5233.2</v>
      </c>
      <c r="E52" s="103">
        <v>43605</v>
      </c>
      <c r="F52" s="96">
        <v>5233.2</v>
      </c>
      <c r="G52" s="32">
        <f t="shared" si="0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43604</v>
      </c>
      <c r="B53" s="87">
        <v>3697</v>
      </c>
      <c r="C53" s="88" t="s">
        <v>13</v>
      </c>
      <c r="D53" s="89">
        <v>3614.6</v>
      </c>
      <c r="E53" s="103">
        <v>43605</v>
      </c>
      <c r="F53" s="96">
        <v>3614.6</v>
      </c>
      <c r="G53" s="93">
        <f t="shared" si="0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43604</v>
      </c>
      <c r="B54" s="87">
        <v>3698</v>
      </c>
      <c r="C54" s="88" t="s">
        <v>10</v>
      </c>
      <c r="D54" s="89">
        <v>2979.2</v>
      </c>
      <c r="E54" s="103">
        <v>43606</v>
      </c>
      <c r="F54" s="96">
        <v>2979.2</v>
      </c>
      <c r="G54" s="32">
        <f t="shared" si="0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43606</v>
      </c>
      <c r="B55" s="87">
        <v>3699</v>
      </c>
      <c r="C55" s="88" t="s">
        <v>9</v>
      </c>
      <c r="D55" s="89">
        <v>4810</v>
      </c>
      <c r="E55" s="103">
        <v>43606</v>
      </c>
      <c r="F55" s="96">
        <v>4810</v>
      </c>
      <c r="G55" s="32">
        <f t="shared" si="0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43606</v>
      </c>
      <c r="B56" s="87">
        <v>3700</v>
      </c>
      <c r="C56" s="88" t="s">
        <v>10</v>
      </c>
      <c r="D56" s="89">
        <v>3675</v>
      </c>
      <c r="E56" s="103">
        <v>43607</v>
      </c>
      <c r="F56" s="96">
        <v>3675</v>
      </c>
      <c r="G56" s="32">
        <f t="shared" si="0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43607</v>
      </c>
      <c r="B57" s="87">
        <v>3701</v>
      </c>
      <c r="C57" s="88" t="s">
        <v>12</v>
      </c>
      <c r="D57" s="89">
        <v>9651.7999999999993</v>
      </c>
      <c r="E57" s="103">
        <v>43615</v>
      </c>
      <c r="F57" s="96">
        <v>9651.7999999999993</v>
      </c>
      <c r="G57" s="32">
        <f t="shared" si="0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43607</v>
      </c>
      <c r="B58" s="87">
        <v>3702</v>
      </c>
      <c r="C58" s="88" t="s">
        <v>10</v>
      </c>
      <c r="D58" s="89">
        <v>3165.4</v>
      </c>
      <c r="E58" s="103">
        <v>43609</v>
      </c>
      <c r="F58" s="96">
        <v>3165.4</v>
      </c>
      <c r="G58" s="32">
        <f t="shared" si="0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43607</v>
      </c>
      <c r="B59" s="87">
        <v>3703</v>
      </c>
      <c r="C59" s="88" t="s">
        <v>13</v>
      </c>
      <c r="D59" s="89">
        <v>2636.2</v>
      </c>
      <c r="E59" s="103">
        <v>43607</v>
      </c>
      <c r="F59" s="96">
        <v>2636.2</v>
      </c>
      <c r="G59" s="32">
        <f t="shared" si="0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43607</v>
      </c>
      <c r="B60" s="87">
        <v>3704</v>
      </c>
      <c r="C60" s="88" t="s">
        <v>9</v>
      </c>
      <c r="D60" s="89">
        <v>2292</v>
      </c>
      <c r="E60" s="103">
        <v>43612</v>
      </c>
      <c r="F60" s="96">
        <v>2292</v>
      </c>
      <c r="G60" s="32">
        <f t="shared" si="0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43608</v>
      </c>
      <c r="B61" s="87">
        <v>3705</v>
      </c>
      <c r="C61" s="88" t="s">
        <v>8</v>
      </c>
      <c r="D61" s="89">
        <v>8868.7999999999993</v>
      </c>
      <c r="E61" s="103">
        <v>43608</v>
      </c>
      <c r="F61" s="96">
        <v>8868.7999999999993</v>
      </c>
      <c r="G61" s="32">
        <f t="shared" si="0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43608</v>
      </c>
      <c r="B62" s="87">
        <v>3706</v>
      </c>
      <c r="C62" s="88" t="s">
        <v>10</v>
      </c>
      <c r="D62" s="89">
        <v>8049.6</v>
      </c>
      <c r="E62" s="103">
        <v>43612</v>
      </c>
      <c r="F62" s="96">
        <v>8049.6</v>
      </c>
      <c r="G62" s="32">
        <f t="shared" si="0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43608</v>
      </c>
      <c r="B63" s="87">
        <v>3707</v>
      </c>
      <c r="C63" s="88" t="s">
        <v>13</v>
      </c>
      <c r="D63" s="89">
        <v>2863</v>
      </c>
      <c r="E63" s="103">
        <v>43609</v>
      </c>
      <c r="F63" s="96">
        <v>2863</v>
      </c>
      <c r="G63" s="32">
        <f t="shared" si="0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43610</v>
      </c>
      <c r="B64" s="87">
        <v>3708</v>
      </c>
      <c r="C64" s="88" t="s">
        <v>7</v>
      </c>
      <c r="D64" s="89">
        <v>7808.8</v>
      </c>
      <c r="E64" s="103">
        <v>43610</v>
      </c>
      <c r="F64" s="96">
        <v>7808.8</v>
      </c>
      <c r="G64" s="32">
        <f t="shared" si="0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43610</v>
      </c>
      <c r="B65" s="87">
        <v>3709</v>
      </c>
      <c r="C65" s="88" t="s">
        <v>9</v>
      </c>
      <c r="D65" s="89">
        <v>41003.199999999997</v>
      </c>
      <c r="E65" s="103">
        <v>43621</v>
      </c>
      <c r="F65" s="96">
        <v>41003.199999999997</v>
      </c>
      <c r="G65" s="32">
        <f t="shared" si="0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43610</v>
      </c>
      <c r="B66" s="87">
        <v>3710</v>
      </c>
      <c r="C66" s="88" t="s">
        <v>11</v>
      </c>
      <c r="D66" s="89">
        <v>9176.2000000000007</v>
      </c>
      <c r="E66" s="103">
        <v>43610</v>
      </c>
      <c r="F66" s="96">
        <f>6000+3176.2</f>
        <v>9176.2000000000007</v>
      </c>
      <c r="G66" s="32">
        <f t="shared" si="0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43610</v>
      </c>
      <c r="B67" s="87">
        <v>3711</v>
      </c>
      <c r="C67" s="88" t="s">
        <v>13</v>
      </c>
      <c r="D67" s="89">
        <v>2474.8000000000002</v>
      </c>
      <c r="E67" s="103">
        <v>43611</v>
      </c>
      <c r="F67" s="96">
        <v>2474.8000000000002</v>
      </c>
      <c r="G67" s="32">
        <f t="shared" si="0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43610</v>
      </c>
      <c r="B68" s="87">
        <v>3712</v>
      </c>
      <c r="C68" s="88" t="s">
        <v>18</v>
      </c>
      <c r="D68" s="89">
        <v>4625.6000000000004</v>
      </c>
      <c r="E68" s="103">
        <v>43611</v>
      </c>
      <c r="F68" s="96">
        <v>4625.6000000000004</v>
      </c>
      <c r="G68" s="32">
        <f t="shared" si="0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30" x14ac:dyDescent="0.25">
      <c r="A69" s="86">
        <v>43610</v>
      </c>
      <c r="B69" s="87">
        <v>3713</v>
      </c>
      <c r="C69" s="88" t="s">
        <v>11</v>
      </c>
      <c r="D69" s="89">
        <v>8746.2000000000007</v>
      </c>
      <c r="E69" s="103" t="s">
        <v>57</v>
      </c>
      <c r="F69" s="96">
        <f>6000+0.2+2746</f>
        <v>8746.2000000000007</v>
      </c>
      <c r="G69" s="32">
        <f t="shared" si="0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43611</v>
      </c>
      <c r="B70" s="87">
        <v>3714</v>
      </c>
      <c r="C70" s="88" t="s">
        <v>11</v>
      </c>
      <c r="D70" s="89">
        <v>13966.4</v>
      </c>
      <c r="E70" s="103">
        <v>43612</v>
      </c>
      <c r="F70" s="96">
        <v>13966.4</v>
      </c>
      <c r="G70" s="32">
        <f t="shared" si="0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43611</v>
      </c>
      <c r="B71" s="87">
        <v>3715</v>
      </c>
      <c r="C71" s="88" t="s">
        <v>13</v>
      </c>
      <c r="D71" s="89">
        <v>10195.200000000001</v>
      </c>
      <c r="E71" s="103">
        <v>43612</v>
      </c>
      <c r="F71" s="96">
        <v>10195.200000000001</v>
      </c>
      <c r="G71" s="32">
        <f t="shared" si="0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43611</v>
      </c>
      <c r="B72" s="87">
        <v>3716</v>
      </c>
      <c r="C72" s="88" t="s">
        <v>10</v>
      </c>
      <c r="D72" s="89">
        <v>2965.6</v>
      </c>
      <c r="E72" s="103">
        <v>43612</v>
      </c>
      <c r="F72" s="96">
        <v>2965.6</v>
      </c>
      <c r="G72" s="32">
        <f t="shared" si="0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43611</v>
      </c>
      <c r="B73" s="87">
        <v>3717</v>
      </c>
      <c r="C73" s="88" t="s">
        <v>11</v>
      </c>
      <c r="D73" s="89">
        <v>1008.35</v>
      </c>
      <c r="E73" s="103">
        <v>43612</v>
      </c>
      <c r="F73" s="96">
        <v>1008.35</v>
      </c>
      <c r="G73" s="32">
        <f t="shared" si="0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43612</v>
      </c>
      <c r="B74" s="87">
        <v>3718</v>
      </c>
      <c r="C74" s="88" t="s">
        <v>32</v>
      </c>
      <c r="D74" s="89">
        <v>4003.4</v>
      </c>
      <c r="E74" s="103">
        <v>43615</v>
      </c>
      <c r="F74" s="96">
        <v>4003.4</v>
      </c>
      <c r="G74" s="32">
        <f t="shared" si="0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43612</v>
      </c>
      <c r="B75" s="87">
        <v>3719</v>
      </c>
      <c r="C75" s="88" t="s">
        <v>11</v>
      </c>
      <c r="D75" s="89">
        <v>8238.7999999999993</v>
      </c>
      <c r="E75" s="103" t="s">
        <v>59</v>
      </c>
      <c r="F75" s="96">
        <f>6500+1738.8</f>
        <v>8238.7999999999993</v>
      </c>
      <c r="G75" s="32">
        <f t="shared" si="0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43612</v>
      </c>
      <c r="B76" s="87">
        <v>3720</v>
      </c>
      <c r="C76" s="88" t="s">
        <v>10</v>
      </c>
      <c r="D76" s="89">
        <v>3973.2</v>
      </c>
      <c r="E76" s="103">
        <v>43614</v>
      </c>
      <c r="F76" s="96">
        <v>3973.2</v>
      </c>
      <c r="G76" s="32">
        <f t="shared" si="0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30" x14ac:dyDescent="0.25">
      <c r="A77" s="86">
        <v>43612</v>
      </c>
      <c r="B77" s="87">
        <v>3721</v>
      </c>
      <c r="C77" s="88" t="s">
        <v>13</v>
      </c>
      <c r="D77" s="89">
        <v>5499.8</v>
      </c>
      <c r="E77" s="103" t="s">
        <v>58</v>
      </c>
      <c r="F77" s="96">
        <f>4000+1499.8</f>
        <v>5499.8</v>
      </c>
      <c r="G77" s="32">
        <f t="shared" si="0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43613</v>
      </c>
      <c r="B78" s="87">
        <v>3722</v>
      </c>
      <c r="C78" s="88" t="s">
        <v>9</v>
      </c>
      <c r="D78" s="89">
        <v>6566.5</v>
      </c>
      <c r="E78" s="103">
        <v>43613</v>
      </c>
      <c r="F78" s="96">
        <v>6566.5</v>
      </c>
      <c r="G78" s="32">
        <f t="shared" si="0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43614</v>
      </c>
      <c r="B79" s="87">
        <v>3723</v>
      </c>
      <c r="C79" s="88" t="s">
        <v>8</v>
      </c>
      <c r="D79" s="89">
        <v>10424.4</v>
      </c>
      <c r="E79" s="103">
        <v>43614</v>
      </c>
      <c r="F79" s="96">
        <v>10424.4</v>
      </c>
      <c r="G79" s="93">
        <f t="shared" si="0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30" x14ac:dyDescent="0.25">
      <c r="A80" s="86">
        <v>43614</v>
      </c>
      <c r="B80" s="87">
        <v>3724</v>
      </c>
      <c r="C80" s="88" t="s">
        <v>12</v>
      </c>
      <c r="D80" s="89">
        <v>6533</v>
      </c>
      <c r="E80" s="112" t="s">
        <v>91</v>
      </c>
      <c r="F80" s="68">
        <f>3000+3533</f>
        <v>6533</v>
      </c>
      <c r="G80" s="93">
        <f t="shared" si="0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43614</v>
      </c>
      <c r="B81" s="87">
        <v>3725</v>
      </c>
      <c r="C81" s="88" t="s">
        <v>10</v>
      </c>
      <c r="D81" s="89">
        <v>2674.6</v>
      </c>
      <c r="E81" s="103">
        <v>43616</v>
      </c>
      <c r="F81" s="96">
        <v>2674.6</v>
      </c>
      <c r="G81" s="93">
        <f t="shared" si="0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43614</v>
      </c>
      <c r="B82" s="87">
        <v>3726</v>
      </c>
      <c r="C82" s="88" t="s">
        <v>11</v>
      </c>
      <c r="D82" s="89">
        <v>8849.4</v>
      </c>
      <c r="E82" s="103">
        <v>43616</v>
      </c>
      <c r="F82" s="96">
        <v>8849.4</v>
      </c>
      <c r="G82" s="93">
        <f t="shared" si="0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43615</v>
      </c>
      <c r="B83" s="87">
        <v>3727</v>
      </c>
      <c r="C83" s="88" t="s">
        <v>11</v>
      </c>
      <c r="D83" s="89">
        <v>3792.6</v>
      </c>
      <c r="E83" s="103">
        <v>43616</v>
      </c>
      <c r="F83" s="96">
        <v>3792.6</v>
      </c>
      <c r="G83" s="93">
        <f t="shared" si="0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43615</v>
      </c>
      <c r="B84" s="87">
        <v>3728</v>
      </c>
      <c r="C84" s="88" t="s">
        <v>13</v>
      </c>
      <c r="D84" s="89">
        <v>5470.4</v>
      </c>
      <c r="E84" s="103">
        <v>43615</v>
      </c>
      <c r="F84" s="96">
        <v>5470.4</v>
      </c>
      <c r="G84" s="93">
        <f t="shared" si="0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43615</v>
      </c>
      <c r="B85" s="87">
        <v>3729</v>
      </c>
      <c r="C85" s="88" t="s">
        <v>8</v>
      </c>
      <c r="D85" s="89">
        <v>7887.6</v>
      </c>
      <c r="E85" s="103">
        <v>43615</v>
      </c>
      <c r="F85" s="96">
        <v>7887.6</v>
      </c>
      <c r="G85" s="93">
        <f t="shared" si="0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43615</v>
      </c>
      <c r="B86" s="87">
        <v>3730</v>
      </c>
      <c r="C86" s="88" t="s">
        <v>44</v>
      </c>
      <c r="D86" s="89">
        <v>1470.96</v>
      </c>
      <c r="E86" s="112">
        <v>43622</v>
      </c>
      <c r="F86" s="68">
        <v>1470.96</v>
      </c>
      <c r="G86" s="93">
        <f t="shared" si="0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43615</v>
      </c>
      <c r="B87" s="87">
        <v>3731</v>
      </c>
      <c r="C87" s="88" t="s">
        <v>10</v>
      </c>
      <c r="D87" s="89">
        <v>4562.3</v>
      </c>
      <c r="E87" s="103">
        <v>43616</v>
      </c>
      <c r="F87" s="96">
        <v>4562.3</v>
      </c>
      <c r="G87" s="93">
        <f t="shared" si="0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43616</v>
      </c>
      <c r="B88" s="87">
        <v>3732</v>
      </c>
      <c r="C88" s="88" t="s">
        <v>8</v>
      </c>
      <c r="D88" s="89">
        <v>11054.4</v>
      </c>
      <c r="E88" s="103">
        <v>43616</v>
      </c>
      <c r="F88" s="96">
        <v>11054.4</v>
      </c>
      <c r="G88" s="93">
        <f t="shared" si="0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43616</v>
      </c>
      <c r="B89" s="87">
        <v>3733</v>
      </c>
      <c r="C89" s="88" t="s">
        <v>8</v>
      </c>
      <c r="D89" s="89">
        <v>6930</v>
      </c>
      <c r="E89" s="103">
        <v>43616</v>
      </c>
      <c r="F89" s="96">
        <v>6930</v>
      </c>
      <c r="G89" s="93">
        <f t="shared" si="0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43616</v>
      </c>
      <c r="B90" s="87">
        <v>3734</v>
      </c>
      <c r="C90" s="88" t="s">
        <v>11</v>
      </c>
      <c r="D90" s="89">
        <v>10990.8</v>
      </c>
      <c r="E90" s="103" t="s">
        <v>60</v>
      </c>
      <c r="F90" s="96">
        <f>4500+6490.8</f>
        <v>10990.8</v>
      </c>
      <c r="G90" s="32">
        <f t="shared" si="0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43616</v>
      </c>
      <c r="B91" s="87">
        <v>3735</v>
      </c>
      <c r="C91" s="88" t="s">
        <v>11</v>
      </c>
      <c r="D91" s="89">
        <v>9167.6</v>
      </c>
      <c r="E91" s="103">
        <v>43617</v>
      </c>
      <c r="F91" s="96">
        <f>6000+3167.6</f>
        <v>9167.6</v>
      </c>
      <c r="G91" s="32">
        <f t="shared" si="0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43616</v>
      </c>
      <c r="B92" s="87">
        <v>3736</v>
      </c>
      <c r="C92" s="88" t="s">
        <v>13</v>
      </c>
      <c r="D92" s="89">
        <v>8584</v>
      </c>
      <c r="E92" s="103">
        <v>43617</v>
      </c>
      <c r="F92" s="96">
        <v>8584</v>
      </c>
      <c r="G92" s="32">
        <f t="shared" si="0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43616</v>
      </c>
      <c r="B93" s="87">
        <v>3737</v>
      </c>
      <c r="C93" s="88" t="s">
        <v>10</v>
      </c>
      <c r="D93" s="89">
        <v>3809.8</v>
      </c>
      <c r="E93" s="103">
        <v>43618</v>
      </c>
      <c r="F93" s="96">
        <v>3809.8</v>
      </c>
      <c r="G93" s="32">
        <f t="shared" si="0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43617</v>
      </c>
      <c r="B94" s="87">
        <v>3738</v>
      </c>
      <c r="C94" s="88" t="s">
        <v>8</v>
      </c>
      <c r="D94" s="89">
        <v>10209.200000000001</v>
      </c>
      <c r="E94" s="103">
        <v>43617</v>
      </c>
      <c r="F94" s="96">
        <v>10209.200000000001</v>
      </c>
      <c r="G94" s="32">
        <f t="shared" si="0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43617</v>
      </c>
      <c r="B95" s="87">
        <v>3739</v>
      </c>
      <c r="C95" s="88" t="s">
        <v>7</v>
      </c>
      <c r="D95" s="89">
        <v>8228</v>
      </c>
      <c r="E95" s="103">
        <v>43617</v>
      </c>
      <c r="F95" s="96">
        <v>8228</v>
      </c>
      <c r="G95" s="32">
        <f t="shared" si="0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30" x14ac:dyDescent="0.25">
      <c r="A96" s="86">
        <v>43617</v>
      </c>
      <c r="B96" s="87">
        <v>3740</v>
      </c>
      <c r="C96" s="88" t="s">
        <v>9</v>
      </c>
      <c r="D96" s="89">
        <v>38831</v>
      </c>
      <c r="E96" s="112" t="s">
        <v>68</v>
      </c>
      <c r="F96" s="68">
        <f>5000+33831</f>
        <v>38831</v>
      </c>
      <c r="G96" s="93">
        <f t="shared" si="0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43617</v>
      </c>
      <c r="B97" s="87">
        <v>3741</v>
      </c>
      <c r="C97" s="88" t="s">
        <v>8</v>
      </c>
      <c r="D97" s="89">
        <v>9202</v>
      </c>
      <c r="E97" s="103">
        <v>43617</v>
      </c>
      <c r="F97" s="96">
        <v>9202</v>
      </c>
      <c r="G97" s="32">
        <f t="shared" si="0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43617</v>
      </c>
      <c r="B98" s="87">
        <v>3742</v>
      </c>
      <c r="C98" s="88" t="s">
        <v>11</v>
      </c>
      <c r="D98" s="89">
        <v>20253</v>
      </c>
      <c r="E98" s="103" t="s">
        <v>62</v>
      </c>
      <c r="F98" s="96">
        <f>4500+15753</f>
        <v>20253</v>
      </c>
      <c r="G98" s="32">
        <f t="shared" si="0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43617</v>
      </c>
      <c r="B99" s="87">
        <v>3743</v>
      </c>
      <c r="C99" s="88" t="s">
        <v>13</v>
      </c>
      <c r="D99" s="89">
        <v>2673</v>
      </c>
      <c r="E99" s="103">
        <v>43618</v>
      </c>
      <c r="F99" s="96">
        <v>2673</v>
      </c>
      <c r="G99" s="32">
        <f t="shared" si="0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43617</v>
      </c>
      <c r="B100" s="87">
        <v>3744</v>
      </c>
      <c r="C100" s="88" t="s">
        <v>10</v>
      </c>
      <c r="D100" s="89">
        <v>4039.2</v>
      </c>
      <c r="E100" s="103">
        <v>43619</v>
      </c>
      <c r="F100" s="96">
        <v>4039.2</v>
      </c>
      <c r="G100" s="32">
        <f t="shared" si="0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43618</v>
      </c>
      <c r="B101" s="87">
        <v>3745</v>
      </c>
      <c r="C101" s="88" t="s">
        <v>8</v>
      </c>
      <c r="D101" s="89">
        <v>10896.2</v>
      </c>
      <c r="E101" s="103">
        <v>43618</v>
      </c>
      <c r="F101" s="96">
        <v>10896.2</v>
      </c>
      <c r="G101" s="32">
        <f t="shared" si="0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43618</v>
      </c>
      <c r="B102" s="87">
        <v>3746</v>
      </c>
      <c r="C102" s="88" t="s">
        <v>7</v>
      </c>
      <c r="D102" s="89">
        <v>6644</v>
      </c>
      <c r="E102" s="103">
        <v>43618</v>
      </c>
      <c r="F102" s="96">
        <v>6644</v>
      </c>
      <c r="G102" s="32">
        <f t="shared" si="0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43618</v>
      </c>
      <c r="B103" s="87">
        <v>3747</v>
      </c>
      <c r="C103" s="88" t="s">
        <v>12</v>
      </c>
      <c r="D103" s="89">
        <v>4166.3999999999996</v>
      </c>
      <c r="E103" s="103">
        <v>43618</v>
      </c>
      <c r="F103" s="96">
        <v>4166.3999999999996</v>
      </c>
      <c r="G103" s="32">
        <f t="shared" si="0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43618</v>
      </c>
      <c r="B104" s="87">
        <v>3748</v>
      </c>
      <c r="C104" s="88" t="s">
        <v>13</v>
      </c>
      <c r="D104" s="89">
        <v>6585.6</v>
      </c>
      <c r="E104" s="103">
        <v>43619</v>
      </c>
      <c r="F104" s="96">
        <v>6585.6</v>
      </c>
      <c r="G104" s="32">
        <f t="shared" si="0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43618</v>
      </c>
      <c r="B105" s="87">
        <v>3749</v>
      </c>
      <c r="C105" s="88" t="s">
        <v>11</v>
      </c>
      <c r="D105" s="89">
        <v>6888.6</v>
      </c>
      <c r="E105" s="103">
        <v>43620</v>
      </c>
      <c r="F105" s="96">
        <v>6888.6</v>
      </c>
      <c r="G105" s="32">
        <f t="shared" si="0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43618</v>
      </c>
      <c r="B106" s="87">
        <v>3750</v>
      </c>
      <c r="C106" s="88" t="s">
        <v>10</v>
      </c>
      <c r="D106" s="89">
        <v>2613.6</v>
      </c>
      <c r="E106" s="103">
        <v>43620</v>
      </c>
      <c r="F106" s="96">
        <v>2613.6</v>
      </c>
      <c r="G106" s="32">
        <f t="shared" si="0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43619</v>
      </c>
      <c r="B107" s="87">
        <v>3751</v>
      </c>
      <c r="C107" s="88" t="s">
        <v>8</v>
      </c>
      <c r="D107" s="89">
        <v>7249.8</v>
      </c>
      <c r="E107" s="103">
        <v>43619</v>
      </c>
      <c r="F107" s="96">
        <v>7249.8</v>
      </c>
      <c r="G107" s="32">
        <f t="shared" si="0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43619</v>
      </c>
      <c r="B108" s="87">
        <v>3752</v>
      </c>
      <c r="C108" s="88" t="s">
        <v>10</v>
      </c>
      <c r="D108" s="89">
        <v>2851.2</v>
      </c>
      <c r="E108" s="103">
        <v>43620</v>
      </c>
      <c r="F108" s="96">
        <v>2851.2</v>
      </c>
      <c r="G108" s="32">
        <f t="shared" si="0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43619</v>
      </c>
      <c r="B109" s="87">
        <v>3753</v>
      </c>
      <c r="C109" s="88" t="s">
        <v>61</v>
      </c>
      <c r="D109" s="89">
        <v>4945.6000000000004</v>
      </c>
      <c r="E109" s="103">
        <v>43619</v>
      </c>
      <c r="F109" s="96">
        <v>4945.6000000000004</v>
      </c>
      <c r="G109" s="32">
        <f t="shared" si="0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43619</v>
      </c>
      <c r="B110" s="87">
        <v>3754</v>
      </c>
      <c r="C110" s="88" t="s">
        <v>13</v>
      </c>
      <c r="D110" s="89">
        <v>6928</v>
      </c>
      <c r="E110" s="103">
        <v>43620</v>
      </c>
      <c r="F110" s="96">
        <v>6928</v>
      </c>
      <c r="G110" s="93">
        <f t="shared" si="0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43620</v>
      </c>
      <c r="B111" s="87">
        <v>3755</v>
      </c>
      <c r="C111" s="88" t="s">
        <v>11</v>
      </c>
      <c r="D111" s="89">
        <v>9856</v>
      </c>
      <c r="E111" s="103">
        <v>43621</v>
      </c>
      <c r="F111" s="96">
        <f>6000+3856</f>
        <v>9856</v>
      </c>
      <c r="G111" s="93">
        <f t="shared" si="0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43620</v>
      </c>
      <c r="B112" s="87">
        <v>3756</v>
      </c>
      <c r="C112" s="88" t="s">
        <v>32</v>
      </c>
      <c r="D112" s="89">
        <v>3365</v>
      </c>
      <c r="E112" s="112">
        <v>43622</v>
      </c>
      <c r="F112" s="68">
        <v>3365</v>
      </c>
      <c r="G112" s="93">
        <f t="shared" si="0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43621</v>
      </c>
      <c r="B113" s="87">
        <v>3757</v>
      </c>
      <c r="C113" s="88" t="s">
        <v>18</v>
      </c>
      <c r="D113" s="89">
        <v>5968.2</v>
      </c>
      <c r="E113" s="112">
        <v>43622</v>
      </c>
      <c r="F113" s="68">
        <v>5968.2</v>
      </c>
      <c r="G113" s="93">
        <f t="shared" si="0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43621</v>
      </c>
      <c r="B114" s="87">
        <v>3758</v>
      </c>
      <c r="C114" s="88" t="s">
        <v>11</v>
      </c>
      <c r="D114" s="89">
        <v>8899.44</v>
      </c>
      <c r="E114" s="112">
        <v>43622</v>
      </c>
      <c r="F114" s="68">
        <v>8899.44</v>
      </c>
      <c r="G114" s="93">
        <f t="shared" si="0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43621</v>
      </c>
      <c r="B115" s="87">
        <v>3759</v>
      </c>
      <c r="C115" s="88" t="s">
        <v>8</v>
      </c>
      <c r="D115" s="89">
        <v>15937.2</v>
      </c>
      <c r="E115" s="103">
        <v>43621</v>
      </c>
      <c r="F115" s="96">
        <v>15937.2</v>
      </c>
      <c r="G115" s="93">
        <f t="shared" si="0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43621</v>
      </c>
      <c r="B116" s="87">
        <v>3760</v>
      </c>
      <c r="C116" s="88" t="s">
        <v>9</v>
      </c>
      <c r="D116" s="89">
        <v>2640.4</v>
      </c>
      <c r="E116" s="112" t="s">
        <v>66</v>
      </c>
      <c r="F116" s="68">
        <f>1440.4+1200</f>
        <v>2640.4</v>
      </c>
      <c r="G116" s="93">
        <f t="shared" si="0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43621</v>
      </c>
      <c r="B117" s="87">
        <v>3761</v>
      </c>
      <c r="C117" s="88" t="s">
        <v>61</v>
      </c>
      <c r="D117" s="89">
        <v>5050.8</v>
      </c>
      <c r="E117" s="103">
        <v>43621</v>
      </c>
      <c r="F117" s="96">
        <v>5050.8</v>
      </c>
      <c r="G117" s="93">
        <f t="shared" si="0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43621</v>
      </c>
      <c r="B118" s="87">
        <v>3762</v>
      </c>
      <c r="C118" s="88" t="s">
        <v>11</v>
      </c>
      <c r="D118" s="89">
        <v>18999.84</v>
      </c>
      <c r="E118" s="112" t="s">
        <v>65</v>
      </c>
      <c r="F118" s="68">
        <f>10400+6500+2099.84</f>
        <v>18999.84</v>
      </c>
      <c r="G118" s="93">
        <f t="shared" si="0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43621</v>
      </c>
      <c r="B119" s="87">
        <v>3763</v>
      </c>
      <c r="C119" s="88" t="s">
        <v>10</v>
      </c>
      <c r="D119" s="89">
        <v>3514.4</v>
      </c>
      <c r="E119" s="112">
        <v>43622</v>
      </c>
      <c r="F119" s="68">
        <v>3514.4</v>
      </c>
      <c r="G119" s="93">
        <f t="shared" si="0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/>
      <c r="B120" s="87"/>
      <c r="C120" s="88"/>
      <c r="D120" s="89"/>
      <c r="E120" s="103"/>
      <c r="F120" s="96"/>
      <c r="G120" s="32">
        <f t="shared" si="0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/>
      <c r="B121" s="87"/>
      <c r="C121" s="88"/>
      <c r="D121" s="89"/>
      <c r="E121" s="108"/>
      <c r="F121" s="105"/>
      <c r="G121" s="32">
        <f t="shared" si="0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/>
      <c r="B122" s="87"/>
      <c r="C122" s="88"/>
      <c r="D122" s="89"/>
      <c r="E122" s="108"/>
      <c r="F122" s="105"/>
      <c r="G122" s="32">
        <f t="shared" si="0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/>
      <c r="B123" s="87"/>
      <c r="C123" s="88"/>
      <c r="D123" s="89"/>
      <c r="E123" s="108"/>
      <c r="F123" s="105"/>
      <c r="G123" s="32">
        <f t="shared" si="0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/>
      <c r="B124" s="87"/>
      <c r="C124" s="88"/>
      <c r="D124" s="89"/>
      <c r="E124" s="108"/>
      <c r="F124" s="105"/>
      <c r="G124" s="32">
        <f t="shared" si="0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thickBot="1" x14ac:dyDescent="0.3">
      <c r="A125" s="43"/>
      <c r="B125" s="44"/>
      <c r="C125" s="45"/>
      <c r="D125" s="46"/>
      <c r="E125" s="109"/>
      <c r="F125" s="46"/>
      <c r="G125" s="32">
        <f t="shared" si="0"/>
        <v>0</v>
      </c>
      <c r="H125" s="2"/>
    </row>
    <row r="126" spans="1:17" ht="16.5" thickTop="1" x14ac:dyDescent="0.25">
      <c r="A126" s="49"/>
      <c r="B126" s="50"/>
      <c r="C126" s="2"/>
      <c r="D126" s="51">
        <f>SUM(D4:D125)</f>
        <v>981996.50999999978</v>
      </c>
      <c r="E126" s="110"/>
      <c r="F126" s="51">
        <f>SUM(F4:F125)</f>
        <v>981996.50999999978</v>
      </c>
      <c r="G126" s="55"/>
      <c r="H126" s="2"/>
    </row>
    <row r="127" spans="1:17" x14ac:dyDescent="0.25">
      <c r="A127" s="49"/>
      <c r="B127" s="50"/>
      <c r="C127" s="2"/>
      <c r="D127" s="53"/>
      <c r="E127" s="110"/>
      <c r="F127" s="53"/>
      <c r="G127" s="55"/>
      <c r="H127" s="2"/>
    </row>
    <row r="128" spans="1:17" ht="30" x14ac:dyDescent="0.25">
      <c r="A128" s="49"/>
      <c r="B128" s="50"/>
      <c r="C128" s="2"/>
      <c r="D128" s="56" t="s">
        <v>15</v>
      </c>
      <c r="E128" s="110"/>
      <c r="F128" s="57" t="s">
        <v>16</v>
      </c>
      <c r="G128" s="55"/>
      <c r="H128" s="2"/>
    </row>
    <row r="129" spans="1:16" ht="15.75" thickBot="1" x14ac:dyDescent="0.3">
      <c r="A129" s="49"/>
      <c r="B129" s="50"/>
      <c r="C129" s="2"/>
      <c r="D129" s="56"/>
      <c r="E129" s="110"/>
      <c r="F129" s="57"/>
      <c r="G129" s="55"/>
      <c r="H129" s="2"/>
    </row>
    <row r="130" spans="1:16" ht="21.75" thickBot="1" x14ac:dyDescent="0.4">
      <c r="A130" s="49"/>
      <c r="B130" s="50"/>
      <c r="C130" s="2"/>
      <c r="D130" s="126">
        <f>D126-F126</f>
        <v>0</v>
      </c>
      <c r="E130" s="127"/>
      <c r="F130" s="128"/>
      <c r="H130" s="2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ht="18.75" x14ac:dyDescent="0.3">
      <c r="A132" s="49"/>
      <c r="B132" s="50"/>
      <c r="C132" s="2"/>
      <c r="D132" s="129" t="s">
        <v>17</v>
      </c>
      <c r="E132" s="129"/>
      <c r="F132" s="129"/>
      <c r="H132" s="2"/>
      <c r="K132" s="49"/>
      <c r="L132" s="50"/>
      <c r="M132" s="2"/>
    </row>
    <row r="133" spans="1:16" x14ac:dyDescent="0.25">
      <c r="A133" s="49"/>
      <c r="B133" s="50"/>
      <c r="C133" s="2"/>
      <c r="D133" s="53"/>
      <c r="E133" s="110"/>
      <c r="F133" s="53"/>
      <c r="H133" s="2"/>
      <c r="K133" s="49"/>
      <c r="L133" s="50"/>
      <c r="M133" s="2"/>
      <c r="N133" s="53"/>
      <c r="O133" s="52"/>
      <c r="P133" s="53"/>
    </row>
    <row r="134" spans="1:16" x14ac:dyDescent="0.25">
      <c r="A134" s="49"/>
      <c r="B134" s="50"/>
      <c r="C134" s="2"/>
      <c r="D134" s="53"/>
      <c r="E134" s="110"/>
      <c r="F134" s="53"/>
      <c r="H134" s="2"/>
      <c r="K134" s="49"/>
      <c r="L134" s="50"/>
      <c r="M134" s="2"/>
      <c r="N134" s="53"/>
      <c r="O134" s="52"/>
      <c r="P134" s="53"/>
    </row>
    <row r="135" spans="1:16" x14ac:dyDescent="0.25">
      <c r="A135" s="49"/>
      <c r="B135" s="50"/>
      <c r="C135" s="2"/>
      <c r="D135" s="53"/>
      <c r="E135" s="110"/>
      <c r="F135" s="53"/>
      <c r="H135" s="2"/>
      <c r="K135" s="49"/>
      <c r="L135" s="50"/>
      <c r="M135" s="2"/>
      <c r="N135" s="53"/>
      <c r="O135" s="52"/>
      <c r="P135" s="53"/>
    </row>
    <row r="136" spans="1:16" x14ac:dyDescent="0.25">
      <c r="A136" s="49"/>
      <c r="B136" s="50"/>
      <c r="C136" s="2"/>
      <c r="D136" s="53"/>
      <c r="E136" s="110"/>
      <c r="F136" s="53"/>
      <c r="H136" s="2"/>
      <c r="K136" s="49"/>
      <c r="L136" s="50"/>
      <c r="M136" s="2"/>
      <c r="N136" s="53"/>
      <c r="O136" s="52"/>
      <c r="P136" s="53"/>
    </row>
    <row r="137" spans="1:16" x14ac:dyDescent="0.25">
      <c r="A137" s="49"/>
      <c r="B137" s="50"/>
      <c r="C137" s="2"/>
      <c r="D137" s="53"/>
      <c r="E137" s="110"/>
      <c r="F137" s="53"/>
      <c r="H137" s="2"/>
      <c r="K137" s="49"/>
      <c r="L137" s="50"/>
      <c r="M137" s="2"/>
      <c r="N137" s="53"/>
      <c r="O137" s="52"/>
      <c r="P137" s="53"/>
    </row>
    <row r="138" spans="1:16" x14ac:dyDescent="0.25">
      <c r="A138" s="49"/>
      <c r="B138" s="50"/>
      <c r="C138" s="2"/>
      <c r="D138" s="53"/>
      <c r="E138" s="110"/>
      <c r="F138" s="53"/>
      <c r="H138" s="2"/>
      <c r="K138" s="49"/>
      <c r="L138" s="50"/>
      <c r="M138" s="2"/>
      <c r="N138" s="53"/>
      <c r="O138" s="52"/>
      <c r="P138" s="53"/>
    </row>
    <row r="139" spans="1:16" x14ac:dyDescent="0.25">
      <c r="A139" s="49"/>
      <c r="B139" s="50"/>
      <c r="C139" s="2"/>
      <c r="D139" s="53"/>
      <c r="E139" s="110"/>
      <c r="F139" s="53"/>
      <c r="H139" s="2"/>
      <c r="K139" s="49"/>
      <c r="L139" s="50"/>
      <c r="M139" s="2"/>
      <c r="N139" s="53"/>
      <c r="O139" s="52"/>
      <c r="P139" s="53"/>
    </row>
    <row r="140" spans="1:16" x14ac:dyDescent="0.25">
      <c r="A140" s="49"/>
      <c r="B140" s="50"/>
      <c r="C140" s="2"/>
      <c r="D140" s="53"/>
      <c r="E140" s="110"/>
      <c r="F140" s="53"/>
      <c r="H140" s="2"/>
      <c r="K140" s="49"/>
      <c r="L140" s="50"/>
      <c r="M140" s="2"/>
      <c r="N140" s="53"/>
      <c r="O140" s="52"/>
      <c r="P140" s="53"/>
    </row>
    <row r="141" spans="1:16" x14ac:dyDescent="0.25">
      <c r="A141" s="49"/>
      <c r="B141" s="50"/>
      <c r="C141" s="2"/>
      <c r="D141" s="53"/>
      <c r="E141" s="110"/>
      <c r="F141" s="53"/>
      <c r="H141" s="2"/>
      <c r="K141" s="49"/>
      <c r="L141" s="50"/>
      <c r="M141" s="2"/>
      <c r="N141" s="53"/>
      <c r="O141" s="52"/>
      <c r="P141" s="53"/>
    </row>
    <row r="142" spans="1:16" x14ac:dyDescent="0.25">
      <c r="A142" s="49"/>
      <c r="B142" s="50"/>
      <c r="C142" s="2"/>
      <c r="D142" s="53"/>
      <c r="E142" s="110"/>
      <c r="F142" s="53"/>
      <c r="H142" s="2"/>
      <c r="K142" s="49"/>
      <c r="L142" s="50"/>
      <c r="M142" s="2"/>
      <c r="N142" s="53"/>
      <c r="O142" s="52"/>
      <c r="P142" s="53"/>
    </row>
    <row r="143" spans="1:16" x14ac:dyDescent="0.25">
      <c r="A143" s="49"/>
      <c r="B143" s="50"/>
      <c r="C143" s="2"/>
      <c r="D143" s="53"/>
      <c r="E143" s="110"/>
      <c r="F143" s="53"/>
      <c r="H143" s="2"/>
      <c r="K143" s="49"/>
      <c r="L143" s="50"/>
      <c r="M143" s="2"/>
      <c r="N143" s="53"/>
      <c r="O143" s="52"/>
      <c r="P143" s="53"/>
    </row>
  </sheetData>
  <mergeCells count="8">
    <mergeCell ref="D130:F130"/>
    <mergeCell ref="D132:F13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Q188"/>
  <sheetViews>
    <sheetView topLeftCell="A130" workbookViewId="0">
      <selection activeCell="F131" sqref="F131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63</v>
      </c>
      <c r="C1" s="130"/>
      <c r="D1" s="130"/>
      <c r="E1" s="130"/>
      <c r="F1" s="130"/>
      <c r="H1" s="2"/>
      <c r="K1" s="3"/>
      <c r="L1" s="131" t="s">
        <v>64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98">
        <v>43623</v>
      </c>
      <c r="B4" s="99">
        <v>3764</v>
      </c>
      <c r="C4" s="100" t="s">
        <v>8</v>
      </c>
      <c r="D4" s="101">
        <v>12393</v>
      </c>
      <c r="E4" s="103">
        <v>43622</v>
      </c>
      <c r="F4" s="96">
        <v>12393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43623</v>
      </c>
      <c r="B5" s="87">
        <v>3765</v>
      </c>
      <c r="C5" s="88" t="s">
        <v>8</v>
      </c>
      <c r="D5" s="102">
        <v>9702</v>
      </c>
      <c r="E5" s="103">
        <v>43622</v>
      </c>
      <c r="F5" s="96">
        <v>9702</v>
      </c>
      <c r="G5" s="32">
        <f>D5-F5</f>
        <v>0</v>
      </c>
      <c r="H5" s="2"/>
      <c r="K5" s="28">
        <v>43627</v>
      </c>
      <c r="L5" s="33">
        <v>221</v>
      </c>
      <c r="M5" s="34" t="s">
        <v>25</v>
      </c>
      <c r="N5" s="31">
        <v>7737</v>
      </c>
      <c r="O5" s="24"/>
      <c r="P5" s="25"/>
      <c r="Q5" s="32">
        <f>N5-P5</f>
        <v>7737</v>
      </c>
    </row>
    <row r="6" spans="1:17" ht="15.75" x14ac:dyDescent="0.25">
      <c r="A6" s="86">
        <v>43623</v>
      </c>
      <c r="B6" s="87">
        <f>B5+1</f>
        <v>3766</v>
      </c>
      <c r="C6" s="104" t="s">
        <v>11</v>
      </c>
      <c r="D6" s="102">
        <v>10536</v>
      </c>
      <c r="E6" s="103">
        <v>43624</v>
      </c>
      <c r="F6" s="96">
        <v>10536</v>
      </c>
      <c r="G6" s="32">
        <f>D6-F6</f>
        <v>0</v>
      </c>
      <c r="H6" s="2"/>
      <c r="K6" s="28">
        <v>43630</v>
      </c>
      <c r="L6" s="33">
        <f>L5+1</f>
        <v>222</v>
      </c>
      <c r="M6" s="34" t="s">
        <v>25</v>
      </c>
      <c r="N6" s="31">
        <v>240</v>
      </c>
      <c r="O6" s="24"/>
      <c r="P6" s="25"/>
      <c r="Q6" s="32">
        <f>N6-P6</f>
        <v>240</v>
      </c>
    </row>
    <row r="7" spans="1:17" ht="15.75" x14ac:dyDescent="0.25">
      <c r="A7" s="86">
        <v>43623</v>
      </c>
      <c r="B7" s="87">
        <f t="shared" ref="B7:B70" si="0">B6+1</f>
        <v>3767</v>
      </c>
      <c r="C7" s="104" t="s">
        <v>12</v>
      </c>
      <c r="D7" s="102">
        <v>3252.4</v>
      </c>
      <c r="E7" s="103">
        <v>43623</v>
      </c>
      <c r="F7" s="96">
        <v>3252.4</v>
      </c>
      <c r="G7" s="32">
        <f t="shared" ref="G7:G170" si="1">D7-F7</f>
        <v>0</v>
      </c>
      <c r="H7" s="2"/>
      <c r="K7" s="28">
        <v>43631</v>
      </c>
      <c r="L7" s="33">
        <f t="shared" ref="L7:L10" si="2">L6+1</f>
        <v>223</v>
      </c>
      <c r="M7" s="30" t="s">
        <v>25</v>
      </c>
      <c r="N7" s="31">
        <v>556.79999999999995</v>
      </c>
      <c r="O7" s="24"/>
      <c r="P7" s="25"/>
      <c r="Q7" s="32">
        <f t="shared" ref="Q7:Q22" si="3">N7-P7</f>
        <v>556.79999999999995</v>
      </c>
    </row>
    <row r="8" spans="1:17" ht="15.75" x14ac:dyDescent="0.25">
      <c r="A8" s="86">
        <v>43623</v>
      </c>
      <c r="B8" s="87">
        <f t="shared" si="0"/>
        <v>3768</v>
      </c>
      <c r="C8" s="88" t="s">
        <v>10</v>
      </c>
      <c r="D8" s="102">
        <v>4342.3999999999996</v>
      </c>
      <c r="E8" s="103">
        <v>43625</v>
      </c>
      <c r="F8" s="96">
        <v>4342.3999999999996</v>
      </c>
      <c r="G8" s="32">
        <f t="shared" si="1"/>
        <v>0</v>
      </c>
      <c r="H8" s="2"/>
      <c r="K8" s="28">
        <v>43635</v>
      </c>
      <c r="L8" s="33">
        <f t="shared" si="2"/>
        <v>224</v>
      </c>
      <c r="M8" s="30" t="s">
        <v>25</v>
      </c>
      <c r="N8" s="31">
        <v>78149</v>
      </c>
      <c r="O8" s="24"/>
      <c r="P8" s="25"/>
      <c r="Q8" s="32">
        <f t="shared" si="3"/>
        <v>78149</v>
      </c>
    </row>
    <row r="9" spans="1:17" ht="15.75" x14ac:dyDescent="0.25">
      <c r="A9" s="86">
        <v>43623</v>
      </c>
      <c r="B9" s="87">
        <f t="shared" si="0"/>
        <v>3769</v>
      </c>
      <c r="C9" s="88" t="s">
        <v>61</v>
      </c>
      <c r="D9" s="102">
        <v>4710.3999999999996</v>
      </c>
      <c r="E9" s="103">
        <v>43623</v>
      </c>
      <c r="F9" s="96">
        <v>4710.3999999999996</v>
      </c>
      <c r="G9" s="32">
        <f t="shared" si="1"/>
        <v>0</v>
      </c>
      <c r="H9" s="2"/>
      <c r="K9" s="28">
        <v>43636</v>
      </c>
      <c r="L9" s="33">
        <f t="shared" si="2"/>
        <v>225</v>
      </c>
      <c r="M9" s="30" t="s">
        <v>25</v>
      </c>
      <c r="N9" s="31">
        <v>180</v>
      </c>
      <c r="O9" s="24"/>
      <c r="P9" s="25"/>
      <c r="Q9" s="32">
        <f t="shared" si="3"/>
        <v>180</v>
      </c>
    </row>
    <row r="10" spans="1:17" ht="15.75" x14ac:dyDescent="0.25">
      <c r="A10" s="86">
        <v>43623</v>
      </c>
      <c r="B10" s="87">
        <f t="shared" si="0"/>
        <v>3770</v>
      </c>
      <c r="C10" s="88" t="s">
        <v>13</v>
      </c>
      <c r="D10" s="102">
        <v>7836.5</v>
      </c>
      <c r="E10" s="103">
        <v>43624</v>
      </c>
      <c r="F10" s="96">
        <v>7836.5</v>
      </c>
      <c r="G10" s="32">
        <f t="shared" si="1"/>
        <v>0</v>
      </c>
      <c r="H10" s="2"/>
      <c r="K10" s="28">
        <v>43638</v>
      </c>
      <c r="L10" s="33">
        <f t="shared" si="2"/>
        <v>226</v>
      </c>
      <c r="M10" s="34" t="s">
        <v>25</v>
      </c>
      <c r="N10" s="31">
        <v>1804.5</v>
      </c>
      <c r="O10" s="24"/>
      <c r="P10" s="25"/>
      <c r="Q10" s="32">
        <f t="shared" si="3"/>
        <v>1804.5</v>
      </c>
    </row>
    <row r="11" spans="1:17" ht="15.75" x14ac:dyDescent="0.25">
      <c r="A11" s="86">
        <v>43623</v>
      </c>
      <c r="B11" s="87">
        <f t="shared" si="0"/>
        <v>3771</v>
      </c>
      <c r="C11" s="88" t="s">
        <v>11</v>
      </c>
      <c r="D11" s="102">
        <v>12150</v>
      </c>
      <c r="E11" s="103" t="s">
        <v>67</v>
      </c>
      <c r="F11" s="96">
        <f>464+3186+8500</f>
        <v>12150</v>
      </c>
      <c r="G11" s="32">
        <f t="shared" si="1"/>
        <v>0</v>
      </c>
      <c r="H11" s="2"/>
      <c r="K11" s="28">
        <v>43641</v>
      </c>
      <c r="L11" s="33">
        <v>227</v>
      </c>
      <c r="M11" s="36" t="s">
        <v>26</v>
      </c>
      <c r="N11" s="31">
        <v>0</v>
      </c>
      <c r="O11" s="24"/>
      <c r="P11" s="25"/>
      <c r="Q11" s="32">
        <f t="shared" si="3"/>
        <v>0</v>
      </c>
    </row>
    <row r="12" spans="1:17" ht="15.75" x14ac:dyDescent="0.25">
      <c r="A12" s="86">
        <v>43624</v>
      </c>
      <c r="B12" s="87">
        <f t="shared" si="0"/>
        <v>3772</v>
      </c>
      <c r="C12" s="88" t="s">
        <v>7</v>
      </c>
      <c r="D12" s="102">
        <v>9163.2000000000007</v>
      </c>
      <c r="E12" s="103">
        <v>43624</v>
      </c>
      <c r="F12" s="96">
        <v>9163.2000000000007</v>
      </c>
      <c r="G12" s="32">
        <f t="shared" si="1"/>
        <v>0</v>
      </c>
      <c r="H12" s="2"/>
      <c r="K12" s="28">
        <v>43641</v>
      </c>
      <c r="L12" s="33">
        <v>228</v>
      </c>
      <c r="M12" s="34" t="s">
        <v>25</v>
      </c>
      <c r="N12" s="31">
        <v>22138</v>
      </c>
      <c r="O12" s="24"/>
      <c r="P12" s="25"/>
      <c r="Q12" s="32">
        <f t="shared" si="3"/>
        <v>22138</v>
      </c>
    </row>
    <row r="13" spans="1:17" ht="15.75" x14ac:dyDescent="0.25">
      <c r="A13" s="86">
        <v>43624</v>
      </c>
      <c r="B13" s="87">
        <f t="shared" si="0"/>
        <v>3773</v>
      </c>
      <c r="C13" s="88" t="s">
        <v>9</v>
      </c>
      <c r="D13" s="102">
        <v>50455.5</v>
      </c>
      <c r="E13" s="103">
        <v>43635</v>
      </c>
      <c r="F13" s="96">
        <v>50455.5</v>
      </c>
      <c r="G13" s="32">
        <f t="shared" si="1"/>
        <v>0</v>
      </c>
      <c r="H13" s="2"/>
      <c r="K13" s="28"/>
      <c r="L13" s="33"/>
      <c r="M13" s="30"/>
      <c r="N13" s="31"/>
      <c r="O13" s="24"/>
      <c r="P13" s="25"/>
      <c r="Q13" s="32">
        <f t="shared" si="3"/>
        <v>0</v>
      </c>
    </row>
    <row r="14" spans="1:17" ht="15.75" x14ac:dyDescent="0.25">
      <c r="A14" s="86">
        <v>43624</v>
      </c>
      <c r="B14" s="87">
        <f t="shared" si="0"/>
        <v>3774</v>
      </c>
      <c r="C14" s="88" t="s">
        <v>12</v>
      </c>
      <c r="D14" s="102">
        <v>4905.6000000000004</v>
      </c>
      <c r="E14" s="103">
        <v>43626</v>
      </c>
      <c r="F14" s="96">
        <v>4905.6000000000004</v>
      </c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43624</v>
      </c>
      <c r="B15" s="87">
        <f t="shared" si="0"/>
        <v>3775</v>
      </c>
      <c r="C15" s="104" t="s">
        <v>61</v>
      </c>
      <c r="D15" s="102">
        <v>2916.4</v>
      </c>
      <c r="E15" s="103">
        <v>43624</v>
      </c>
      <c r="F15" s="96">
        <v>2916.4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43624</v>
      </c>
      <c r="B16" s="87">
        <f t="shared" si="0"/>
        <v>3776</v>
      </c>
      <c r="C16" s="88" t="s">
        <v>10</v>
      </c>
      <c r="D16" s="102">
        <v>4411.3999999999996</v>
      </c>
      <c r="E16" s="103">
        <v>43625</v>
      </c>
      <c r="F16" s="96">
        <v>4411.3999999999996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43624</v>
      </c>
      <c r="B17" s="87">
        <f t="shared" si="0"/>
        <v>3777</v>
      </c>
      <c r="C17" s="104" t="s">
        <v>8</v>
      </c>
      <c r="D17" s="102">
        <v>9720</v>
      </c>
      <c r="E17" s="103">
        <v>43625</v>
      </c>
      <c r="F17" s="96">
        <v>9720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43624</v>
      </c>
      <c r="B18" s="87">
        <f t="shared" si="0"/>
        <v>3778</v>
      </c>
      <c r="C18" s="104" t="s">
        <v>32</v>
      </c>
      <c r="D18" s="102">
        <v>4045</v>
      </c>
      <c r="E18" s="103">
        <v>43624</v>
      </c>
      <c r="F18" s="96">
        <v>4045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43624</v>
      </c>
      <c r="B19" s="87">
        <f t="shared" si="0"/>
        <v>3779</v>
      </c>
      <c r="C19" s="88" t="s">
        <v>13</v>
      </c>
      <c r="D19" s="102">
        <v>3235.2</v>
      </c>
      <c r="E19" s="103">
        <v>43624</v>
      </c>
      <c r="F19" s="96">
        <v>3235.2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43625</v>
      </c>
      <c r="B20" s="87">
        <f t="shared" si="0"/>
        <v>3780</v>
      </c>
      <c r="C20" s="88" t="s">
        <v>7</v>
      </c>
      <c r="D20" s="102">
        <v>5041.6000000000004</v>
      </c>
      <c r="E20" s="103">
        <v>43625</v>
      </c>
      <c r="F20" s="96">
        <v>5041.6000000000004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43625</v>
      </c>
      <c r="B21" s="87">
        <f t="shared" si="0"/>
        <v>3781</v>
      </c>
      <c r="C21" s="88" t="s">
        <v>8</v>
      </c>
      <c r="D21" s="102">
        <v>13095</v>
      </c>
      <c r="E21" s="103">
        <v>43626</v>
      </c>
      <c r="F21" s="96">
        <v>13095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43625</v>
      </c>
      <c r="B22" s="87">
        <f t="shared" si="0"/>
        <v>3782</v>
      </c>
      <c r="C22" s="88" t="s">
        <v>8</v>
      </c>
      <c r="D22" s="102">
        <v>4188.8</v>
      </c>
      <c r="E22" s="103">
        <v>43625</v>
      </c>
      <c r="F22" s="96">
        <v>4188.8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43625</v>
      </c>
      <c r="B23" s="87">
        <f t="shared" si="0"/>
        <v>3783</v>
      </c>
      <c r="C23" s="88" t="s">
        <v>61</v>
      </c>
      <c r="D23" s="102">
        <v>4922</v>
      </c>
      <c r="E23" s="103">
        <v>43625</v>
      </c>
      <c r="F23" s="96">
        <v>4922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43625</v>
      </c>
      <c r="B24" s="87">
        <f t="shared" si="0"/>
        <v>3784</v>
      </c>
      <c r="C24" s="88" t="s">
        <v>10</v>
      </c>
      <c r="D24" s="102">
        <v>3496</v>
      </c>
      <c r="E24" s="103">
        <v>43626</v>
      </c>
      <c r="F24" s="96">
        <v>3496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43625</v>
      </c>
      <c r="B25" s="87">
        <f t="shared" si="0"/>
        <v>3785</v>
      </c>
      <c r="C25" s="88" t="s">
        <v>12</v>
      </c>
      <c r="D25" s="102">
        <v>2256</v>
      </c>
      <c r="E25" s="103">
        <v>43628</v>
      </c>
      <c r="F25" s="96">
        <v>2256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43625</v>
      </c>
      <c r="B26" s="87">
        <f t="shared" si="0"/>
        <v>3786</v>
      </c>
      <c r="C26" s="88" t="s">
        <v>61</v>
      </c>
      <c r="D26" s="102">
        <v>4774.8</v>
      </c>
      <c r="E26" s="103">
        <v>43625</v>
      </c>
      <c r="F26" s="96">
        <v>4774.8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43625</v>
      </c>
      <c r="B27" s="87">
        <f t="shared" si="0"/>
        <v>3787</v>
      </c>
      <c r="C27" s="104" t="s">
        <v>8</v>
      </c>
      <c r="D27" s="102">
        <v>7092</v>
      </c>
      <c r="E27" s="103">
        <v>43625</v>
      </c>
      <c r="F27" s="96">
        <v>7092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43626</v>
      </c>
      <c r="B28" s="87">
        <f t="shared" si="0"/>
        <v>3788</v>
      </c>
      <c r="C28" s="88" t="s">
        <v>12</v>
      </c>
      <c r="D28" s="102">
        <v>2246.4</v>
      </c>
      <c r="E28" s="103">
        <v>43629</v>
      </c>
      <c r="F28" s="96">
        <v>2246.4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43626</v>
      </c>
      <c r="B29" s="87">
        <f t="shared" si="0"/>
        <v>3789</v>
      </c>
      <c r="C29" s="88" t="s">
        <v>11</v>
      </c>
      <c r="D29" s="102">
        <v>11340</v>
      </c>
      <c r="E29" s="103">
        <v>43629</v>
      </c>
      <c r="F29" s="96">
        <v>11340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43626</v>
      </c>
      <c r="B30" s="87">
        <f t="shared" si="0"/>
        <v>3790</v>
      </c>
      <c r="C30" s="88" t="s">
        <v>10</v>
      </c>
      <c r="D30" s="102">
        <v>2999.2</v>
      </c>
      <c r="E30" s="103">
        <v>43628</v>
      </c>
      <c r="F30" s="96">
        <v>2999.2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43626</v>
      </c>
      <c r="B31" s="87">
        <f t="shared" si="0"/>
        <v>3791</v>
      </c>
      <c r="C31" s="88" t="s">
        <v>8</v>
      </c>
      <c r="D31" s="102">
        <v>8190</v>
      </c>
      <c r="E31" s="103">
        <v>43626</v>
      </c>
      <c r="F31" s="96">
        <v>8190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43626</v>
      </c>
      <c r="B32" s="87">
        <f t="shared" si="0"/>
        <v>3792</v>
      </c>
      <c r="C32" s="88" t="s">
        <v>12</v>
      </c>
      <c r="D32" s="102">
        <v>2860.8</v>
      </c>
      <c r="E32" s="103">
        <v>43629</v>
      </c>
      <c r="F32" s="96">
        <v>2860.8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43627</v>
      </c>
      <c r="B33" s="87">
        <f t="shared" si="0"/>
        <v>3793</v>
      </c>
      <c r="C33" s="88" t="s">
        <v>14</v>
      </c>
      <c r="D33" s="102">
        <v>2188.1999999999998</v>
      </c>
      <c r="E33" s="103">
        <v>43627</v>
      </c>
      <c r="F33" s="96">
        <v>2188.1999999999998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43627</v>
      </c>
      <c r="B34" s="87">
        <f t="shared" si="0"/>
        <v>3794</v>
      </c>
      <c r="C34" s="88" t="s">
        <v>9</v>
      </c>
      <c r="D34" s="102">
        <v>5635</v>
      </c>
      <c r="E34" s="103">
        <v>43627</v>
      </c>
      <c r="F34" s="96">
        <v>5635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43628</v>
      </c>
      <c r="B35" s="87">
        <f t="shared" si="0"/>
        <v>3795</v>
      </c>
      <c r="C35" s="88" t="s">
        <v>8</v>
      </c>
      <c r="D35" s="102">
        <v>17741.3</v>
      </c>
      <c r="E35" s="103">
        <v>43628</v>
      </c>
      <c r="F35" s="96">
        <v>17741.3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43628</v>
      </c>
      <c r="B36" s="87">
        <f t="shared" si="0"/>
        <v>3796</v>
      </c>
      <c r="C36" s="88" t="s">
        <v>11</v>
      </c>
      <c r="D36" s="102">
        <v>11061</v>
      </c>
      <c r="E36" s="103" t="s">
        <v>69</v>
      </c>
      <c r="F36" s="96">
        <f>3900+2361+4800</f>
        <v>11061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43628</v>
      </c>
      <c r="B37" s="87">
        <f t="shared" si="0"/>
        <v>3797</v>
      </c>
      <c r="C37" s="88" t="s">
        <v>18</v>
      </c>
      <c r="D37" s="89">
        <v>3351.2</v>
      </c>
      <c r="E37" s="107">
        <v>43629</v>
      </c>
      <c r="F37" s="89">
        <v>3351.2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43628</v>
      </c>
      <c r="B38" s="87">
        <f t="shared" si="0"/>
        <v>3798</v>
      </c>
      <c r="C38" s="88" t="s">
        <v>10</v>
      </c>
      <c r="D38" s="89">
        <v>4287.2</v>
      </c>
      <c r="E38" s="103">
        <v>43630</v>
      </c>
      <c r="F38" s="96">
        <v>4287.2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43628</v>
      </c>
      <c r="B39" s="87">
        <f t="shared" si="0"/>
        <v>3799</v>
      </c>
      <c r="C39" s="104" t="s">
        <v>13</v>
      </c>
      <c r="D39" s="89">
        <v>3024</v>
      </c>
      <c r="E39" s="103">
        <v>43628</v>
      </c>
      <c r="F39" s="96">
        <v>3024</v>
      </c>
      <c r="G39" s="32">
        <f t="shared" si="1"/>
        <v>0</v>
      </c>
      <c r="H39" s="2"/>
      <c r="K39" s="49"/>
      <c r="L39" s="50"/>
      <c r="M39" s="2"/>
      <c r="N39" s="51">
        <f>SUM(N4:N38)</f>
        <v>110805.3</v>
      </c>
      <c r="O39" s="52"/>
      <c r="P39" s="53">
        <f>SUM(P4:P38)</f>
        <v>0</v>
      </c>
      <c r="Q39" s="54">
        <f>SUM(Q4:Q38)</f>
        <v>110805.3</v>
      </c>
    </row>
    <row r="40" spans="1:17" ht="15.75" x14ac:dyDescent="0.25">
      <c r="A40" s="86">
        <v>43628</v>
      </c>
      <c r="B40" s="87">
        <f t="shared" si="0"/>
        <v>3800</v>
      </c>
      <c r="C40" s="88" t="s">
        <v>12</v>
      </c>
      <c r="D40" s="89">
        <v>1356</v>
      </c>
      <c r="E40" s="103">
        <v>43628</v>
      </c>
      <c r="F40" s="96">
        <v>1356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43629</v>
      </c>
      <c r="B41" s="87">
        <f t="shared" si="0"/>
        <v>3801</v>
      </c>
      <c r="C41" s="88" t="s">
        <v>11</v>
      </c>
      <c r="D41" s="89">
        <v>10974.15</v>
      </c>
      <c r="E41" s="103">
        <v>43629</v>
      </c>
      <c r="F41" s="96">
        <v>10974.15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43629</v>
      </c>
      <c r="B42" s="87">
        <f t="shared" si="0"/>
        <v>3802</v>
      </c>
      <c r="C42" s="88" t="s">
        <v>61</v>
      </c>
      <c r="D42" s="89">
        <v>5216.3999999999996</v>
      </c>
      <c r="E42" s="103">
        <v>43629</v>
      </c>
      <c r="F42" s="96">
        <v>5216.3999999999996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43629</v>
      </c>
      <c r="B43" s="87">
        <f t="shared" si="0"/>
        <v>3803</v>
      </c>
      <c r="C43" s="88" t="s">
        <v>11</v>
      </c>
      <c r="D43" s="89">
        <v>10863</v>
      </c>
      <c r="E43" s="103" t="s">
        <v>70</v>
      </c>
      <c r="F43" s="96">
        <f>1939+8924</f>
        <v>10863</v>
      </c>
      <c r="G43" s="93">
        <f t="shared" si="1"/>
        <v>0</v>
      </c>
      <c r="H43" s="2"/>
      <c r="K43" s="49"/>
      <c r="L43" s="50"/>
      <c r="M43" s="2"/>
      <c r="N43" s="126">
        <f>N39-P39</f>
        <v>110805.3</v>
      </c>
      <c r="O43" s="127"/>
      <c r="P43" s="128"/>
    </row>
    <row r="44" spans="1:17" ht="15.75" x14ac:dyDescent="0.25">
      <c r="A44" s="86">
        <v>43629</v>
      </c>
      <c r="B44" s="87">
        <f t="shared" si="0"/>
        <v>3804</v>
      </c>
      <c r="C44" s="88" t="s">
        <v>12</v>
      </c>
      <c r="D44" s="89">
        <v>2332.8000000000002</v>
      </c>
      <c r="E44" s="103">
        <v>43630</v>
      </c>
      <c r="F44" s="96">
        <v>2332.8000000000002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43629</v>
      </c>
      <c r="B45" s="87">
        <f t="shared" si="0"/>
        <v>3805</v>
      </c>
      <c r="C45" s="88" t="s">
        <v>10</v>
      </c>
      <c r="D45" s="89">
        <v>5501.6</v>
      </c>
      <c r="E45" s="103">
        <v>43631</v>
      </c>
      <c r="F45" s="96">
        <v>5501.6</v>
      </c>
      <c r="G45" s="32">
        <f t="shared" si="1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86">
        <v>43629</v>
      </c>
      <c r="B46" s="87">
        <f t="shared" si="0"/>
        <v>3806</v>
      </c>
      <c r="C46" s="88" t="s">
        <v>8</v>
      </c>
      <c r="D46" s="89">
        <v>6147</v>
      </c>
      <c r="E46" s="103">
        <v>43630</v>
      </c>
      <c r="F46" s="96">
        <v>6147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43629</v>
      </c>
      <c r="B47" s="87">
        <f t="shared" si="0"/>
        <v>3807</v>
      </c>
      <c r="C47" s="88" t="s">
        <v>13</v>
      </c>
      <c r="D47" s="89">
        <v>3254.4</v>
      </c>
      <c r="E47" s="103">
        <v>43630</v>
      </c>
      <c r="F47" s="96">
        <v>3254.4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43630</v>
      </c>
      <c r="B48" s="87">
        <f t="shared" si="0"/>
        <v>3808</v>
      </c>
      <c r="C48" s="88" t="s">
        <v>8</v>
      </c>
      <c r="D48" s="89">
        <v>10701</v>
      </c>
      <c r="E48" s="103">
        <v>43631</v>
      </c>
      <c r="F48" s="96">
        <v>10701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43630</v>
      </c>
      <c r="B49" s="87">
        <f t="shared" si="0"/>
        <v>3809</v>
      </c>
      <c r="C49" s="88" t="s">
        <v>11</v>
      </c>
      <c r="D49" s="89">
        <v>9414</v>
      </c>
      <c r="E49" s="103">
        <v>43631</v>
      </c>
      <c r="F49" s="96">
        <f>6338+3076</f>
        <v>9414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43630</v>
      </c>
      <c r="B50" s="87">
        <f t="shared" si="0"/>
        <v>3810</v>
      </c>
      <c r="C50" s="88" t="s">
        <v>12</v>
      </c>
      <c r="D50" s="89">
        <v>10316.4</v>
      </c>
      <c r="E50" s="103">
        <v>43632</v>
      </c>
      <c r="F50" s="96">
        <v>10316.4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43630</v>
      </c>
      <c r="B51" s="87">
        <f t="shared" si="0"/>
        <v>3811</v>
      </c>
      <c r="C51" s="88" t="s">
        <v>10</v>
      </c>
      <c r="D51" s="89">
        <v>4703.5</v>
      </c>
      <c r="E51" s="103">
        <v>43632</v>
      </c>
      <c r="F51" s="96">
        <v>4703.5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43630</v>
      </c>
      <c r="B52" s="87">
        <f t="shared" si="0"/>
        <v>3812</v>
      </c>
      <c r="C52" s="88" t="s">
        <v>13</v>
      </c>
      <c r="D52" s="89">
        <v>6720</v>
      </c>
      <c r="E52" s="103">
        <v>43632</v>
      </c>
      <c r="F52" s="96">
        <v>6720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43631</v>
      </c>
      <c r="B53" s="87">
        <f t="shared" si="0"/>
        <v>3813</v>
      </c>
      <c r="C53" s="88" t="s">
        <v>7</v>
      </c>
      <c r="D53" s="89">
        <v>7182</v>
      </c>
      <c r="E53" s="103">
        <v>43631</v>
      </c>
      <c r="F53" s="96">
        <v>7182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43631</v>
      </c>
      <c r="B54" s="87">
        <f t="shared" si="0"/>
        <v>3814</v>
      </c>
      <c r="C54" s="88" t="s">
        <v>9</v>
      </c>
      <c r="D54" s="89">
        <v>52507</v>
      </c>
      <c r="E54" s="103">
        <v>43635</v>
      </c>
      <c r="F54" s="96">
        <v>52507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43631</v>
      </c>
      <c r="B55" s="87">
        <f t="shared" si="0"/>
        <v>3815</v>
      </c>
      <c r="C55" s="88" t="s">
        <v>61</v>
      </c>
      <c r="D55" s="89">
        <v>7146</v>
      </c>
      <c r="E55" s="103">
        <v>43631</v>
      </c>
      <c r="F55" s="96">
        <v>7146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43631</v>
      </c>
      <c r="B56" s="87">
        <f t="shared" si="0"/>
        <v>3816</v>
      </c>
      <c r="C56" s="88" t="s">
        <v>8</v>
      </c>
      <c r="D56" s="89">
        <v>13438.4</v>
      </c>
      <c r="E56" s="103">
        <v>43631</v>
      </c>
      <c r="F56" s="96">
        <v>13438.4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30" x14ac:dyDescent="0.25">
      <c r="A57" s="86">
        <v>43631</v>
      </c>
      <c r="B57" s="87">
        <f t="shared" si="0"/>
        <v>3817</v>
      </c>
      <c r="C57" s="88" t="s">
        <v>11</v>
      </c>
      <c r="D57" s="89">
        <v>15796</v>
      </c>
      <c r="E57" s="103" t="s">
        <v>71</v>
      </c>
      <c r="F57" s="96">
        <f>4000+11000+796</f>
        <v>15796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43631</v>
      </c>
      <c r="B58" s="87">
        <f t="shared" si="0"/>
        <v>3818</v>
      </c>
      <c r="C58" s="88" t="s">
        <v>13</v>
      </c>
      <c r="D58" s="89">
        <v>3091.2</v>
      </c>
      <c r="E58" s="103">
        <v>43632</v>
      </c>
      <c r="F58" s="96">
        <v>3091.2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43631</v>
      </c>
      <c r="B59" s="87">
        <f t="shared" si="0"/>
        <v>3819</v>
      </c>
      <c r="C59" s="88" t="s">
        <v>10</v>
      </c>
      <c r="D59" s="89">
        <v>5216.3999999999996</v>
      </c>
      <c r="E59" s="103">
        <v>43633</v>
      </c>
      <c r="F59" s="96">
        <v>5216.3999999999996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43632</v>
      </c>
      <c r="B60" s="87">
        <f t="shared" si="0"/>
        <v>3820</v>
      </c>
      <c r="C60" s="88" t="s">
        <v>7</v>
      </c>
      <c r="D60" s="89">
        <v>8334</v>
      </c>
      <c r="E60" s="103">
        <v>43632</v>
      </c>
      <c r="F60" s="96">
        <v>8334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43632</v>
      </c>
      <c r="B61" s="87">
        <f t="shared" si="0"/>
        <v>3821</v>
      </c>
      <c r="C61" s="113" t="s">
        <v>26</v>
      </c>
      <c r="D61" s="114">
        <v>0</v>
      </c>
      <c r="E61" s="103"/>
      <c r="F61" s="96"/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43632</v>
      </c>
      <c r="B62" s="87">
        <f t="shared" si="0"/>
        <v>3822</v>
      </c>
      <c r="C62" s="88" t="s">
        <v>8</v>
      </c>
      <c r="D62" s="89">
        <v>16411.900000000001</v>
      </c>
      <c r="E62" s="103">
        <v>43633</v>
      </c>
      <c r="F62" s="96">
        <v>16411.900000000001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43632</v>
      </c>
      <c r="B63" s="87">
        <f t="shared" si="0"/>
        <v>3823</v>
      </c>
      <c r="C63" s="88" t="s">
        <v>12</v>
      </c>
      <c r="D63" s="89">
        <v>11996</v>
      </c>
      <c r="E63" s="103" t="s">
        <v>76</v>
      </c>
      <c r="F63" s="96">
        <f>5000+6996</f>
        <v>11996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43632</v>
      </c>
      <c r="B64" s="87">
        <f t="shared" si="0"/>
        <v>3824</v>
      </c>
      <c r="C64" s="88" t="s">
        <v>11</v>
      </c>
      <c r="D64" s="89">
        <v>15769.6</v>
      </c>
      <c r="E64" s="103" t="s">
        <v>73</v>
      </c>
      <c r="F64" s="96">
        <f>14000+1769.6</f>
        <v>15769.6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30" x14ac:dyDescent="0.25">
      <c r="A65" s="86">
        <v>43632</v>
      </c>
      <c r="B65" s="87">
        <f t="shared" si="0"/>
        <v>3825</v>
      </c>
      <c r="C65" s="88" t="s">
        <v>13</v>
      </c>
      <c r="D65" s="89">
        <v>5939.8</v>
      </c>
      <c r="E65" s="103" t="s">
        <v>72</v>
      </c>
      <c r="F65" s="96">
        <f>1839+3100+1000.8</f>
        <v>5939.8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43632</v>
      </c>
      <c r="B66" s="87">
        <f t="shared" si="0"/>
        <v>3826</v>
      </c>
      <c r="C66" s="88" t="s">
        <v>10</v>
      </c>
      <c r="D66" s="89">
        <v>4482</v>
      </c>
      <c r="E66" s="103">
        <v>43633</v>
      </c>
      <c r="F66" s="96">
        <v>4482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43632</v>
      </c>
      <c r="B67" s="87">
        <f t="shared" si="0"/>
        <v>3827</v>
      </c>
      <c r="C67" s="88" t="s">
        <v>61</v>
      </c>
      <c r="D67" s="89">
        <v>4086</v>
      </c>
      <c r="E67" s="103">
        <v>43632</v>
      </c>
      <c r="F67" s="96">
        <v>4086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43633</v>
      </c>
      <c r="B68" s="87">
        <f t="shared" si="0"/>
        <v>3828</v>
      </c>
      <c r="C68" s="88" t="s">
        <v>8</v>
      </c>
      <c r="D68" s="89">
        <v>11227.2</v>
      </c>
      <c r="E68" s="103">
        <v>43633</v>
      </c>
      <c r="F68" s="96">
        <v>11227.2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43633</v>
      </c>
      <c r="B69" s="87">
        <f t="shared" si="0"/>
        <v>3829</v>
      </c>
      <c r="C69" s="88" t="s">
        <v>11</v>
      </c>
      <c r="D69" s="89">
        <v>6978.4</v>
      </c>
      <c r="E69" s="103" t="s">
        <v>75</v>
      </c>
      <c r="F69" s="96">
        <f>2230.5+4747.9</f>
        <v>6978.4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43633</v>
      </c>
      <c r="B70" s="87">
        <f t="shared" si="0"/>
        <v>3830</v>
      </c>
      <c r="C70" s="88" t="s">
        <v>13</v>
      </c>
      <c r="D70" s="89">
        <v>6600.4</v>
      </c>
      <c r="E70" s="103" t="s">
        <v>73</v>
      </c>
      <c r="F70" s="96">
        <f>3271.2+3329.2</f>
        <v>6600.4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43633</v>
      </c>
      <c r="B71" s="87">
        <f t="shared" ref="B71:B134" si="5">B70+1</f>
        <v>3831</v>
      </c>
      <c r="C71" s="88" t="s">
        <v>10</v>
      </c>
      <c r="D71" s="89">
        <v>3834</v>
      </c>
      <c r="E71" s="103">
        <v>43634</v>
      </c>
      <c r="F71" s="96">
        <v>3834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43633</v>
      </c>
      <c r="B72" s="87">
        <f t="shared" si="5"/>
        <v>3832</v>
      </c>
      <c r="C72" s="88" t="s">
        <v>74</v>
      </c>
      <c r="D72" s="89">
        <v>8942</v>
      </c>
      <c r="E72" s="103">
        <v>43634</v>
      </c>
      <c r="F72" s="96">
        <v>8942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43634</v>
      </c>
      <c r="B73" s="87">
        <f t="shared" si="5"/>
        <v>3833</v>
      </c>
      <c r="C73" s="88" t="s">
        <v>32</v>
      </c>
      <c r="D73" s="89">
        <v>3467.8</v>
      </c>
      <c r="E73" s="103">
        <v>43636</v>
      </c>
      <c r="F73" s="96">
        <v>3467.8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43634</v>
      </c>
      <c r="B74" s="87">
        <f t="shared" si="5"/>
        <v>3834</v>
      </c>
      <c r="C74" s="88" t="s">
        <v>10</v>
      </c>
      <c r="D74" s="89">
        <v>6660</v>
      </c>
      <c r="E74" s="103">
        <v>43635</v>
      </c>
      <c r="F74" s="96">
        <v>6660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43634</v>
      </c>
      <c r="B75" s="87">
        <f t="shared" si="5"/>
        <v>3835</v>
      </c>
      <c r="C75" s="88" t="s">
        <v>13</v>
      </c>
      <c r="D75" s="89">
        <v>1628.4</v>
      </c>
      <c r="E75" s="103">
        <v>43635</v>
      </c>
      <c r="F75" s="96">
        <v>1628.4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43635</v>
      </c>
      <c r="B76" s="87">
        <f t="shared" si="5"/>
        <v>3836</v>
      </c>
      <c r="C76" s="88" t="s">
        <v>8</v>
      </c>
      <c r="D76" s="89">
        <v>11404.8</v>
      </c>
      <c r="E76" s="103">
        <v>43635</v>
      </c>
      <c r="F76" s="96">
        <v>11404.8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43635</v>
      </c>
      <c r="B77" s="87">
        <f t="shared" si="5"/>
        <v>3837</v>
      </c>
      <c r="C77" s="88" t="s">
        <v>9</v>
      </c>
      <c r="D77" s="89">
        <v>4560</v>
      </c>
      <c r="E77" s="103">
        <v>43635</v>
      </c>
      <c r="F77" s="96">
        <v>4560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43635</v>
      </c>
      <c r="B78" s="87">
        <f t="shared" si="5"/>
        <v>3838</v>
      </c>
      <c r="C78" s="88" t="s">
        <v>11</v>
      </c>
      <c r="D78" s="89">
        <v>11413.6</v>
      </c>
      <c r="E78" s="103" t="s">
        <v>78</v>
      </c>
      <c r="F78" s="96">
        <f>1052+7990+2371.6</f>
        <v>11413.6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43635</v>
      </c>
      <c r="B79" s="87">
        <f t="shared" si="5"/>
        <v>3839</v>
      </c>
      <c r="C79" s="88" t="s">
        <v>18</v>
      </c>
      <c r="D79" s="89">
        <v>7535.4</v>
      </c>
      <c r="E79" s="103" t="s">
        <v>77</v>
      </c>
      <c r="F79" s="96">
        <f>3000+4535.4</f>
        <v>7535.4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43635</v>
      </c>
      <c r="B80" s="87">
        <f t="shared" si="5"/>
        <v>3840</v>
      </c>
      <c r="C80" s="88" t="s">
        <v>13</v>
      </c>
      <c r="D80" s="89">
        <v>3654</v>
      </c>
      <c r="E80" s="103" t="s">
        <v>77</v>
      </c>
      <c r="F80" s="96">
        <f>2000+1654</f>
        <v>3654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43635</v>
      </c>
      <c r="B81" s="87">
        <f t="shared" si="5"/>
        <v>3841</v>
      </c>
      <c r="C81" s="88" t="s">
        <v>10</v>
      </c>
      <c r="D81" s="89">
        <v>3258</v>
      </c>
      <c r="E81" s="103">
        <v>43636</v>
      </c>
      <c r="F81" s="96">
        <v>3258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43635</v>
      </c>
      <c r="B82" s="87">
        <f t="shared" si="5"/>
        <v>3842</v>
      </c>
      <c r="C82" s="88" t="s">
        <v>12</v>
      </c>
      <c r="D82" s="89">
        <v>2824.4</v>
      </c>
      <c r="E82" s="103">
        <v>43636</v>
      </c>
      <c r="F82" s="96">
        <v>2824.4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43636</v>
      </c>
      <c r="B83" s="87">
        <f t="shared" si="5"/>
        <v>3843</v>
      </c>
      <c r="C83" s="88" t="s">
        <v>11</v>
      </c>
      <c r="D83" s="89">
        <v>13089.2</v>
      </c>
      <c r="E83" s="103">
        <v>43639</v>
      </c>
      <c r="F83" s="96">
        <v>13089.2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43636</v>
      </c>
      <c r="B84" s="87">
        <f t="shared" si="5"/>
        <v>3844</v>
      </c>
      <c r="C84" s="88" t="s">
        <v>10</v>
      </c>
      <c r="D84" s="89">
        <v>6228.2</v>
      </c>
      <c r="E84" s="103">
        <v>43637</v>
      </c>
      <c r="F84" s="96">
        <v>6228.2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43636</v>
      </c>
      <c r="B85" s="87">
        <f t="shared" si="5"/>
        <v>3845</v>
      </c>
      <c r="C85" s="88" t="s">
        <v>12</v>
      </c>
      <c r="D85" s="89">
        <v>2178</v>
      </c>
      <c r="E85" s="103">
        <v>43637</v>
      </c>
      <c r="F85" s="96">
        <v>2178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43636</v>
      </c>
      <c r="B86" s="87">
        <f t="shared" si="5"/>
        <v>3846</v>
      </c>
      <c r="C86" s="88" t="s">
        <v>13</v>
      </c>
      <c r="D86" s="89">
        <v>4361.6000000000004</v>
      </c>
      <c r="E86" s="103">
        <v>43637</v>
      </c>
      <c r="F86" s="96">
        <v>4361.6000000000004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43636</v>
      </c>
      <c r="B87" s="87">
        <f t="shared" si="5"/>
        <v>3847</v>
      </c>
      <c r="C87" s="88" t="s">
        <v>32</v>
      </c>
      <c r="D87" s="89">
        <v>3743.4</v>
      </c>
      <c r="E87" s="103" t="s">
        <v>77</v>
      </c>
      <c r="F87" s="96">
        <f>2825+918.4</f>
        <v>3743.4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43637</v>
      </c>
      <c r="B88" s="87">
        <f t="shared" si="5"/>
        <v>3848</v>
      </c>
      <c r="C88" s="88" t="s">
        <v>8</v>
      </c>
      <c r="D88" s="89">
        <v>16422.8</v>
      </c>
      <c r="E88" s="103">
        <v>43637</v>
      </c>
      <c r="F88" s="96">
        <v>16422.8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43637</v>
      </c>
      <c r="B89" s="87">
        <f t="shared" si="5"/>
        <v>3849</v>
      </c>
      <c r="C89" s="88" t="s">
        <v>12</v>
      </c>
      <c r="D89" s="89">
        <v>1908</v>
      </c>
      <c r="E89" s="103">
        <v>43639</v>
      </c>
      <c r="F89" s="96">
        <v>1908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43637</v>
      </c>
      <c r="B90" s="87">
        <f t="shared" si="5"/>
        <v>3850</v>
      </c>
      <c r="C90" s="88" t="s">
        <v>10</v>
      </c>
      <c r="D90" s="89">
        <v>3938.8</v>
      </c>
      <c r="E90" s="103">
        <v>43638</v>
      </c>
      <c r="F90" s="96">
        <v>3938.8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43637</v>
      </c>
      <c r="B91" s="87">
        <f t="shared" si="5"/>
        <v>3851</v>
      </c>
      <c r="C91" s="88" t="s">
        <v>13</v>
      </c>
      <c r="D91" s="89">
        <v>3955.6</v>
      </c>
      <c r="E91" s="103" t="s">
        <v>79</v>
      </c>
      <c r="F91" s="96">
        <f>3600+355.6</f>
        <v>3955.6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30" x14ac:dyDescent="0.25">
      <c r="A92" s="86">
        <v>43637</v>
      </c>
      <c r="B92" s="87">
        <f t="shared" si="5"/>
        <v>3852</v>
      </c>
      <c r="C92" s="88" t="s">
        <v>11</v>
      </c>
      <c r="D92" s="89">
        <v>3242.4</v>
      </c>
      <c r="E92" s="103" t="s">
        <v>80</v>
      </c>
      <c r="F92" s="96">
        <f>2628.4+614</f>
        <v>3242.4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43638</v>
      </c>
      <c r="B93" s="87">
        <f t="shared" si="5"/>
        <v>3853</v>
      </c>
      <c r="C93" s="88" t="s">
        <v>7</v>
      </c>
      <c r="D93" s="89">
        <v>8152.8</v>
      </c>
      <c r="E93" s="103">
        <v>43638</v>
      </c>
      <c r="F93" s="96">
        <v>8152.8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30" x14ac:dyDescent="0.25">
      <c r="A94" s="86">
        <v>43638</v>
      </c>
      <c r="B94" s="87">
        <f t="shared" si="5"/>
        <v>3854</v>
      </c>
      <c r="C94" s="88" t="s">
        <v>9</v>
      </c>
      <c r="D94" s="89">
        <v>51358.400000000001</v>
      </c>
      <c r="E94" s="112" t="s">
        <v>98</v>
      </c>
      <c r="F94" s="68">
        <f>30000+11358.4+10000</f>
        <v>51358.400000000001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43638</v>
      </c>
      <c r="B95" s="87">
        <f t="shared" si="5"/>
        <v>3855</v>
      </c>
      <c r="C95" s="88" t="s">
        <v>8</v>
      </c>
      <c r="D95" s="89">
        <v>4431.2</v>
      </c>
      <c r="E95" s="103">
        <v>43638</v>
      </c>
      <c r="F95" s="96">
        <v>4431.2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43638</v>
      </c>
      <c r="B96" s="87">
        <f t="shared" si="5"/>
        <v>3856</v>
      </c>
      <c r="C96" s="88" t="s">
        <v>8</v>
      </c>
      <c r="D96" s="89">
        <v>13196.4</v>
      </c>
      <c r="E96" s="103">
        <v>43638</v>
      </c>
      <c r="F96" s="96">
        <v>13196.4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43638</v>
      </c>
      <c r="B97" s="87">
        <f t="shared" si="5"/>
        <v>3857</v>
      </c>
      <c r="C97" s="88" t="s">
        <v>11</v>
      </c>
      <c r="D97" s="89">
        <v>10836</v>
      </c>
      <c r="E97" s="103">
        <v>43639</v>
      </c>
      <c r="F97" s="96">
        <v>10836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45" x14ac:dyDescent="0.25">
      <c r="A98" s="86">
        <v>43638</v>
      </c>
      <c r="B98" s="87">
        <f t="shared" si="5"/>
        <v>3858</v>
      </c>
      <c r="C98" s="88" t="s">
        <v>12</v>
      </c>
      <c r="D98" s="89">
        <v>11959.6</v>
      </c>
      <c r="E98" s="103" t="s">
        <v>86</v>
      </c>
      <c r="F98" s="96">
        <f>3000+2000+4000+2959.6</f>
        <v>11959.6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43638</v>
      </c>
      <c r="B99" s="87">
        <f t="shared" si="5"/>
        <v>3859</v>
      </c>
      <c r="C99" s="88" t="s">
        <v>10</v>
      </c>
      <c r="D99" s="89">
        <v>2502.6</v>
      </c>
      <c r="E99" s="103">
        <v>43640</v>
      </c>
      <c r="F99" s="96">
        <v>2502.6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43638</v>
      </c>
      <c r="B100" s="87">
        <f t="shared" si="5"/>
        <v>3860</v>
      </c>
      <c r="C100" s="88" t="s">
        <v>9</v>
      </c>
      <c r="D100" s="89">
        <v>1120</v>
      </c>
      <c r="E100" s="103">
        <v>43639</v>
      </c>
      <c r="F100" s="96">
        <v>1120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43639</v>
      </c>
      <c r="B101" s="87">
        <f t="shared" si="5"/>
        <v>3861</v>
      </c>
      <c r="C101" s="88" t="s">
        <v>7</v>
      </c>
      <c r="D101" s="89">
        <v>6106</v>
      </c>
      <c r="E101" s="103">
        <v>43639</v>
      </c>
      <c r="F101" s="96">
        <v>6106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43639</v>
      </c>
      <c r="B102" s="87">
        <f t="shared" si="5"/>
        <v>3862</v>
      </c>
      <c r="C102" s="88" t="s">
        <v>11</v>
      </c>
      <c r="D102" s="89">
        <v>11936.4</v>
      </c>
      <c r="E102" s="103" t="s">
        <v>81</v>
      </c>
      <c r="F102" s="96">
        <f>7961+3975.4</f>
        <v>11936.4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43639</v>
      </c>
      <c r="B103" s="87">
        <f t="shared" si="5"/>
        <v>3863</v>
      </c>
      <c r="C103" s="88" t="s">
        <v>8</v>
      </c>
      <c r="D103" s="89">
        <v>18473</v>
      </c>
      <c r="E103" s="103">
        <v>43640</v>
      </c>
      <c r="F103" s="96">
        <v>18473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43639</v>
      </c>
      <c r="B104" s="87">
        <f t="shared" si="5"/>
        <v>3864</v>
      </c>
      <c r="C104" s="88" t="s">
        <v>13</v>
      </c>
      <c r="D104" s="89">
        <v>6681</v>
      </c>
      <c r="E104" s="103">
        <v>43640</v>
      </c>
      <c r="F104" s="96">
        <v>6681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43639</v>
      </c>
      <c r="B105" s="87">
        <f t="shared" si="5"/>
        <v>3865</v>
      </c>
      <c r="C105" s="88" t="s">
        <v>10</v>
      </c>
      <c r="D105" s="89">
        <v>4394.6000000000004</v>
      </c>
      <c r="E105" s="103">
        <v>43640</v>
      </c>
      <c r="F105" s="96">
        <v>4394.6000000000004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43639</v>
      </c>
      <c r="B106" s="87">
        <f t="shared" si="5"/>
        <v>3866</v>
      </c>
      <c r="C106" s="88" t="s">
        <v>32</v>
      </c>
      <c r="D106" s="89">
        <v>5658.6</v>
      </c>
      <c r="E106" s="103">
        <v>43639</v>
      </c>
      <c r="F106" s="96">
        <v>5658.6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43640</v>
      </c>
      <c r="B107" s="87">
        <f t="shared" si="5"/>
        <v>3867</v>
      </c>
      <c r="C107" s="88" t="s">
        <v>8</v>
      </c>
      <c r="D107" s="89">
        <v>17768.2</v>
      </c>
      <c r="E107" s="103" t="s">
        <v>82</v>
      </c>
      <c r="F107" s="96">
        <f>17200+568.2</f>
        <v>17768.2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43640</v>
      </c>
      <c r="B108" s="87">
        <f t="shared" si="5"/>
        <v>3868</v>
      </c>
      <c r="C108" s="88" t="s">
        <v>74</v>
      </c>
      <c r="D108" s="89">
        <v>8047.8</v>
      </c>
      <c r="E108" s="103">
        <v>43640</v>
      </c>
      <c r="F108" s="96">
        <v>8047.8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30" x14ac:dyDescent="0.25">
      <c r="A109" s="86">
        <v>43640</v>
      </c>
      <c r="B109" s="87">
        <f t="shared" si="5"/>
        <v>3869</v>
      </c>
      <c r="C109" s="88" t="s">
        <v>11</v>
      </c>
      <c r="D109" s="89">
        <v>11197.2</v>
      </c>
      <c r="E109" s="103" t="s">
        <v>83</v>
      </c>
      <c r="F109" s="96">
        <f>5500+5697.2</f>
        <v>11197.2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43640</v>
      </c>
      <c r="B110" s="87">
        <f t="shared" si="5"/>
        <v>3870</v>
      </c>
      <c r="C110" s="88" t="s">
        <v>10</v>
      </c>
      <c r="D110" s="89">
        <v>3913</v>
      </c>
      <c r="E110" s="103">
        <v>43642</v>
      </c>
      <c r="F110" s="96">
        <v>3913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43640</v>
      </c>
      <c r="B111" s="87">
        <f t="shared" si="5"/>
        <v>3871</v>
      </c>
      <c r="C111" s="88" t="s">
        <v>13</v>
      </c>
      <c r="D111" s="89">
        <v>6389.2</v>
      </c>
      <c r="E111" s="103">
        <v>43641</v>
      </c>
      <c r="F111" s="96">
        <v>6389.2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15.75" x14ac:dyDescent="0.25">
      <c r="A112" s="86">
        <v>43640</v>
      </c>
      <c r="B112" s="87">
        <f t="shared" si="5"/>
        <v>3872</v>
      </c>
      <c r="C112" s="88" t="s">
        <v>32</v>
      </c>
      <c r="D112" s="89">
        <v>6625</v>
      </c>
      <c r="E112" s="103">
        <v>43643</v>
      </c>
      <c r="F112" s="96">
        <v>6625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43641</v>
      </c>
      <c r="B113" s="87">
        <f t="shared" si="5"/>
        <v>3873</v>
      </c>
      <c r="C113" s="88" t="s">
        <v>9</v>
      </c>
      <c r="D113" s="89">
        <v>4400</v>
      </c>
      <c r="E113" s="103">
        <v>43641</v>
      </c>
      <c r="F113" s="96">
        <v>4400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43641</v>
      </c>
      <c r="B114" s="87">
        <f t="shared" si="5"/>
        <v>3874</v>
      </c>
      <c r="C114" s="88" t="s">
        <v>13</v>
      </c>
      <c r="D114" s="89">
        <v>5014.6000000000004</v>
      </c>
      <c r="E114" s="103">
        <v>43641</v>
      </c>
      <c r="F114" s="96">
        <v>5014.6000000000004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43642</v>
      </c>
      <c r="B115" s="87">
        <f t="shared" si="5"/>
        <v>3875</v>
      </c>
      <c r="C115" s="88" t="s">
        <v>11</v>
      </c>
      <c r="D115" s="89">
        <v>9204</v>
      </c>
      <c r="E115" s="103" t="s">
        <v>84</v>
      </c>
      <c r="F115" s="96">
        <f>4500+4704</f>
        <v>9204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43642</v>
      </c>
      <c r="B116" s="87">
        <f t="shared" si="5"/>
        <v>3876</v>
      </c>
      <c r="C116" s="88" t="s">
        <v>8</v>
      </c>
      <c r="D116" s="89">
        <v>11627.6</v>
      </c>
      <c r="E116" s="103">
        <v>43642</v>
      </c>
      <c r="F116" s="96">
        <v>11627.6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43642</v>
      </c>
      <c r="B117" s="87">
        <f t="shared" si="5"/>
        <v>3877</v>
      </c>
      <c r="C117" s="88" t="s">
        <v>10</v>
      </c>
      <c r="D117" s="89">
        <v>2074.8000000000002</v>
      </c>
      <c r="E117" s="103">
        <v>43643</v>
      </c>
      <c r="F117" s="96">
        <v>2074.8000000000002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30" x14ac:dyDescent="0.25">
      <c r="A118" s="86">
        <v>43642</v>
      </c>
      <c r="B118" s="87">
        <f t="shared" si="5"/>
        <v>3878</v>
      </c>
      <c r="C118" s="88" t="s">
        <v>18</v>
      </c>
      <c r="D118" s="89">
        <v>5241.6000000000004</v>
      </c>
      <c r="E118" s="103" t="s">
        <v>83</v>
      </c>
      <c r="F118" s="96">
        <f>4500+741.6</f>
        <v>5241.6000000000004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43642</v>
      </c>
      <c r="B119" s="87">
        <f t="shared" si="5"/>
        <v>3879</v>
      </c>
      <c r="C119" s="88" t="s">
        <v>13</v>
      </c>
      <c r="D119" s="89">
        <v>5277</v>
      </c>
      <c r="E119" s="103">
        <v>43643</v>
      </c>
      <c r="F119" s="96">
        <v>5277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43643</v>
      </c>
      <c r="B120" s="87">
        <f t="shared" si="5"/>
        <v>3880</v>
      </c>
      <c r="C120" s="88" t="s">
        <v>11</v>
      </c>
      <c r="D120" s="89">
        <v>5263.8</v>
      </c>
      <c r="E120" s="103">
        <v>43646</v>
      </c>
      <c r="F120" s="96">
        <v>5263.8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43643</v>
      </c>
      <c r="B121" s="87">
        <f t="shared" si="5"/>
        <v>3881</v>
      </c>
      <c r="C121" s="88" t="s">
        <v>8</v>
      </c>
      <c r="D121" s="89">
        <v>11466</v>
      </c>
      <c r="E121" s="103">
        <v>43643</v>
      </c>
      <c r="F121" s="96">
        <v>11466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43643</v>
      </c>
      <c r="B122" s="87">
        <f t="shared" si="5"/>
        <v>3882</v>
      </c>
      <c r="C122" s="88" t="s">
        <v>18</v>
      </c>
      <c r="D122" s="89">
        <v>4407</v>
      </c>
      <c r="E122" s="103">
        <v>43643</v>
      </c>
      <c r="F122" s="96">
        <v>4407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43643</v>
      </c>
      <c r="B123" s="87">
        <f t="shared" si="5"/>
        <v>3883</v>
      </c>
      <c r="C123" s="88" t="s">
        <v>10</v>
      </c>
      <c r="D123" s="89">
        <v>5198</v>
      </c>
      <c r="E123" s="103">
        <v>43644</v>
      </c>
      <c r="F123" s="96">
        <v>5198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43643</v>
      </c>
      <c r="B124" s="87">
        <f t="shared" si="5"/>
        <v>3884</v>
      </c>
      <c r="C124" s="88" t="s">
        <v>13</v>
      </c>
      <c r="D124" s="89">
        <v>5872.8</v>
      </c>
      <c r="E124" s="103">
        <v>43644</v>
      </c>
      <c r="F124" s="96">
        <v>5872.8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43644</v>
      </c>
      <c r="B125" s="87">
        <f t="shared" si="5"/>
        <v>3885</v>
      </c>
      <c r="C125" s="88" t="s">
        <v>11</v>
      </c>
      <c r="D125" s="89">
        <v>5060.3</v>
      </c>
      <c r="E125" s="103" t="s">
        <v>85</v>
      </c>
      <c r="F125" s="96">
        <f>2032+3028.3</f>
        <v>5060.3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15.75" x14ac:dyDescent="0.25">
      <c r="A126" s="86">
        <v>43644</v>
      </c>
      <c r="B126" s="87">
        <f t="shared" si="5"/>
        <v>3886</v>
      </c>
      <c r="C126" s="88" t="s">
        <v>12</v>
      </c>
      <c r="D126" s="89">
        <v>7368</v>
      </c>
      <c r="E126" s="112" t="s">
        <v>94</v>
      </c>
      <c r="F126" s="68">
        <f>4040+3328</f>
        <v>7368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15.75" x14ac:dyDescent="0.25">
      <c r="A127" s="86">
        <v>43644</v>
      </c>
      <c r="B127" s="87">
        <f t="shared" si="5"/>
        <v>3887</v>
      </c>
      <c r="C127" s="88" t="s">
        <v>8</v>
      </c>
      <c r="D127" s="89">
        <v>12464.4</v>
      </c>
      <c r="E127" s="103">
        <v>43644</v>
      </c>
      <c r="F127" s="96">
        <v>12464.4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43644</v>
      </c>
      <c r="B128" s="87">
        <f t="shared" si="5"/>
        <v>3888</v>
      </c>
      <c r="C128" s="88" t="s">
        <v>10</v>
      </c>
      <c r="D128" s="89">
        <v>3960</v>
      </c>
      <c r="E128" s="103">
        <v>43646</v>
      </c>
      <c r="F128" s="96">
        <v>3960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43644</v>
      </c>
      <c r="B129" s="87">
        <f t="shared" si="5"/>
        <v>3889</v>
      </c>
      <c r="C129" s="88" t="s">
        <v>13</v>
      </c>
      <c r="D129" s="89">
        <v>6215.6</v>
      </c>
      <c r="E129" s="103">
        <v>43645</v>
      </c>
      <c r="F129" s="96">
        <v>6215.6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43645</v>
      </c>
      <c r="B130" s="87">
        <f t="shared" si="5"/>
        <v>3890</v>
      </c>
      <c r="C130" s="88" t="s">
        <v>7</v>
      </c>
      <c r="D130" s="89">
        <v>12539.28</v>
      </c>
      <c r="E130" s="103">
        <v>43645</v>
      </c>
      <c r="F130" s="96">
        <v>12539.28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43645</v>
      </c>
      <c r="B131" s="87">
        <f t="shared" si="5"/>
        <v>3891</v>
      </c>
      <c r="C131" s="88" t="s">
        <v>9</v>
      </c>
      <c r="D131" s="89">
        <v>42478.48</v>
      </c>
      <c r="E131" s="112" t="s">
        <v>101</v>
      </c>
      <c r="F131" s="68">
        <f>32478.48+10000</f>
        <v>42478.479999999996</v>
      </c>
      <c r="G131" s="93">
        <f t="shared" si="1"/>
        <v>0</v>
      </c>
      <c r="H131" s="115"/>
      <c r="I131" s="115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43645</v>
      </c>
      <c r="B132" s="87">
        <f t="shared" si="5"/>
        <v>3892</v>
      </c>
      <c r="C132" s="88" t="s">
        <v>8</v>
      </c>
      <c r="D132" s="89">
        <v>15114.4</v>
      </c>
      <c r="E132" s="103">
        <v>43645</v>
      </c>
      <c r="F132" s="96">
        <v>15114.4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43645</v>
      </c>
      <c r="B133" s="87">
        <f t="shared" si="5"/>
        <v>3893</v>
      </c>
      <c r="C133" s="88" t="s">
        <v>10</v>
      </c>
      <c r="D133" s="89">
        <v>3400</v>
      </c>
      <c r="E133" s="103">
        <v>43647</v>
      </c>
      <c r="F133" s="96">
        <v>3400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43645</v>
      </c>
      <c r="B134" s="87">
        <f t="shared" si="5"/>
        <v>3894</v>
      </c>
      <c r="C134" s="88" t="s">
        <v>13</v>
      </c>
      <c r="D134" s="89">
        <v>5953.2</v>
      </c>
      <c r="E134" s="103">
        <v>43646</v>
      </c>
      <c r="F134" s="96">
        <v>5953.2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43645</v>
      </c>
      <c r="B135" s="87">
        <f t="shared" ref="B135:B161" si="6">B134+1</f>
        <v>3895</v>
      </c>
      <c r="C135" s="88" t="s">
        <v>8</v>
      </c>
      <c r="D135" s="89">
        <v>5787.6</v>
      </c>
      <c r="E135" s="103">
        <v>43646</v>
      </c>
      <c r="F135" s="96">
        <v>5787.6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43645</v>
      </c>
      <c r="B136" s="87">
        <f t="shared" si="6"/>
        <v>3896</v>
      </c>
      <c r="C136" s="88" t="s">
        <v>61</v>
      </c>
      <c r="D136" s="89">
        <v>5070</v>
      </c>
      <c r="E136" s="103">
        <v>43645</v>
      </c>
      <c r="F136" s="96">
        <v>5070</v>
      </c>
      <c r="G136" s="32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43646</v>
      </c>
      <c r="B137" s="87">
        <f t="shared" si="6"/>
        <v>3897</v>
      </c>
      <c r="C137" s="88" t="s">
        <v>11</v>
      </c>
      <c r="D137" s="89">
        <v>10959</v>
      </c>
      <c r="E137" s="103">
        <v>43647</v>
      </c>
      <c r="F137" s="96">
        <v>10959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43646</v>
      </c>
      <c r="B138" s="87">
        <f t="shared" si="6"/>
        <v>3898</v>
      </c>
      <c r="C138" s="88" t="s">
        <v>8</v>
      </c>
      <c r="D138" s="89">
        <v>7980</v>
      </c>
      <c r="E138" s="103">
        <v>43646</v>
      </c>
      <c r="F138" s="96">
        <v>7980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43646</v>
      </c>
      <c r="B139" s="87">
        <f t="shared" si="6"/>
        <v>3899</v>
      </c>
      <c r="C139" s="88" t="s">
        <v>10</v>
      </c>
      <c r="D139" s="89">
        <v>4552</v>
      </c>
      <c r="E139" s="103">
        <v>43647</v>
      </c>
      <c r="F139" s="96">
        <v>4552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43646</v>
      </c>
      <c r="B140" s="87">
        <f t="shared" si="6"/>
        <v>3900</v>
      </c>
      <c r="C140" s="88" t="s">
        <v>13</v>
      </c>
      <c r="D140" s="89">
        <v>5462.6</v>
      </c>
      <c r="E140" s="103">
        <v>43647</v>
      </c>
      <c r="F140" s="96">
        <v>5462.6</v>
      </c>
      <c r="G140" s="32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>
        <v>43647</v>
      </c>
      <c r="B141" s="87">
        <f t="shared" si="6"/>
        <v>3901</v>
      </c>
      <c r="C141" s="88" t="s">
        <v>11</v>
      </c>
      <c r="D141" s="89">
        <v>6052.8</v>
      </c>
      <c r="E141" s="103">
        <v>43649</v>
      </c>
      <c r="F141" s="96">
        <f>1439.3+4613.5</f>
        <v>6052.8</v>
      </c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x14ac:dyDescent="0.25">
      <c r="A142" s="86">
        <v>43647</v>
      </c>
      <c r="B142" s="87">
        <f t="shared" si="6"/>
        <v>3902</v>
      </c>
      <c r="C142" s="88" t="s">
        <v>11</v>
      </c>
      <c r="D142" s="89">
        <v>9399</v>
      </c>
      <c r="E142" s="103" t="s">
        <v>87</v>
      </c>
      <c r="F142" s="96">
        <f>7012.5+2386.5</f>
        <v>9399</v>
      </c>
      <c r="G142" s="32">
        <f t="shared" si="1"/>
        <v>0</v>
      </c>
      <c r="H142" s="2"/>
      <c r="K142" s="20"/>
      <c r="L142" s="58"/>
      <c r="M142" s="59"/>
      <c r="N142" s="25"/>
      <c r="O142" s="24"/>
      <c r="P142" s="25"/>
      <c r="Q142" s="60"/>
    </row>
    <row r="143" spans="1:17" ht="15.75" x14ac:dyDescent="0.25">
      <c r="A143" s="86">
        <v>43647</v>
      </c>
      <c r="B143" s="87">
        <f t="shared" si="6"/>
        <v>3903</v>
      </c>
      <c r="C143" s="88" t="s">
        <v>74</v>
      </c>
      <c r="D143" s="89">
        <v>7881.2</v>
      </c>
      <c r="E143" s="103">
        <v>43647</v>
      </c>
      <c r="F143" s="96">
        <v>7881.2</v>
      </c>
      <c r="G143" s="32">
        <f t="shared" si="1"/>
        <v>0</v>
      </c>
      <c r="H143" s="2"/>
      <c r="K143" s="20"/>
      <c r="L143" s="58"/>
      <c r="M143" s="59"/>
      <c r="N143" s="25"/>
      <c r="O143" s="24"/>
      <c r="P143" s="25"/>
      <c r="Q143" s="60"/>
    </row>
    <row r="144" spans="1:17" ht="15.75" x14ac:dyDescent="0.25">
      <c r="A144" s="86">
        <v>43647</v>
      </c>
      <c r="B144" s="87">
        <f t="shared" si="6"/>
        <v>3904</v>
      </c>
      <c r="C144" s="88" t="s">
        <v>8</v>
      </c>
      <c r="D144" s="89">
        <v>7873.6</v>
      </c>
      <c r="E144" s="103">
        <v>43647</v>
      </c>
      <c r="F144" s="96">
        <v>7873.6</v>
      </c>
      <c r="G144" s="32">
        <f t="shared" si="1"/>
        <v>0</v>
      </c>
      <c r="H144" s="2"/>
      <c r="K144" s="20"/>
      <c r="L144" s="58"/>
      <c r="M144" s="59"/>
      <c r="N144" s="25"/>
      <c r="O144" s="24"/>
      <c r="P144" s="25"/>
      <c r="Q144" s="60"/>
    </row>
    <row r="145" spans="1:17" ht="15.75" x14ac:dyDescent="0.25">
      <c r="A145" s="86">
        <v>43647</v>
      </c>
      <c r="B145" s="87">
        <f t="shared" si="6"/>
        <v>3905</v>
      </c>
      <c r="C145" s="88" t="s">
        <v>10</v>
      </c>
      <c r="D145" s="89">
        <v>3648</v>
      </c>
      <c r="E145" s="103">
        <v>43648</v>
      </c>
      <c r="F145" s="96">
        <v>3648</v>
      </c>
      <c r="G145" s="32">
        <f t="shared" si="1"/>
        <v>0</v>
      </c>
      <c r="H145" s="2"/>
      <c r="K145" s="20"/>
      <c r="L145" s="58"/>
      <c r="M145" s="59"/>
      <c r="N145" s="25"/>
      <c r="O145" s="24"/>
      <c r="P145" s="25"/>
      <c r="Q145" s="60"/>
    </row>
    <row r="146" spans="1:17" ht="15.75" x14ac:dyDescent="0.25">
      <c r="A146" s="86">
        <v>43647</v>
      </c>
      <c r="B146" s="87">
        <f t="shared" si="6"/>
        <v>3906</v>
      </c>
      <c r="C146" s="88" t="s">
        <v>8</v>
      </c>
      <c r="D146" s="89">
        <v>1751.6</v>
      </c>
      <c r="E146" s="103">
        <v>43647</v>
      </c>
      <c r="F146" s="96">
        <v>1751.6</v>
      </c>
      <c r="G146" s="32">
        <f t="shared" si="1"/>
        <v>0</v>
      </c>
      <c r="H146" s="2"/>
      <c r="K146" s="20"/>
      <c r="L146" s="58"/>
      <c r="M146" s="59"/>
      <c r="N146" s="25"/>
      <c r="O146" s="24"/>
      <c r="P146" s="25"/>
      <c r="Q146" s="60"/>
    </row>
    <row r="147" spans="1:17" ht="15.75" x14ac:dyDescent="0.25">
      <c r="A147" s="86">
        <v>43647</v>
      </c>
      <c r="B147" s="87">
        <f t="shared" si="6"/>
        <v>3907</v>
      </c>
      <c r="C147" s="88" t="s">
        <v>13</v>
      </c>
      <c r="D147" s="89">
        <v>5940.4</v>
      </c>
      <c r="E147" s="103">
        <v>43649</v>
      </c>
      <c r="F147" s="96">
        <v>5940.4</v>
      </c>
      <c r="G147" s="32">
        <f t="shared" si="1"/>
        <v>0</v>
      </c>
      <c r="H147" s="2"/>
      <c r="K147" s="20"/>
      <c r="L147" s="58"/>
      <c r="M147" s="59"/>
      <c r="N147" s="25"/>
      <c r="O147" s="24"/>
      <c r="P147" s="25"/>
      <c r="Q147" s="60"/>
    </row>
    <row r="148" spans="1:17" ht="15.75" x14ac:dyDescent="0.25">
      <c r="A148" s="86">
        <v>43648</v>
      </c>
      <c r="B148" s="87">
        <f t="shared" si="6"/>
        <v>3908</v>
      </c>
      <c r="C148" s="88" t="s">
        <v>32</v>
      </c>
      <c r="D148" s="89">
        <v>6681</v>
      </c>
      <c r="E148" s="112" t="s">
        <v>89</v>
      </c>
      <c r="F148" s="68">
        <f>3000+3681</f>
        <v>6681</v>
      </c>
      <c r="G148" s="32">
        <f t="shared" si="1"/>
        <v>0</v>
      </c>
      <c r="H148" s="2"/>
      <c r="K148" s="20"/>
      <c r="L148" s="58"/>
      <c r="M148" s="59"/>
      <c r="N148" s="25"/>
      <c r="O148" s="24"/>
      <c r="P148" s="25"/>
      <c r="Q148" s="60"/>
    </row>
    <row r="149" spans="1:17" ht="15.75" x14ac:dyDescent="0.25">
      <c r="A149" s="86">
        <v>43648</v>
      </c>
      <c r="B149" s="87">
        <f t="shared" si="6"/>
        <v>3909</v>
      </c>
      <c r="C149" s="88" t="s">
        <v>11</v>
      </c>
      <c r="D149" s="89">
        <v>2576.4</v>
      </c>
      <c r="E149" s="112" t="s">
        <v>88</v>
      </c>
      <c r="F149" s="68">
        <f>2076.4+500</f>
        <v>2576.4</v>
      </c>
      <c r="G149" s="32">
        <f t="shared" si="1"/>
        <v>0</v>
      </c>
      <c r="H149" s="2"/>
      <c r="K149" s="20"/>
      <c r="L149" s="58"/>
      <c r="M149" s="59"/>
      <c r="N149" s="25"/>
      <c r="O149" s="24"/>
      <c r="P149" s="25"/>
      <c r="Q149" s="60"/>
    </row>
    <row r="150" spans="1:17" ht="15.75" x14ac:dyDescent="0.25">
      <c r="A150" s="86">
        <v>43648</v>
      </c>
      <c r="B150" s="87">
        <f t="shared" si="6"/>
        <v>3910</v>
      </c>
      <c r="C150" s="88" t="s">
        <v>61</v>
      </c>
      <c r="D150" s="89">
        <v>3726.45</v>
      </c>
      <c r="E150" s="103">
        <v>43648</v>
      </c>
      <c r="F150" s="96">
        <v>3726.45</v>
      </c>
      <c r="G150" s="32">
        <f t="shared" si="1"/>
        <v>0</v>
      </c>
      <c r="H150" s="2"/>
      <c r="K150" s="20"/>
      <c r="L150" s="58"/>
      <c r="M150" s="59"/>
      <c r="N150" s="25"/>
      <c r="O150" s="24"/>
      <c r="P150" s="25"/>
      <c r="Q150" s="60"/>
    </row>
    <row r="151" spans="1:17" ht="15.75" x14ac:dyDescent="0.25">
      <c r="A151" s="86">
        <v>43648</v>
      </c>
      <c r="B151" s="87">
        <f t="shared" si="6"/>
        <v>3911</v>
      </c>
      <c r="C151" s="88" t="s">
        <v>10</v>
      </c>
      <c r="D151" s="89">
        <v>2696</v>
      </c>
      <c r="E151" s="103">
        <v>43649</v>
      </c>
      <c r="F151" s="96">
        <v>2696</v>
      </c>
      <c r="G151" s="32">
        <f t="shared" si="1"/>
        <v>0</v>
      </c>
      <c r="H151" s="2"/>
      <c r="K151" s="20"/>
      <c r="L151" s="58"/>
      <c r="M151" s="59"/>
      <c r="N151" s="25"/>
      <c r="O151" s="24"/>
      <c r="P151" s="25"/>
      <c r="Q151" s="60"/>
    </row>
    <row r="152" spans="1:17" ht="15.75" x14ac:dyDescent="0.25">
      <c r="A152" s="86">
        <v>43648</v>
      </c>
      <c r="B152" s="87">
        <f t="shared" si="6"/>
        <v>3912</v>
      </c>
      <c r="C152" s="88" t="s">
        <v>18</v>
      </c>
      <c r="D152" s="89">
        <v>4352.3999999999996</v>
      </c>
      <c r="E152" s="112">
        <v>43650</v>
      </c>
      <c r="F152" s="68">
        <v>4352.3999999999996</v>
      </c>
      <c r="G152" s="32">
        <f t="shared" si="1"/>
        <v>0</v>
      </c>
      <c r="H152" s="2"/>
      <c r="K152" s="20"/>
      <c r="L152" s="58"/>
      <c r="M152" s="59"/>
      <c r="N152" s="25"/>
      <c r="O152" s="24"/>
      <c r="P152" s="25"/>
      <c r="Q152" s="60"/>
    </row>
    <row r="153" spans="1:17" ht="15.75" x14ac:dyDescent="0.25">
      <c r="A153" s="86">
        <v>43649</v>
      </c>
      <c r="B153" s="87">
        <f t="shared" si="6"/>
        <v>3913</v>
      </c>
      <c r="C153" s="88" t="s">
        <v>8</v>
      </c>
      <c r="D153" s="89">
        <v>9439.2000000000007</v>
      </c>
      <c r="E153" s="103">
        <v>43649</v>
      </c>
      <c r="F153" s="96">
        <v>9439.2000000000007</v>
      </c>
      <c r="G153" s="32">
        <f t="shared" si="1"/>
        <v>0</v>
      </c>
      <c r="H153" s="2"/>
      <c r="K153" s="20"/>
      <c r="L153" s="58"/>
      <c r="M153" s="59"/>
      <c r="N153" s="25"/>
      <c r="O153" s="24"/>
      <c r="P153" s="25"/>
      <c r="Q153" s="60"/>
    </row>
    <row r="154" spans="1:17" ht="15.75" x14ac:dyDescent="0.25">
      <c r="A154" s="86">
        <v>43649</v>
      </c>
      <c r="B154" s="87">
        <f t="shared" si="6"/>
        <v>3914</v>
      </c>
      <c r="C154" s="88" t="s">
        <v>8</v>
      </c>
      <c r="D154" s="89">
        <v>8073.2</v>
      </c>
      <c r="E154" s="103">
        <v>43649</v>
      </c>
      <c r="F154" s="96">
        <v>8073.2</v>
      </c>
      <c r="G154" s="32">
        <f t="shared" si="1"/>
        <v>0</v>
      </c>
      <c r="H154" s="2"/>
      <c r="K154" s="20"/>
      <c r="L154" s="58"/>
      <c r="M154" s="59"/>
      <c r="N154" s="25"/>
      <c r="O154" s="24"/>
      <c r="P154" s="25"/>
      <c r="Q154" s="60"/>
    </row>
    <row r="155" spans="1:17" ht="15.75" x14ac:dyDescent="0.25">
      <c r="A155" s="86">
        <v>43649</v>
      </c>
      <c r="B155" s="87">
        <f t="shared" si="6"/>
        <v>3915</v>
      </c>
      <c r="C155" s="88" t="s">
        <v>14</v>
      </c>
      <c r="D155" s="89">
        <v>2344.3000000000002</v>
      </c>
      <c r="E155" s="103">
        <v>43649</v>
      </c>
      <c r="F155" s="96">
        <v>2344.3000000000002</v>
      </c>
      <c r="G155" s="32">
        <f t="shared" si="1"/>
        <v>0</v>
      </c>
      <c r="H155" s="2"/>
      <c r="K155" s="20"/>
      <c r="L155" s="58"/>
      <c r="M155" s="59"/>
      <c r="N155" s="25"/>
      <c r="O155" s="24"/>
      <c r="P155" s="25"/>
      <c r="Q155" s="60"/>
    </row>
    <row r="156" spans="1:17" ht="30" x14ac:dyDescent="0.25">
      <c r="A156" s="86">
        <v>43649</v>
      </c>
      <c r="B156" s="87">
        <f t="shared" si="6"/>
        <v>3916</v>
      </c>
      <c r="C156" s="88" t="s">
        <v>11</v>
      </c>
      <c r="D156" s="89">
        <v>6075.48</v>
      </c>
      <c r="E156" s="112" t="s">
        <v>95</v>
      </c>
      <c r="F156" s="68">
        <f>2200+3400+475.48</f>
        <v>6075.48</v>
      </c>
      <c r="G156" s="116">
        <f t="shared" si="1"/>
        <v>0</v>
      </c>
      <c r="H156" s="2"/>
      <c r="K156" s="20"/>
      <c r="L156" s="58"/>
      <c r="M156" s="59"/>
      <c r="N156" s="25"/>
      <c r="O156" s="24"/>
      <c r="P156" s="25"/>
      <c r="Q156" s="60"/>
    </row>
    <row r="157" spans="1:17" ht="15.75" x14ac:dyDescent="0.25">
      <c r="A157" s="86">
        <v>43649</v>
      </c>
      <c r="B157" s="87">
        <f t="shared" si="6"/>
        <v>3917</v>
      </c>
      <c r="C157" s="88" t="s">
        <v>18</v>
      </c>
      <c r="D157" s="89">
        <v>6863.2</v>
      </c>
      <c r="E157" s="112">
        <v>43650</v>
      </c>
      <c r="F157" s="68">
        <v>6863.2</v>
      </c>
      <c r="G157" s="32">
        <f t="shared" si="1"/>
        <v>0</v>
      </c>
      <c r="H157" s="2"/>
      <c r="K157" s="20"/>
      <c r="L157" s="58"/>
      <c r="M157" s="59"/>
      <c r="N157" s="25"/>
      <c r="O157" s="24"/>
      <c r="P157" s="25"/>
      <c r="Q157" s="60"/>
    </row>
    <row r="158" spans="1:17" ht="15.75" x14ac:dyDescent="0.25">
      <c r="A158" s="86">
        <v>43649</v>
      </c>
      <c r="B158" s="87">
        <f t="shared" si="6"/>
        <v>3918</v>
      </c>
      <c r="C158" s="88" t="s">
        <v>10</v>
      </c>
      <c r="D158" s="89">
        <v>3384</v>
      </c>
      <c r="E158" s="112">
        <v>43650</v>
      </c>
      <c r="F158" s="68">
        <v>3384</v>
      </c>
      <c r="G158" s="32">
        <f t="shared" si="1"/>
        <v>0</v>
      </c>
      <c r="H158" s="2"/>
      <c r="K158" s="20"/>
      <c r="L158" s="58"/>
      <c r="M158" s="59"/>
      <c r="N158" s="25"/>
      <c r="O158" s="24"/>
      <c r="P158" s="25"/>
      <c r="Q158" s="60"/>
    </row>
    <row r="159" spans="1:17" ht="15.75" x14ac:dyDescent="0.25">
      <c r="A159" s="86">
        <v>43649</v>
      </c>
      <c r="B159" s="87">
        <f t="shared" si="6"/>
        <v>3919</v>
      </c>
      <c r="C159" s="88" t="s">
        <v>13</v>
      </c>
      <c r="D159" s="89">
        <v>6354.6</v>
      </c>
      <c r="E159" s="112" t="s">
        <v>93</v>
      </c>
      <c r="F159" s="68">
        <f>4000+2354.6</f>
        <v>6354.6</v>
      </c>
      <c r="G159" s="116">
        <f t="shared" si="1"/>
        <v>0</v>
      </c>
      <c r="H159" s="2"/>
      <c r="K159" s="20"/>
      <c r="L159" s="58"/>
      <c r="M159" s="59"/>
      <c r="N159" s="25"/>
      <c r="O159" s="24"/>
      <c r="P159" s="25"/>
      <c r="Q159" s="60"/>
    </row>
    <row r="160" spans="1:17" ht="15.75" x14ac:dyDescent="0.25">
      <c r="A160" s="86">
        <v>43649</v>
      </c>
      <c r="B160" s="87">
        <f t="shared" si="6"/>
        <v>3920</v>
      </c>
      <c r="C160" s="88" t="s">
        <v>9</v>
      </c>
      <c r="D160" s="89">
        <v>1110.5999999999999</v>
      </c>
      <c r="E160" s="112">
        <v>43653</v>
      </c>
      <c r="F160" s="68">
        <v>1110.5999999999999</v>
      </c>
      <c r="G160" s="32">
        <f t="shared" si="1"/>
        <v>0</v>
      </c>
      <c r="H160" s="2"/>
      <c r="K160" s="20"/>
      <c r="L160" s="58"/>
      <c r="M160" s="59"/>
      <c r="N160" s="25"/>
      <c r="O160" s="24"/>
      <c r="P160" s="25"/>
      <c r="Q160" s="60"/>
    </row>
    <row r="161" spans="1:17" ht="15.75" x14ac:dyDescent="0.25">
      <c r="A161" s="86">
        <v>43649</v>
      </c>
      <c r="B161" s="87">
        <f t="shared" si="6"/>
        <v>3921</v>
      </c>
      <c r="C161" s="88" t="s">
        <v>11</v>
      </c>
      <c r="D161" s="89">
        <v>14000</v>
      </c>
      <c r="E161" s="112" t="s">
        <v>97</v>
      </c>
      <c r="F161" s="68">
        <f>3000+11000</f>
        <v>14000</v>
      </c>
      <c r="G161" s="32">
        <f t="shared" si="1"/>
        <v>0</v>
      </c>
      <c r="H161" s="2"/>
      <c r="K161" s="20"/>
      <c r="L161" s="58"/>
      <c r="M161" s="59"/>
      <c r="N161" s="25"/>
      <c r="O161" s="24"/>
      <c r="P161" s="25"/>
      <c r="Q161" s="60"/>
    </row>
    <row r="162" spans="1:17" ht="15.75" x14ac:dyDescent="0.25">
      <c r="A162" s="86"/>
      <c r="B162" s="87"/>
      <c r="C162" s="88"/>
      <c r="D162" s="89"/>
      <c r="E162" s="108"/>
      <c r="F162" s="105"/>
      <c r="G162" s="32">
        <f t="shared" si="1"/>
        <v>0</v>
      </c>
      <c r="H162" s="2"/>
      <c r="K162" s="20"/>
      <c r="L162" s="58"/>
      <c r="M162" s="59"/>
      <c r="N162" s="25"/>
      <c r="O162" s="24"/>
      <c r="P162" s="25"/>
      <c r="Q162" s="60"/>
    </row>
    <row r="163" spans="1:17" ht="15.75" x14ac:dyDescent="0.25">
      <c r="A163" s="86"/>
      <c r="B163" s="87"/>
      <c r="C163" s="88"/>
      <c r="D163" s="89"/>
      <c r="E163" s="108"/>
      <c r="F163" s="105"/>
      <c r="G163" s="32">
        <f t="shared" si="1"/>
        <v>0</v>
      </c>
      <c r="H163" s="2"/>
      <c r="K163" s="20"/>
      <c r="L163" s="58"/>
      <c r="M163" s="59"/>
      <c r="N163" s="25"/>
      <c r="O163" s="24"/>
      <c r="P163" s="25"/>
      <c r="Q163" s="60"/>
    </row>
    <row r="164" spans="1:17" ht="15.75" x14ac:dyDescent="0.25">
      <c r="A164" s="86"/>
      <c r="B164" s="87"/>
      <c r="C164" s="88"/>
      <c r="D164" s="89"/>
      <c r="E164" s="108"/>
      <c r="F164" s="105"/>
      <c r="G164" s="32">
        <f t="shared" si="1"/>
        <v>0</v>
      </c>
      <c r="H164" s="2"/>
      <c r="K164" s="20"/>
      <c r="L164" s="58"/>
      <c r="M164" s="59"/>
      <c r="N164" s="25"/>
      <c r="O164" s="24"/>
      <c r="P164" s="25"/>
      <c r="Q164" s="60"/>
    </row>
    <row r="165" spans="1:17" ht="15.75" x14ac:dyDescent="0.25">
      <c r="A165" s="86"/>
      <c r="B165" s="87"/>
      <c r="C165" s="88"/>
      <c r="D165" s="89"/>
      <c r="E165" s="108"/>
      <c r="F165" s="105"/>
      <c r="G165" s="32">
        <f t="shared" si="1"/>
        <v>0</v>
      </c>
      <c r="H165" s="2"/>
      <c r="K165" s="20"/>
      <c r="L165" s="58"/>
      <c r="M165" s="59"/>
      <c r="N165" s="25"/>
      <c r="O165" s="24"/>
      <c r="P165" s="25"/>
      <c r="Q165" s="60"/>
    </row>
    <row r="166" spans="1:17" ht="15.75" x14ac:dyDescent="0.25">
      <c r="A166" s="86"/>
      <c r="B166" s="87"/>
      <c r="C166" s="88"/>
      <c r="D166" s="89"/>
      <c r="E166" s="108"/>
      <c r="F166" s="105"/>
      <c r="G166" s="32">
        <f t="shared" si="1"/>
        <v>0</v>
      </c>
      <c r="H166" s="2"/>
      <c r="K166" s="20"/>
      <c r="L166" s="58"/>
      <c r="M166" s="59"/>
      <c r="N166" s="25"/>
      <c r="O166" s="24"/>
      <c r="P166" s="25"/>
      <c r="Q166" s="60"/>
    </row>
    <row r="167" spans="1:17" ht="15.75" x14ac:dyDescent="0.25">
      <c r="A167" s="86"/>
      <c r="B167" s="87"/>
      <c r="C167" s="88"/>
      <c r="D167" s="89"/>
      <c r="E167" s="108"/>
      <c r="F167" s="105"/>
      <c r="G167" s="32">
        <f t="shared" si="1"/>
        <v>0</v>
      </c>
      <c r="H167" s="2"/>
      <c r="K167" s="20"/>
      <c r="L167" s="58"/>
      <c r="M167" s="59"/>
      <c r="N167" s="25"/>
      <c r="O167" s="24"/>
      <c r="P167" s="25"/>
      <c r="Q167" s="60"/>
    </row>
    <row r="168" spans="1:17" ht="15.75" x14ac:dyDescent="0.25">
      <c r="A168" s="86"/>
      <c r="B168" s="87"/>
      <c r="C168" s="88"/>
      <c r="D168" s="89"/>
      <c r="E168" s="103"/>
      <c r="F168" s="96"/>
      <c r="G168" s="32">
        <f t="shared" si="1"/>
        <v>0</v>
      </c>
      <c r="H168" s="2"/>
      <c r="K168" s="20"/>
      <c r="L168" s="58"/>
      <c r="M168" s="59"/>
      <c r="N168" s="25"/>
      <c r="O168" s="24"/>
      <c r="P168" s="25"/>
      <c r="Q168" s="60"/>
    </row>
    <row r="169" spans="1:17" ht="15.75" x14ac:dyDescent="0.25">
      <c r="A169" s="86"/>
      <c r="B169" s="87"/>
      <c r="C169" s="88"/>
      <c r="D169" s="89"/>
      <c r="E169" s="103"/>
      <c r="F169" s="96"/>
      <c r="G169" s="32">
        <f t="shared" si="1"/>
        <v>0</v>
      </c>
      <c r="H169" s="2"/>
      <c r="K169" s="20"/>
      <c r="L169" s="58"/>
      <c r="M169" s="59"/>
      <c r="N169" s="25"/>
      <c r="O169" s="24"/>
      <c r="P169" s="25"/>
      <c r="Q169" s="60"/>
    </row>
    <row r="170" spans="1:17" ht="15.75" thickBot="1" x14ac:dyDescent="0.3">
      <c r="A170" s="43"/>
      <c r="B170" s="44"/>
      <c r="C170" s="45"/>
      <c r="D170" s="46"/>
      <c r="E170" s="109"/>
      <c r="F170" s="46"/>
      <c r="G170" s="32">
        <f t="shared" si="1"/>
        <v>0</v>
      </c>
      <c r="H170" s="2"/>
    </row>
    <row r="171" spans="1:17" ht="16.5" thickTop="1" x14ac:dyDescent="0.25">
      <c r="A171" s="49"/>
      <c r="B171" s="50"/>
      <c r="C171" s="2"/>
      <c r="D171" s="51">
        <f>SUM(D4:D170)</f>
        <v>1245900.9400000002</v>
      </c>
      <c r="E171" s="110"/>
      <c r="F171" s="51">
        <f>SUM(F4:F170)</f>
        <v>1245900.9400000002</v>
      </c>
      <c r="G171" s="55"/>
      <c r="H171" s="2"/>
    </row>
    <row r="172" spans="1:17" x14ac:dyDescent="0.25">
      <c r="A172" s="49"/>
      <c r="B172" s="50"/>
      <c r="C172" s="2"/>
      <c r="D172" s="53"/>
      <c r="E172" s="110"/>
      <c r="F172" s="53"/>
      <c r="G172" s="55"/>
      <c r="H172" s="2"/>
    </row>
    <row r="173" spans="1:17" ht="30" x14ac:dyDescent="0.25">
      <c r="A173" s="49"/>
      <c r="B173" s="50"/>
      <c r="C173" s="2"/>
      <c r="D173" s="56" t="s">
        <v>15</v>
      </c>
      <c r="E173" s="110"/>
      <c r="F173" s="57" t="s">
        <v>16</v>
      </c>
      <c r="G173" s="55"/>
      <c r="H173" s="2"/>
    </row>
    <row r="174" spans="1:17" ht="15.75" thickBot="1" x14ac:dyDescent="0.3">
      <c r="A174" s="49"/>
      <c r="B174" s="50"/>
      <c r="C174" s="2"/>
      <c r="D174" s="56"/>
      <c r="E174" s="110"/>
      <c r="F174" s="57"/>
      <c r="G174" s="55"/>
      <c r="H174" s="2"/>
    </row>
    <row r="175" spans="1:17" ht="21.75" thickBot="1" x14ac:dyDescent="0.4">
      <c r="A175" s="49"/>
      <c r="B175" s="50"/>
      <c r="C175" s="2"/>
      <c r="D175" s="126">
        <f>D171-F171</f>
        <v>0</v>
      </c>
      <c r="E175" s="127"/>
      <c r="F175" s="128"/>
      <c r="H175" s="2"/>
    </row>
    <row r="176" spans="1:17" x14ac:dyDescent="0.25">
      <c r="A176" s="49"/>
      <c r="B176" s="50"/>
      <c r="C176" s="2"/>
      <c r="D176" s="53"/>
      <c r="E176" s="110"/>
      <c r="F176" s="53"/>
      <c r="H176" s="2"/>
      <c r="K176" s="49"/>
      <c r="L176" s="50"/>
      <c r="M176" s="2"/>
      <c r="N176" s="53"/>
      <c r="O176" s="52"/>
      <c r="P176" s="53"/>
    </row>
    <row r="177" spans="1:16" ht="18.75" x14ac:dyDescent="0.3">
      <c r="A177" s="49"/>
      <c r="B177" s="50"/>
      <c r="C177" s="2"/>
      <c r="D177" s="129" t="s">
        <v>17</v>
      </c>
      <c r="E177" s="129"/>
      <c r="F177" s="129"/>
      <c r="H177" s="2"/>
      <c r="K177" s="49"/>
      <c r="L177" s="50"/>
      <c r="M177" s="2"/>
    </row>
    <row r="178" spans="1:16" x14ac:dyDescent="0.25">
      <c r="A178" s="49"/>
      <c r="B178" s="50"/>
      <c r="C178" s="2"/>
      <c r="D178" s="53"/>
      <c r="E178" s="110"/>
      <c r="F178" s="53"/>
      <c r="H178" s="2"/>
      <c r="K178" s="49"/>
      <c r="L178" s="50"/>
      <c r="M178" s="2"/>
      <c r="N178" s="53"/>
      <c r="O178" s="52"/>
      <c r="P178" s="53"/>
    </row>
    <row r="179" spans="1:16" x14ac:dyDescent="0.25">
      <c r="A179" s="49"/>
      <c r="B179" s="50"/>
      <c r="C179" s="2"/>
      <c r="D179" s="53"/>
      <c r="E179" s="110"/>
      <c r="F179" s="53"/>
      <c r="H179" s="2"/>
      <c r="K179" s="49"/>
      <c r="L179" s="50"/>
      <c r="M179" s="2"/>
      <c r="N179" s="53"/>
      <c r="O179" s="52"/>
      <c r="P179" s="53"/>
    </row>
    <row r="180" spans="1:16" x14ac:dyDescent="0.25">
      <c r="A180" s="49"/>
      <c r="B180" s="50"/>
      <c r="C180" s="2"/>
      <c r="D180" s="53"/>
      <c r="E180" s="110"/>
      <c r="F180" s="53"/>
      <c r="H180" s="2"/>
      <c r="K180" s="49"/>
      <c r="L180" s="50"/>
      <c r="M180" s="2"/>
      <c r="N180" s="53"/>
      <c r="O180" s="52"/>
      <c r="P180" s="53"/>
    </row>
    <row r="181" spans="1:16" x14ac:dyDescent="0.25">
      <c r="A181" s="49"/>
      <c r="B181" s="50"/>
      <c r="C181" s="2"/>
      <c r="D181" s="53"/>
      <c r="E181" s="110"/>
      <c r="F181" s="53"/>
      <c r="H181" s="2"/>
      <c r="K181" s="49"/>
      <c r="L181" s="50"/>
      <c r="M181" s="2"/>
      <c r="N181" s="53"/>
      <c r="O181" s="52"/>
      <c r="P181" s="53"/>
    </row>
    <row r="182" spans="1:16" x14ac:dyDescent="0.25">
      <c r="A182" s="49"/>
      <c r="B182" s="50"/>
      <c r="C182" s="2"/>
      <c r="D182" s="53"/>
      <c r="E182" s="110"/>
      <c r="F182" s="53"/>
      <c r="H182" s="2"/>
      <c r="K182" s="49"/>
      <c r="L182" s="50"/>
      <c r="M182" s="2"/>
      <c r="N182" s="53"/>
      <c r="O182" s="52"/>
      <c r="P182" s="53"/>
    </row>
    <row r="183" spans="1:16" x14ac:dyDescent="0.25">
      <c r="A183" s="49"/>
      <c r="B183" s="50"/>
      <c r="C183" s="2"/>
      <c r="D183" s="53"/>
      <c r="E183" s="110"/>
      <c r="F183" s="53"/>
      <c r="H183" s="2"/>
      <c r="K183" s="49"/>
      <c r="L183" s="50"/>
      <c r="M183" s="2"/>
      <c r="N183" s="53"/>
      <c r="O183" s="52"/>
      <c r="P183" s="53"/>
    </row>
    <row r="184" spans="1:16" x14ac:dyDescent="0.25">
      <c r="A184" s="49"/>
      <c r="B184" s="50"/>
      <c r="C184" s="2"/>
      <c r="D184" s="53"/>
      <c r="E184" s="110"/>
      <c r="F184" s="53"/>
      <c r="H184" s="2"/>
      <c r="K184" s="49"/>
      <c r="L184" s="50"/>
      <c r="M184" s="2"/>
      <c r="N184" s="53"/>
      <c r="O184" s="52"/>
      <c r="P184" s="53"/>
    </row>
    <row r="185" spans="1:16" x14ac:dyDescent="0.25">
      <c r="A185" s="49"/>
      <c r="B185" s="50"/>
      <c r="C185" s="2"/>
      <c r="D185" s="53"/>
      <c r="E185" s="110"/>
      <c r="F185" s="53"/>
      <c r="H185" s="2"/>
      <c r="K185" s="49"/>
      <c r="L185" s="50"/>
      <c r="M185" s="2"/>
      <c r="N185" s="53"/>
      <c r="O185" s="52"/>
      <c r="P185" s="53"/>
    </row>
    <row r="186" spans="1:16" x14ac:dyDescent="0.25">
      <c r="A186" s="49"/>
      <c r="B186" s="50"/>
      <c r="C186" s="2"/>
      <c r="D186" s="53"/>
      <c r="E186" s="110"/>
      <c r="F186" s="53"/>
      <c r="H186" s="2"/>
      <c r="K186" s="49"/>
      <c r="L186" s="50"/>
      <c r="M186" s="2"/>
      <c r="N186" s="53"/>
      <c r="O186" s="52"/>
      <c r="P186" s="53"/>
    </row>
    <row r="187" spans="1:16" x14ac:dyDescent="0.25">
      <c r="A187" s="49"/>
      <c r="B187" s="50"/>
      <c r="C187" s="2"/>
      <c r="D187" s="53"/>
      <c r="E187" s="110"/>
      <c r="F187" s="53"/>
      <c r="H187" s="2"/>
      <c r="K187" s="49"/>
      <c r="L187" s="50"/>
      <c r="M187" s="2"/>
      <c r="N187" s="53"/>
      <c r="O187" s="52"/>
      <c r="P187" s="53"/>
    </row>
    <row r="188" spans="1:16" x14ac:dyDescent="0.25">
      <c r="A188" s="49"/>
      <c r="B188" s="50"/>
      <c r="C188" s="2"/>
      <c r="D188" s="53"/>
      <c r="E188" s="110"/>
      <c r="F188" s="53"/>
      <c r="H188" s="2"/>
      <c r="K188" s="49"/>
      <c r="L188" s="50"/>
      <c r="M188" s="2"/>
      <c r="N188" s="53"/>
      <c r="O188" s="52"/>
      <c r="P188" s="53"/>
    </row>
  </sheetData>
  <mergeCells count="8">
    <mergeCell ref="D175:F175"/>
    <mergeCell ref="D177:F177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160"/>
  <sheetViews>
    <sheetView topLeftCell="F1" workbookViewId="0">
      <selection activeCell="O12" sqref="O12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92</v>
      </c>
      <c r="C1" s="130"/>
      <c r="D1" s="130"/>
      <c r="E1" s="130"/>
      <c r="F1" s="130"/>
      <c r="H1" s="2"/>
      <c r="K1" s="3"/>
      <c r="L1" s="131" t="s">
        <v>117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43650</v>
      </c>
      <c r="B4" s="87">
        <v>3922</v>
      </c>
      <c r="C4" s="88" t="s">
        <v>12</v>
      </c>
      <c r="D4" s="89">
        <v>4993.8</v>
      </c>
      <c r="E4" s="103" t="s">
        <v>102</v>
      </c>
      <c r="F4" s="96">
        <f>2672+2321.8</f>
        <v>4993.8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43650</v>
      </c>
      <c r="B5" s="87">
        <f t="shared" ref="B5:B67" si="0">B4+1</f>
        <v>3923</v>
      </c>
      <c r="C5" s="88" t="s">
        <v>8</v>
      </c>
      <c r="D5" s="89">
        <v>6786.8</v>
      </c>
      <c r="E5" s="103">
        <v>43652</v>
      </c>
      <c r="F5" s="96">
        <v>6786.8</v>
      </c>
      <c r="G5" s="32">
        <f>D5-F5</f>
        <v>0</v>
      </c>
      <c r="H5" s="2"/>
      <c r="K5" s="28">
        <v>43656</v>
      </c>
      <c r="L5" s="33">
        <v>229</v>
      </c>
      <c r="M5" s="34" t="s">
        <v>25</v>
      </c>
      <c r="N5" s="31">
        <v>16831</v>
      </c>
      <c r="O5" s="24"/>
      <c r="P5" s="25"/>
      <c r="Q5" s="32">
        <f>N5-P5</f>
        <v>16831</v>
      </c>
    </row>
    <row r="6" spans="1:17" ht="15.75" x14ac:dyDescent="0.25">
      <c r="A6" s="86">
        <v>43650</v>
      </c>
      <c r="B6" s="87">
        <f t="shared" si="0"/>
        <v>3924</v>
      </c>
      <c r="C6" s="88" t="s">
        <v>44</v>
      </c>
      <c r="D6" s="89">
        <v>749.1</v>
      </c>
      <c r="E6" s="103">
        <v>43657</v>
      </c>
      <c r="F6" s="96">
        <v>749.1</v>
      </c>
      <c r="G6" s="32">
        <f>D6-F6</f>
        <v>0</v>
      </c>
      <c r="H6" s="2"/>
      <c r="K6" s="28">
        <v>43661</v>
      </c>
      <c r="L6" s="33">
        <f>L5+1</f>
        <v>230</v>
      </c>
      <c r="M6" s="34" t="s">
        <v>25</v>
      </c>
      <c r="N6" s="31">
        <v>8099</v>
      </c>
      <c r="O6" s="24"/>
      <c r="P6" s="25"/>
      <c r="Q6" s="32">
        <f>N6-P6</f>
        <v>8099</v>
      </c>
    </row>
    <row r="7" spans="1:17" ht="15.75" x14ac:dyDescent="0.25">
      <c r="A7" s="86">
        <v>43650</v>
      </c>
      <c r="B7" s="87">
        <f t="shared" si="0"/>
        <v>3925</v>
      </c>
      <c r="C7" s="88" t="s">
        <v>18</v>
      </c>
      <c r="D7" s="89">
        <v>3783</v>
      </c>
      <c r="E7" s="103">
        <v>43651</v>
      </c>
      <c r="F7" s="96">
        <v>3783</v>
      </c>
      <c r="G7" s="32">
        <f t="shared" ref="G7:G142" si="1">D7-F7</f>
        <v>0</v>
      </c>
      <c r="H7" s="2"/>
      <c r="K7" s="28">
        <v>43665</v>
      </c>
      <c r="L7" s="33">
        <f t="shared" ref="L7:L13" si="2">L6+1</f>
        <v>231</v>
      </c>
      <c r="M7" s="30" t="s">
        <v>25</v>
      </c>
      <c r="N7" s="31">
        <v>4121.6000000000004</v>
      </c>
      <c r="O7" s="24"/>
      <c r="P7" s="25"/>
      <c r="Q7" s="32">
        <f t="shared" ref="Q7:Q22" si="3">N7-P7</f>
        <v>4121.6000000000004</v>
      </c>
    </row>
    <row r="8" spans="1:17" ht="15.75" x14ac:dyDescent="0.25">
      <c r="A8" s="86">
        <v>43650</v>
      </c>
      <c r="B8" s="87">
        <f t="shared" si="0"/>
        <v>3926</v>
      </c>
      <c r="C8" s="88" t="s">
        <v>10</v>
      </c>
      <c r="D8" s="89">
        <v>5272</v>
      </c>
      <c r="E8" s="103">
        <v>43651</v>
      </c>
      <c r="F8" s="96">
        <v>5272</v>
      </c>
      <c r="G8" s="32">
        <f t="shared" si="1"/>
        <v>0</v>
      </c>
      <c r="H8" s="2"/>
      <c r="K8" s="28">
        <v>43668</v>
      </c>
      <c r="L8" s="33">
        <f t="shared" si="2"/>
        <v>232</v>
      </c>
      <c r="M8" s="30" t="s">
        <v>25</v>
      </c>
      <c r="N8" s="31">
        <v>4677</v>
      </c>
      <c r="O8" s="24"/>
      <c r="P8" s="25"/>
      <c r="Q8" s="32">
        <f t="shared" si="3"/>
        <v>4677</v>
      </c>
    </row>
    <row r="9" spans="1:17" ht="15.75" x14ac:dyDescent="0.25">
      <c r="A9" s="86">
        <v>43650</v>
      </c>
      <c r="B9" s="87">
        <f t="shared" si="0"/>
        <v>3927</v>
      </c>
      <c r="C9" s="88" t="s">
        <v>13</v>
      </c>
      <c r="D9" s="89">
        <v>3000</v>
      </c>
      <c r="E9" s="103">
        <v>43651</v>
      </c>
      <c r="F9" s="96">
        <v>3000</v>
      </c>
      <c r="G9" s="32">
        <f t="shared" si="1"/>
        <v>0</v>
      </c>
      <c r="H9" s="2"/>
      <c r="K9" s="28">
        <v>43673</v>
      </c>
      <c r="L9" s="33">
        <f t="shared" si="2"/>
        <v>233</v>
      </c>
      <c r="M9" s="36" t="s">
        <v>26</v>
      </c>
      <c r="N9" s="31">
        <v>0</v>
      </c>
      <c r="O9" s="24"/>
      <c r="P9" s="25"/>
      <c r="Q9" s="32">
        <f t="shared" si="3"/>
        <v>0</v>
      </c>
    </row>
    <row r="10" spans="1:17" ht="15.75" x14ac:dyDescent="0.25">
      <c r="A10" s="86">
        <v>43651</v>
      </c>
      <c r="B10" s="87">
        <f t="shared" si="0"/>
        <v>3928</v>
      </c>
      <c r="C10" s="88" t="s">
        <v>10</v>
      </c>
      <c r="D10" s="102">
        <v>6412</v>
      </c>
      <c r="E10" s="103">
        <v>43652</v>
      </c>
      <c r="F10" s="96">
        <v>6412</v>
      </c>
      <c r="G10" s="32">
        <f t="shared" si="1"/>
        <v>0</v>
      </c>
      <c r="H10" s="2"/>
      <c r="K10" s="28">
        <v>43673</v>
      </c>
      <c r="L10" s="33">
        <f t="shared" si="2"/>
        <v>234</v>
      </c>
      <c r="M10" s="34" t="s">
        <v>25</v>
      </c>
      <c r="N10" s="31">
        <v>3220</v>
      </c>
      <c r="O10" s="24"/>
      <c r="P10" s="25"/>
      <c r="Q10" s="32">
        <f t="shared" si="3"/>
        <v>3220</v>
      </c>
    </row>
    <row r="11" spans="1:17" ht="15.75" x14ac:dyDescent="0.25">
      <c r="A11" s="86">
        <v>43651</v>
      </c>
      <c r="B11" s="87">
        <f t="shared" si="0"/>
        <v>3929</v>
      </c>
      <c r="C11" s="88" t="s">
        <v>13</v>
      </c>
      <c r="D11" s="102">
        <v>6401</v>
      </c>
      <c r="E11" s="103">
        <v>43652</v>
      </c>
      <c r="F11" s="96">
        <v>6401</v>
      </c>
      <c r="G11" s="32">
        <f t="shared" si="1"/>
        <v>0</v>
      </c>
      <c r="H11" s="2"/>
      <c r="K11" s="28">
        <v>43675</v>
      </c>
      <c r="L11" s="33">
        <f t="shared" si="2"/>
        <v>235</v>
      </c>
      <c r="M11" s="34" t="s">
        <v>25</v>
      </c>
      <c r="N11" s="31">
        <v>3628</v>
      </c>
      <c r="O11" s="24"/>
      <c r="P11" s="25"/>
      <c r="Q11" s="32">
        <f t="shared" si="3"/>
        <v>3628</v>
      </c>
    </row>
    <row r="12" spans="1:17" ht="15.75" x14ac:dyDescent="0.25">
      <c r="A12" s="86">
        <v>43651</v>
      </c>
      <c r="B12" s="87">
        <f t="shared" si="0"/>
        <v>3930</v>
      </c>
      <c r="C12" s="88" t="s">
        <v>8</v>
      </c>
      <c r="D12" s="102">
        <v>1000</v>
      </c>
      <c r="E12" s="103">
        <v>43652</v>
      </c>
      <c r="F12" s="96">
        <v>1000</v>
      </c>
      <c r="G12" s="32">
        <f t="shared" si="1"/>
        <v>0</v>
      </c>
      <c r="H12" s="2"/>
      <c r="K12" s="28">
        <v>43677</v>
      </c>
      <c r="L12" s="33">
        <f t="shared" si="2"/>
        <v>236</v>
      </c>
      <c r="M12" s="34" t="s">
        <v>25</v>
      </c>
      <c r="N12" s="31">
        <v>2846</v>
      </c>
      <c r="O12" s="24"/>
      <c r="P12" s="25"/>
      <c r="Q12" s="32">
        <f t="shared" si="3"/>
        <v>2846</v>
      </c>
    </row>
    <row r="13" spans="1:17" ht="15.75" x14ac:dyDescent="0.25">
      <c r="A13" s="86">
        <v>43652</v>
      </c>
      <c r="B13" s="87">
        <f t="shared" si="0"/>
        <v>3931</v>
      </c>
      <c r="C13" s="88" t="s">
        <v>7</v>
      </c>
      <c r="D13" s="102">
        <v>11949.6</v>
      </c>
      <c r="E13" s="103">
        <v>43652</v>
      </c>
      <c r="F13" s="96">
        <v>11949.6</v>
      </c>
      <c r="G13" s="32">
        <f t="shared" si="1"/>
        <v>0</v>
      </c>
      <c r="H13" s="2"/>
      <c r="K13" s="28">
        <v>43680</v>
      </c>
      <c r="L13" s="33">
        <f t="shared" si="2"/>
        <v>237</v>
      </c>
      <c r="M13" s="30" t="s">
        <v>25</v>
      </c>
      <c r="N13" s="31">
        <v>1849.6</v>
      </c>
      <c r="O13" s="24"/>
      <c r="P13" s="25"/>
      <c r="Q13" s="32">
        <f t="shared" si="3"/>
        <v>1849.6</v>
      </c>
    </row>
    <row r="14" spans="1:17" ht="15.75" x14ac:dyDescent="0.25">
      <c r="A14" s="86">
        <v>43652</v>
      </c>
      <c r="B14" s="87">
        <f t="shared" si="0"/>
        <v>3932</v>
      </c>
      <c r="C14" s="113" t="s">
        <v>26</v>
      </c>
      <c r="D14" s="102">
        <v>0</v>
      </c>
      <c r="E14" s="103"/>
      <c r="F14" s="96"/>
      <c r="G14" s="32">
        <f t="shared" si="1"/>
        <v>0</v>
      </c>
      <c r="H14" s="2"/>
      <c r="K14" s="28"/>
      <c r="L14" s="33"/>
      <c r="M14" s="34"/>
      <c r="N14" s="31"/>
      <c r="O14" s="24"/>
      <c r="P14" s="25"/>
      <c r="Q14" s="32">
        <f t="shared" si="3"/>
        <v>0</v>
      </c>
    </row>
    <row r="15" spans="1:17" ht="15.75" x14ac:dyDescent="0.25">
      <c r="A15" s="86">
        <v>43652</v>
      </c>
      <c r="B15" s="87">
        <f t="shared" si="0"/>
        <v>3933</v>
      </c>
      <c r="C15" s="104" t="s">
        <v>9</v>
      </c>
      <c r="D15" s="102">
        <v>37012.800000000003</v>
      </c>
      <c r="E15" s="103" t="s">
        <v>106</v>
      </c>
      <c r="F15" s="96">
        <f>27012.8+10000</f>
        <v>37012.800000000003</v>
      </c>
      <c r="G15" s="32">
        <f t="shared" si="1"/>
        <v>0</v>
      </c>
      <c r="H15" s="2"/>
      <c r="K15" s="28"/>
      <c r="L15" s="33"/>
      <c r="M15" s="30"/>
      <c r="N15" s="31"/>
      <c r="O15" s="24"/>
      <c r="P15" s="25"/>
      <c r="Q15" s="32">
        <f t="shared" si="3"/>
        <v>0</v>
      </c>
    </row>
    <row r="16" spans="1:17" ht="15.75" x14ac:dyDescent="0.25">
      <c r="A16" s="86">
        <v>43652</v>
      </c>
      <c r="B16" s="87">
        <f t="shared" si="0"/>
        <v>3934</v>
      </c>
      <c r="C16" s="117" t="s">
        <v>32</v>
      </c>
      <c r="D16" s="102">
        <v>3185.8</v>
      </c>
      <c r="E16" s="103" t="s">
        <v>96</v>
      </c>
      <c r="F16" s="96">
        <f>2185.8+1000</f>
        <v>3185.8</v>
      </c>
      <c r="G16" s="32">
        <f t="shared" si="1"/>
        <v>0</v>
      </c>
      <c r="H16" s="2"/>
      <c r="K16" s="28"/>
      <c r="L16" s="33"/>
      <c r="M16" s="30"/>
      <c r="N16" s="31"/>
      <c r="O16" s="24"/>
      <c r="P16" s="25"/>
      <c r="Q16" s="32">
        <f t="shared" si="3"/>
        <v>0</v>
      </c>
    </row>
    <row r="17" spans="1:17" ht="15.75" x14ac:dyDescent="0.25">
      <c r="A17" s="86">
        <v>43652</v>
      </c>
      <c r="B17" s="87">
        <f t="shared" si="0"/>
        <v>3935</v>
      </c>
      <c r="C17" s="104" t="s">
        <v>12</v>
      </c>
      <c r="D17" s="102">
        <v>4846.2</v>
      </c>
      <c r="E17" s="103">
        <v>43663</v>
      </c>
      <c r="F17" s="96">
        <v>4846.2</v>
      </c>
      <c r="G17" s="32">
        <f t="shared" si="1"/>
        <v>0</v>
      </c>
      <c r="H17" s="2"/>
      <c r="K17" s="75"/>
      <c r="L17" s="33"/>
      <c r="M17" s="36"/>
      <c r="N17" s="31"/>
      <c r="O17" s="24"/>
      <c r="P17" s="25"/>
      <c r="Q17" s="32">
        <f t="shared" si="3"/>
        <v>0</v>
      </c>
    </row>
    <row r="18" spans="1:17" ht="15.75" x14ac:dyDescent="0.25">
      <c r="A18" s="86">
        <v>43652</v>
      </c>
      <c r="B18" s="87">
        <f t="shared" si="0"/>
        <v>3936</v>
      </c>
      <c r="C18" s="104" t="s">
        <v>10</v>
      </c>
      <c r="D18" s="102">
        <v>3950</v>
      </c>
      <c r="E18" s="103">
        <v>43653</v>
      </c>
      <c r="F18" s="96">
        <v>3950</v>
      </c>
      <c r="G18" s="32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43652</v>
      </c>
      <c r="B19" s="87">
        <f t="shared" si="0"/>
        <v>3937</v>
      </c>
      <c r="C19" s="88" t="s">
        <v>11</v>
      </c>
      <c r="D19" s="102">
        <v>1573.9</v>
      </c>
      <c r="E19" s="103">
        <v>43654</v>
      </c>
      <c r="F19" s="96">
        <v>1573.9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43652</v>
      </c>
      <c r="B20" s="87">
        <f t="shared" si="0"/>
        <v>3938</v>
      </c>
      <c r="C20" s="88" t="s">
        <v>13</v>
      </c>
      <c r="D20" s="102">
        <v>6147.4</v>
      </c>
      <c r="E20" s="103">
        <v>43653</v>
      </c>
      <c r="F20" s="96">
        <v>6147.4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43653</v>
      </c>
      <c r="B21" s="87">
        <f t="shared" si="0"/>
        <v>3939</v>
      </c>
      <c r="C21" s="88" t="s">
        <v>12</v>
      </c>
      <c r="D21" s="102">
        <v>1902.4</v>
      </c>
      <c r="E21" s="103">
        <v>43653</v>
      </c>
      <c r="F21" s="96">
        <v>1902.4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43653</v>
      </c>
      <c r="B22" s="87">
        <f t="shared" si="0"/>
        <v>3940</v>
      </c>
      <c r="C22" s="88" t="s">
        <v>10</v>
      </c>
      <c r="D22" s="102">
        <v>4676</v>
      </c>
      <c r="E22" s="103">
        <v>43654</v>
      </c>
      <c r="F22" s="96">
        <v>4676</v>
      </c>
      <c r="G22" s="32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43653</v>
      </c>
      <c r="B23" s="87">
        <f t="shared" si="0"/>
        <v>3941</v>
      </c>
      <c r="C23" s="88" t="s">
        <v>11</v>
      </c>
      <c r="D23" s="102">
        <v>5730.4</v>
      </c>
      <c r="E23" s="103">
        <v>43654</v>
      </c>
      <c r="F23" s="96">
        <v>5730.4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43653</v>
      </c>
      <c r="B24" s="87">
        <f t="shared" si="0"/>
        <v>3942</v>
      </c>
      <c r="C24" s="88" t="s">
        <v>13</v>
      </c>
      <c r="D24" s="102">
        <v>8148.2</v>
      </c>
      <c r="E24" s="103">
        <v>43654</v>
      </c>
      <c r="F24" s="96">
        <v>8148.2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43654</v>
      </c>
      <c r="B25" s="87">
        <f t="shared" si="0"/>
        <v>3943</v>
      </c>
      <c r="C25" s="88" t="s">
        <v>11</v>
      </c>
      <c r="D25" s="102">
        <v>3517.8</v>
      </c>
      <c r="E25" s="103">
        <v>43657</v>
      </c>
      <c r="F25" s="96">
        <v>3517.8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43654</v>
      </c>
      <c r="B26" s="87">
        <f t="shared" si="0"/>
        <v>3944</v>
      </c>
      <c r="C26" s="88" t="s">
        <v>12</v>
      </c>
      <c r="D26" s="102">
        <v>1992.6</v>
      </c>
      <c r="E26" s="103" t="s">
        <v>99</v>
      </c>
      <c r="F26" s="96">
        <f>1600+392.6</f>
        <v>1992.6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43654</v>
      </c>
      <c r="B27" s="87">
        <f t="shared" si="0"/>
        <v>3945</v>
      </c>
      <c r="C27" s="104" t="s">
        <v>10</v>
      </c>
      <c r="D27" s="102">
        <v>3806.4</v>
      </c>
      <c r="E27" s="103">
        <v>43655</v>
      </c>
      <c r="F27" s="96">
        <v>3806.4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43654</v>
      </c>
      <c r="B28" s="87">
        <f t="shared" si="0"/>
        <v>3946</v>
      </c>
      <c r="C28" s="88" t="s">
        <v>13</v>
      </c>
      <c r="D28" s="102">
        <v>6536.8</v>
      </c>
      <c r="E28" s="103">
        <v>43656</v>
      </c>
      <c r="F28" s="96">
        <v>6536.8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43655</v>
      </c>
      <c r="B29" s="87">
        <f t="shared" si="0"/>
        <v>3947</v>
      </c>
      <c r="C29" s="88" t="s">
        <v>10</v>
      </c>
      <c r="D29" s="102">
        <v>3036.15</v>
      </c>
      <c r="E29" s="103">
        <v>43656</v>
      </c>
      <c r="F29" s="96">
        <v>3036.15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43656</v>
      </c>
      <c r="B30" s="87">
        <f t="shared" si="0"/>
        <v>3948</v>
      </c>
      <c r="C30" s="88" t="s">
        <v>8</v>
      </c>
      <c r="D30" s="102">
        <v>13260</v>
      </c>
      <c r="E30" s="103">
        <v>43657</v>
      </c>
      <c r="F30" s="96">
        <v>13260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43656</v>
      </c>
      <c r="B31" s="87">
        <f t="shared" si="0"/>
        <v>3949</v>
      </c>
      <c r="C31" s="88" t="s">
        <v>11</v>
      </c>
      <c r="D31" s="102">
        <v>6138.6</v>
      </c>
      <c r="E31" s="103">
        <v>43661</v>
      </c>
      <c r="F31" s="96">
        <v>6138.6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43656</v>
      </c>
      <c r="B32" s="87">
        <f t="shared" si="0"/>
        <v>3950</v>
      </c>
      <c r="C32" s="88" t="s">
        <v>10</v>
      </c>
      <c r="D32" s="102">
        <v>4461.6000000000004</v>
      </c>
      <c r="E32" s="103">
        <v>43657</v>
      </c>
      <c r="F32" s="96">
        <v>4461.6000000000004</v>
      </c>
      <c r="G32" s="32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43656</v>
      </c>
      <c r="B33" s="87">
        <f t="shared" si="0"/>
        <v>3951</v>
      </c>
      <c r="C33" s="88" t="s">
        <v>13</v>
      </c>
      <c r="D33" s="102">
        <v>5791.8</v>
      </c>
      <c r="E33" s="103">
        <v>43658</v>
      </c>
      <c r="F33" s="96">
        <v>5791.8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43656</v>
      </c>
      <c r="B34" s="87">
        <f t="shared" si="0"/>
        <v>3952</v>
      </c>
      <c r="C34" s="88" t="s">
        <v>32</v>
      </c>
      <c r="D34" s="102">
        <v>3311.4</v>
      </c>
      <c r="E34" s="103">
        <v>43658</v>
      </c>
      <c r="F34" s="96">
        <v>3311.4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43657</v>
      </c>
      <c r="B35" s="87">
        <f t="shared" si="0"/>
        <v>3953</v>
      </c>
      <c r="C35" s="88" t="s">
        <v>10</v>
      </c>
      <c r="D35" s="102">
        <v>4993.2</v>
      </c>
      <c r="E35" s="103">
        <v>43658</v>
      </c>
      <c r="F35" s="96">
        <v>4993.2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43657</v>
      </c>
      <c r="B36" s="87">
        <f t="shared" si="0"/>
        <v>3954</v>
      </c>
      <c r="C36" s="88" t="s">
        <v>8</v>
      </c>
      <c r="D36" s="102">
        <v>9971.7999999999993</v>
      </c>
      <c r="E36" s="103">
        <v>43658</v>
      </c>
      <c r="F36" s="96">
        <v>9971.7999999999993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43657</v>
      </c>
      <c r="B37" s="87">
        <f t="shared" si="0"/>
        <v>3955</v>
      </c>
      <c r="C37" s="88" t="s">
        <v>8</v>
      </c>
      <c r="D37" s="89">
        <v>4062.6</v>
      </c>
      <c r="E37" s="107">
        <v>43658</v>
      </c>
      <c r="F37" s="89">
        <v>4062.6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43658</v>
      </c>
      <c r="B38" s="87">
        <f t="shared" si="0"/>
        <v>3956</v>
      </c>
      <c r="C38" s="88" t="s">
        <v>8</v>
      </c>
      <c r="D38" s="89">
        <v>3646.8</v>
      </c>
      <c r="E38" s="103">
        <v>43658</v>
      </c>
      <c r="F38" s="96">
        <v>3646.8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43658</v>
      </c>
      <c r="B39" s="87">
        <f t="shared" si="0"/>
        <v>3957</v>
      </c>
      <c r="C39" s="104" t="s">
        <v>8</v>
      </c>
      <c r="D39" s="89">
        <v>8092.8</v>
      </c>
      <c r="E39" s="103">
        <v>43658</v>
      </c>
      <c r="F39" s="96">
        <v>8092.8</v>
      </c>
      <c r="G39" s="32">
        <f t="shared" si="1"/>
        <v>0</v>
      </c>
      <c r="H39" s="2"/>
      <c r="K39" s="49"/>
      <c r="L39" s="50"/>
      <c r="M39" s="2"/>
      <c r="N39" s="51">
        <f>SUM(N4:N38)</f>
        <v>45272.2</v>
      </c>
      <c r="O39" s="52"/>
      <c r="P39" s="53">
        <f>SUM(P4:P38)</f>
        <v>0</v>
      </c>
      <c r="Q39" s="54">
        <f>SUM(Q4:Q38)</f>
        <v>45272.2</v>
      </c>
    </row>
    <row r="40" spans="1:17" ht="15.75" x14ac:dyDescent="0.25">
      <c r="A40" s="86">
        <v>43658</v>
      </c>
      <c r="B40" s="87">
        <f t="shared" si="0"/>
        <v>3958</v>
      </c>
      <c r="C40" s="88" t="s">
        <v>13</v>
      </c>
      <c r="D40" s="89">
        <v>7162.2</v>
      </c>
      <c r="E40" s="103" t="s">
        <v>100</v>
      </c>
      <c r="F40" s="96">
        <f>5500+1662.2</f>
        <v>7162.2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30" x14ac:dyDescent="0.25">
      <c r="A41" s="86">
        <v>43658</v>
      </c>
      <c r="B41" s="87">
        <f t="shared" si="0"/>
        <v>3959</v>
      </c>
      <c r="C41" s="88" t="s">
        <v>10</v>
      </c>
      <c r="D41" s="89">
        <v>3471.3</v>
      </c>
      <c r="E41" s="103">
        <v>43659</v>
      </c>
      <c r="F41" s="96">
        <v>3471.3</v>
      </c>
      <c r="G41" s="32">
        <f t="shared" si="1"/>
        <v>0</v>
      </c>
      <c r="H41" s="2"/>
      <c r="K41" s="49"/>
      <c r="L41" s="50"/>
      <c r="M41" s="2"/>
      <c r="N41" s="56" t="s">
        <v>15</v>
      </c>
      <c r="O41" s="52"/>
      <c r="P41" s="57" t="s">
        <v>16</v>
      </c>
      <c r="Q41" s="55"/>
    </row>
    <row r="42" spans="1:17" ht="16.5" thickBot="1" x14ac:dyDescent="0.3">
      <c r="A42" s="86">
        <v>43659</v>
      </c>
      <c r="B42" s="87">
        <f t="shared" si="0"/>
        <v>3960</v>
      </c>
      <c r="C42" s="88" t="s">
        <v>9</v>
      </c>
      <c r="D42" s="89">
        <v>46474.3</v>
      </c>
      <c r="E42" s="103" t="s">
        <v>110</v>
      </c>
      <c r="F42" s="96">
        <f>36474.3+10000</f>
        <v>46474.3</v>
      </c>
      <c r="G42" s="32">
        <f t="shared" si="1"/>
        <v>0</v>
      </c>
      <c r="H42" s="2"/>
      <c r="K42" s="49"/>
      <c r="L42" s="50"/>
      <c r="M42" s="2"/>
      <c r="N42" s="56"/>
      <c r="O42" s="52"/>
      <c r="P42" s="57"/>
      <c r="Q42" s="55"/>
    </row>
    <row r="43" spans="1:17" ht="21.75" thickBot="1" x14ac:dyDescent="0.4">
      <c r="A43" s="86">
        <v>43659</v>
      </c>
      <c r="B43" s="87">
        <f t="shared" si="0"/>
        <v>3961</v>
      </c>
      <c r="C43" s="88" t="s">
        <v>8</v>
      </c>
      <c r="D43" s="89">
        <v>20641.759999999998</v>
      </c>
      <c r="E43" s="103">
        <v>43660</v>
      </c>
      <c r="F43" s="96">
        <v>20641.759999999998</v>
      </c>
      <c r="G43" s="93">
        <f t="shared" si="1"/>
        <v>0</v>
      </c>
      <c r="H43" s="2"/>
      <c r="K43" s="49"/>
      <c r="L43" s="50"/>
      <c r="M43" s="2"/>
      <c r="N43" s="126">
        <f>N39-P39</f>
        <v>45272.2</v>
      </c>
      <c r="O43" s="127"/>
      <c r="P43" s="128"/>
    </row>
    <row r="44" spans="1:17" ht="15.75" x14ac:dyDescent="0.25">
      <c r="A44" s="86">
        <v>43659</v>
      </c>
      <c r="B44" s="87">
        <f t="shared" si="0"/>
        <v>3962</v>
      </c>
      <c r="C44" s="88" t="s">
        <v>13</v>
      </c>
      <c r="D44" s="89">
        <v>5553.45</v>
      </c>
      <c r="E44" s="103">
        <v>43660</v>
      </c>
      <c r="F44" s="96">
        <v>5553.45</v>
      </c>
      <c r="G44" s="32">
        <f t="shared" si="1"/>
        <v>0</v>
      </c>
      <c r="H44" s="2"/>
      <c r="K44" s="20"/>
      <c r="L44" s="58"/>
      <c r="M44" s="59"/>
      <c r="N44" s="25"/>
      <c r="O44" s="24"/>
      <c r="P44" s="25"/>
      <c r="Q44" s="60"/>
    </row>
    <row r="45" spans="1:17" ht="18.75" x14ac:dyDescent="0.3">
      <c r="A45" s="86">
        <v>43659</v>
      </c>
      <c r="B45" s="87">
        <f t="shared" si="0"/>
        <v>3963</v>
      </c>
      <c r="C45" s="88" t="s">
        <v>10</v>
      </c>
      <c r="D45" s="89">
        <v>6688</v>
      </c>
      <c r="E45" s="103">
        <v>43660</v>
      </c>
      <c r="F45" s="96">
        <v>6688</v>
      </c>
      <c r="G45" s="32">
        <f t="shared" si="1"/>
        <v>0</v>
      </c>
      <c r="H45" s="2"/>
      <c r="K45" s="20"/>
      <c r="L45" s="58"/>
      <c r="M45" s="59"/>
      <c r="N45" s="129" t="s">
        <v>17</v>
      </c>
      <c r="O45" s="129"/>
      <c r="P45" s="129"/>
      <c r="Q45" s="60"/>
    </row>
    <row r="46" spans="1:17" ht="15.75" x14ac:dyDescent="0.25">
      <c r="A46" s="86">
        <v>43660</v>
      </c>
      <c r="B46" s="87">
        <f t="shared" si="0"/>
        <v>3964</v>
      </c>
      <c r="C46" s="88" t="s">
        <v>13</v>
      </c>
      <c r="D46" s="89">
        <v>2082.6</v>
      </c>
      <c r="E46" s="103">
        <v>43661</v>
      </c>
      <c r="F46" s="96">
        <v>2082.6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5.75" x14ac:dyDescent="0.25">
      <c r="A47" s="86">
        <v>43660</v>
      </c>
      <c r="B47" s="87">
        <f t="shared" si="0"/>
        <v>3965</v>
      </c>
      <c r="C47" s="88" t="s">
        <v>10</v>
      </c>
      <c r="D47" s="89">
        <v>4620.8</v>
      </c>
      <c r="E47" s="103">
        <v>43661</v>
      </c>
      <c r="F47" s="96">
        <v>4620.8</v>
      </c>
      <c r="G47" s="32">
        <f t="shared" si="1"/>
        <v>0</v>
      </c>
      <c r="H47" s="2"/>
      <c r="K47" s="20"/>
      <c r="L47" s="58"/>
      <c r="M47" s="59"/>
      <c r="N47" s="25"/>
      <c r="O47" s="24"/>
      <c r="P47" s="25"/>
      <c r="Q47" s="60"/>
    </row>
    <row r="48" spans="1:17" ht="15.75" x14ac:dyDescent="0.25">
      <c r="A48" s="86">
        <v>43660</v>
      </c>
      <c r="B48" s="87">
        <f t="shared" si="0"/>
        <v>3966</v>
      </c>
      <c r="C48" s="88" t="s">
        <v>8</v>
      </c>
      <c r="D48" s="89">
        <v>16027.2</v>
      </c>
      <c r="E48" s="103">
        <v>43661</v>
      </c>
      <c r="F48" s="96">
        <v>16027.2</v>
      </c>
      <c r="G48" s="32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43661</v>
      </c>
      <c r="B49" s="87">
        <f t="shared" si="0"/>
        <v>3967</v>
      </c>
      <c r="C49" s="88" t="s">
        <v>8</v>
      </c>
      <c r="D49" s="89">
        <v>6020</v>
      </c>
      <c r="E49" s="103">
        <v>43662</v>
      </c>
      <c r="F49" s="96">
        <v>6020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43661</v>
      </c>
      <c r="B50" s="87">
        <f t="shared" si="0"/>
        <v>3968</v>
      </c>
      <c r="C50" s="88" t="s">
        <v>11</v>
      </c>
      <c r="D50" s="89">
        <v>5209.6000000000004</v>
      </c>
      <c r="E50" s="103">
        <v>43663</v>
      </c>
      <c r="F50" s="96">
        <v>5209.6000000000004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43661</v>
      </c>
      <c r="B51" s="87">
        <f t="shared" si="0"/>
        <v>3969</v>
      </c>
      <c r="C51" s="88" t="s">
        <v>13</v>
      </c>
      <c r="D51" s="89">
        <v>4272</v>
      </c>
      <c r="E51" s="103">
        <v>43662</v>
      </c>
      <c r="F51" s="96">
        <v>4272</v>
      </c>
      <c r="G51" s="32">
        <f t="shared" si="1"/>
        <v>0</v>
      </c>
      <c r="H51" s="2"/>
      <c r="J51" s="90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43661</v>
      </c>
      <c r="B52" s="87">
        <f t="shared" si="0"/>
        <v>3970</v>
      </c>
      <c r="C52" s="88" t="s">
        <v>13</v>
      </c>
      <c r="D52" s="89">
        <v>2535</v>
      </c>
      <c r="E52" s="103">
        <v>43663</v>
      </c>
      <c r="F52" s="96">
        <v>2535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43661</v>
      </c>
      <c r="B53" s="87">
        <f t="shared" si="0"/>
        <v>3971</v>
      </c>
      <c r="C53" s="88" t="s">
        <v>10</v>
      </c>
      <c r="D53" s="89">
        <v>3260.4</v>
      </c>
      <c r="E53" s="103">
        <v>43662</v>
      </c>
      <c r="F53" s="96">
        <v>3260.4</v>
      </c>
      <c r="G53" s="93">
        <f t="shared" si="1"/>
        <v>0</v>
      </c>
      <c r="H53" s="2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43662</v>
      </c>
      <c r="B54" s="87">
        <f t="shared" si="0"/>
        <v>3972</v>
      </c>
      <c r="C54" s="88" t="s">
        <v>11</v>
      </c>
      <c r="D54" s="89">
        <v>1540</v>
      </c>
      <c r="E54" s="103">
        <v>43663</v>
      </c>
      <c r="F54" s="96">
        <v>1540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43662</v>
      </c>
      <c r="B55" s="87">
        <f t="shared" si="0"/>
        <v>3973</v>
      </c>
      <c r="C55" s="88" t="s">
        <v>10</v>
      </c>
      <c r="D55" s="89">
        <v>3435.2</v>
      </c>
      <c r="E55" s="103">
        <v>43663</v>
      </c>
      <c r="F55" s="96">
        <v>3435.2</v>
      </c>
      <c r="G55" s="32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43662</v>
      </c>
      <c r="B56" s="87">
        <f t="shared" si="0"/>
        <v>3974</v>
      </c>
      <c r="C56" s="88" t="s">
        <v>12</v>
      </c>
      <c r="D56" s="89">
        <v>2683.2</v>
      </c>
      <c r="E56" s="103">
        <v>43665</v>
      </c>
      <c r="F56" s="96">
        <v>2683.2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43662</v>
      </c>
      <c r="B57" s="87">
        <f t="shared" si="0"/>
        <v>3975</v>
      </c>
      <c r="C57" s="88" t="s">
        <v>8</v>
      </c>
      <c r="D57" s="89">
        <v>17524.8</v>
      </c>
      <c r="E57" s="103">
        <v>43664</v>
      </c>
      <c r="F57" s="96">
        <v>17524.8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43662</v>
      </c>
      <c r="B58" s="87">
        <f t="shared" si="0"/>
        <v>3976</v>
      </c>
      <c r="C58" s="88" t="s">
        <v>13</v>
      </c>
      <c r="D58" s="89">
        <v>5715</v>
      </c>
      <c r="E58" s="103">
        <v>43663</v>
      </c>
      <c r="F58" s="96">
        <v>5715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43663</v>
      </c>
      <c r="B59" s="87">
        <f t="shared" si="0"/>
        <v>3977</v>
      </c>
      <c r="C59" s="88" t="s">
        <v>11</v>
      </c>
      <c r="D59" s="89">
        <v>6475.2</v>
      </c>
      <c r="E59" s="103">
        <v>43667</v>
      </c>
      <c r="F59" s="96">
        <v>6475.2</v>
      </c>
      <c r="G59" s="32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43663</v>
      </c>
      <c r="B60" s="87">
        <f t="shared" si="0"/>
        <v>3978</v>
      </c>
      <c r="C60" s="88" t="s">
        <v>10</v>
      </c>
      <c r="D60" s="89">
        <v>3642.6</v>
      </c>
      <c r="E60" s="103">
        <v>43664</v>
      </c>
      <c r="F60" s="96">
        <v>3642.6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43663</v>
      </c>
      <c r="B61" s="87">
        <f t="shared" si="0"/>
        <v>3979</v>
      </c>
      <c r="C61" s="104" t="s">
        <v>13</v>
      </c>
      <c r="D61" s="118">
        <v>7015</v>
      </c>
      <c r="E61" s="103" t="s">
        <v>103</v>
      </c>
      <c r="F61" s="96">
        <f>4878+2137</f>
        <v>7015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43664</v>
      </c>
      <c r="B62" s="87">
        <f t="shared" si="0"/>
        <v>3980</v>
      </c>
      <c r="C62" s="88" t="s">
        <v>8</v>
      </c>
      <c r="D62" s="89">
        <v>36428.160000000003</v>
      </c>
      <c r="E62" s="103" t="s">
        <v>104</v>
      </c>
      <c r="F62" s="96">
        <f>31000+5428.16</f>
        <v>36428.160000000003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43664</v>
      </c>
      <c r="B63" s="87">
        <f t="shared" si="0"/>
        <v>3981</v>
      </c>
      <c r="C63" s="88" t="s">
        <v>10</v>
      </c>
      <c r="D63" s="89">
        <v>6099.6</v>
      </c>
      <c r="E63" s="103">
        <v>43665</v>
      </c>
      <c r="F63" s="96">
        <v>6099.6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43664</v>
      </c>
      <c r="B64" s="87">
        <f t="shared" si="0"/>
        <v>3982</v>
      </c>
      <c r="C64" s="88" t="s">
        <v>18</v>
      </c>
      <c r="D64" s="89">
        <v>7782.4</v>
      </c>
      <c r="E64" s="103">
        <v>43665</v>
      </c>
      <c r="F64" s="96">
        <v>7782.4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43665</v>
      </c>
      <c r="B65" s="87">
        <f t="shared" si="0"/>
        <v>3983</v>
      </c>
      <c r="C65" s="88" t="s">
        <v>10</v>
      </c>
      <c r="D65" s="89">
        <v>4703.3999999999996</v>
      </c>
      <c r="E65" s="103">
        <v>43666</v>
      </c>
      <c r="F65" s="96">
        <v>4703.3999999999996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43665</v>
      </c>
      <c r="B66" s="87">
        <f t="shared" si="0"/>
        <v>3984</v>
      </c>
      <c r="C66" s="88" t="s">
        <v>8</v>
      </c>
      <c r="D66" s="89">
        <v>25024.6</v>
      </c>
      <c r="E66" s="103">
        <v>43666</v>
      </c>
      <c r="F66" s="96">
        <v>25024.6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43665</v>
      </c>
      <c r="B67" s="87">
        <f t="shared" si="0"/>
        <v>3985</v>
      </c>
      <c r="C67" s="88" t="s">
        <v>12</v>
      </c>
      <c r="D67" s="89">
        <v>5928</v>
      </c>
      <c r="E67" s="103">
        <v>43672</v>
      </c>
      <c r="F67" s="96">
        <v>5928</v>
      </c>
      <c r="G67" s="32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43665</v>
      </c>
      <c r="B68" s="87">
        <f t="shared" ref="B68:B131" si="5">B67+1</f>
        <v>3986</v>
      </c>
      <c r="C68" s="88" t="s">
        <v>13</v>
      </c>
      <c r="D68" s="89">
        <v>10142</v>
      </c>
      <c r="E68" s="103">
        <v>43667</v>
      </c>
      <c r="F68" s="96">
        <f>6000+4142</f>
        <v>10142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43666</v>
      </c>
      <c r="B69" s="87">
        <f t="shared" si="5"/>
        <v>3987</v>
      </c>
      <c r="C69" s="88" t="s">
        <v>7</v>
      </c>
      <c r="D69" s="89">
        <v>7835.6</v>
      </c>
      <c r="E69" s="103">
        <v>43666</v>
      </c>
      <c r="F69" s="96">
        <v>7835.6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43666</v>
      </c>
      <c r="B70" s="87">
        <f t="shared" si="5"/>
        <v>3988</v>
      </c>
      <c r="C70" s="88" t="s">
        <v>9</v>
      </c>
      <c r="D70" s="89">
        <v>44647.199999999997</v>
      </c>
      <c r="E70" s="112" t="s">
        <v>121</v>
      </c>
      <c r="F70" s="120">
        <f>34647.2+10000</f>
        <v>44647.199999999997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43666</v>
      </c>
      <c r="B71" s="87">
        <f t="shared" si="5"/>
        <v>3989</v>
      </c>
      <c r="C71" s="88" t="s">
        <v>11</v>
      </c>
      <c r="D71" s="89">
        <v>9929.4</v>
      </c>
      <c r="E71" s="103" t="s">
        <v>105</v>
      </c>
      <c r="F71" s="96">
        <f>5000+4929.4</f>
        <v>9929.4</v>
      </c>
      <c r="G71" s="32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15.75" x14ac:dyDescent="0.25">
      <c r="A72" s="86">
        <v>43666</v>
      </c>
      <c r="B72" s="87">
        <f t="shared" si="5"/>
        <v>3990</v>
      </c>
      <c r="C72" s="88" t="s">
        <v>10</v>
      </c>
      <c r="D72" s="89">
        <v>4416.75</v>
      </c>
      <c r="E72" s="103">
        <v>43668</v>
      </c>
      <c r="F72" s="96">
        <v>4416.75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43666</v>
      </c>
      <c r="B73" s="87">
        <f t="shared" si="5"/>
        <v>3991</v>
      </c>
      <c r="C73" s="88" t="s">
        <v>12</v>
      </c>
      <c r="D73" s="89">
        <v>4848</v>
      </c>
      <c r="E73" s="103">
        <v>43671</v>
      </c>
      <c r="F73" s="96">
        <v>4848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43667</v>
      </c>
      <c r="B74" s="87">
        <f t="shared" si="5"/>
        <v>3992</v>
      </c>
      <c r="C74" s="88" t="s">
        <v>7</v>
      </c>
      <c r="D74" s="89">
        <v>5818.8</v>
      </c>
      <c r="E74" s="103">
        <v>43667</v>
      </c>
      <c r="F74" s="96">
        <v>5818.8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30" x14ac:dyDescent="0.25">
      <c r="A75" s="86">
        <v>43667</v>
      </c>
      <c r="B75" s="87">
        <f t="shared" si="5"/>
        <v>3993</v>
      </c>
      <c r="C75" s="88" t="s">
        <v>11</v>
      </c>
      <c r="D75" s="89">
        <v>12633.6</v>
      </c>
      <c r="E75" s="103" t="s">
        <v>107</v>
      </c>
      <c r="F75" s="96">
        <f>5000+5000+2633.6</f>
        <v>12633.6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43667</v>
      </c>
      <c r="B76" s="87">
        <f t="shared" si="5"/>
        <v>3994</v>
      </c>
      <c r="C76" s="88" t="s">
        <v>8</v>
      </c>
      <c r="D76" s="89">
        <v>33381.03</v>
      </c>
      <c r="E76" s="103">
        <v>43668</v>
      </c>
      <c r="F76" s="96">
        <v>33381.03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43667</v>
      </c>
      <c r="B77" s="87">
        <f t="shared" si="5"/>
        <v>3995</v>
      </c>
      <c r="C77" s="88" t="s">
        <v>10</v>
      </c>
      <c r="D77" s="89">
        <v>3931.2</v>
      </c>
      <c r="E77" s="103">
        <v>43668</v>
      </c>
      <c r="F77" s="96">
        <v>3931.2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43667</v>
      </c>
      <c r="B78" s="87">
        <f t="shared" si="5"/>
        <v>3996</v>
      </c>
      <c r="C78" s="88" t="s">
        <v>13</v>
      </c>
      <c r="D78" s="89">
        <v>9050.6</v>
      </c>
      <c r="E78" s="103" t="s">
        <v>108</v>
      </c>
      <c r="F78" s="96">
        <f>5000+2976+1074.6</f>
        <v>9050.6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43668</v>
      </c>
      <c r="B79" s="87">
        <f t="shared" si="5"/>
        <v>3997</v>
      </c>
      <c r="C79" s="88" t="s">
        <v>11</v>
      </c>
      <c r="D79" s="89">
        <v>6973.2</v>
      </c>
      <c r="E79" s="103" t="s">
        <v>109</v>
      </c>
      <c r="F79" s="96">
        <f>5500+1473.2</f>
        <v>6973.2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43668</v>
      </c>
      <c r="B80" s="87">
        <f t="shared" si="5"/>
        <v>3998</v>
      </c>
      <c r="C80" s="88" t="s">
        <v>10</v>
      </c>
      <c r="D80" s="89">
        <v>3912</v>
      </c>
      <c r="E80" s="103">
        <v>43669</v>
      </c>
      <c r="F80" s="96">
        <v>3912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43668</v>
      </c>
      <c r="B81" s="87">
        <f t="shared" si="5"/>
        <v>3999</v>
      </c>
      <c r="C81" s="88" t="s">
        <v>9</v>
      </c>
      <c r="D81" s="89">
        <v>1248</v>
      </c>
      <c r="E81" s="103">
        <v>43674</v>
      </c>
      <c r="F81" s="96">
        <v>1248</v>
      </c>
      <c r="G81" s="32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43669</v>
      </c>
      <c r="B82" s="87">
        <f t="shared" si="5"/>
        <v>4000</v>
      </c>
      <c r="C82" s="88" t="s">
        <v>10</v>
      </c>
      <c r="D82" s="89">
        <v>3216</v>
      </c>
      <c r="E82" s="103">
        <v>43670</v>
      </c>
      <c r="F82" s="96">
        <v>3216</v>
      </c>
      <c r="G82" s="32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43669</v>
      </c>
      <c r="B83" s="87">
        <f t="shared" si="5"/>
        <v>4001</v>
      </c>
      <c r="C83" s="88" t="s">
        <v>13</v>
      </c>
      <c r="D83" s="89">
        <v>2123.8000000000002</v>
      </c>
      <c r="E83" s="103">
        <v>43669</v>
      </c>
      <c r="F83" s="96">
        <v>2123.8000000000002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43670</v>
      </c>
      <c r="B84" s="87">
        <f t="shared" si="5"/>
        <v>4002</v>
      </c>
      <c r="C84" s="113" t="s">
        <v>26</v>
      </c>
      <c r="D84" s="114">
        <v>0</v>
      </c>
      <c r="E84" s="103"/>
      <c r="F84" s="96"/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43670</v>
      </c>
      <c r="B85" s="87">
        <f t="shared" si="5"/>
        <v>4003</v>
      </c>
      <c r="C85" s="88" t="s">
        <v>8</v>
      </c>
      <c r="D85" s="89">
        <v>12501.6</v>
      </c>
      <c r="E85" s="103">
        <v>43671</v>
      </c>
      <c r="F85" s="96">
        <v>12501.6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43670</v>
      </c>
      <c r="B86" s="87">
        <f t="shared" si="5"/>
        <v>4004</v>
      </c>
      <c r="C86" s="88" t="s">
        <v>11</v>
      </c>
      <c r="D86" s="89">
        <v>6170</v>
      </c>
      <c r="E86" s="103" t="s">
        <v>111</v>
      </c>
      <c r="F86" s="96">
        <f>2027+3000+1143</f>
        <v>6170</v>
      </c>
      <c r="G86" s="32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43670</v>
      </c>
      <c r="B87" s="87">
        <f t="shared" si="5"/>
        <v>4005</v>
      </c>
      <c r="C87" s="88" t="s">
        <v>10</v>
      </c>
      <c r="D87" s="89">
        <v>3240</v>
      </c>
      <c r="E87" s="103">
        <v>43671</v>
      </c>
      <c r="F87" s="96">
        <v>3240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43670</v>
      </c>
      <c r="B88" s="87">
        <f t="shared" si="5"/>
        <v>4006</v>
      </c>
      <c r="C88" s="88" t="s">
        <v>13</v>
      </c>
      <c r="D88" s="89">
        <v>6165.8</v>
      </c>
      <c r="E88" s="103" t="s">
        <v>109</v>
      </c>
      <c r="F88" s="96">
        <f>4925+1240.8</f>
        <v>6165.8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43670</v>
      </c>
      <c r="B89" s="87">
        <f t="shared" si="5"/>
        <v>4007</v>
      </c>
      <c r="C89" s="88" t="s">
        <v>14</v>
      </c>
      <c r="D89" s="89">
        <v>2519.6799999999998</v>
      </c>
      <c r="E89" s="103">
        <v>43670</v>
      </c>
      <c r="F89" s="96">
        <v>2519.6799999999998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43671</v>
      </c>
      <c r="B90" s="87">
        <f t="shared" si="5"/>
        <v>4008</v>
      </c>
      <c r="C90" s="88" t="s">
        <v>8</v>
      </c>
      <c r="D90" s="89">
        <v>12901.2</v>
      </c>
      <c r="E90" s="103">
        <v>43673</v>
      </c>
      <c r="F90" s="96">
        <v>12901.2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43671</v>
      </c>
      <c r="B91" s="87">
        <f t="shared" si="5"/>
        <v>4009</v>
      </c>
      <c r="C91" s="88" t="s">
        <v>11</v>
      </c>
      <c r="D91" s="89">
        <v>4761</v>
      </c>
      <c r="E91" s="103">
        <v>43676</v>
      </c>
      <c r="F91" s="96">
        <v>4761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43671</v>
      </c>
      <c r="B92" s="87">
        <f t="shared" si="5"/>
        <v>4010</v>
      </c>
      <c r="C92" s="88" t="s">
        <v>12</v>
      </c>
      <c r="D92" s="89">
        <v>7450.8</v>
      </c>
      <c r="E92" s="103">
        <v>43672</v>
      </c>
      <c r="F92" s="96">
        <v>7450.8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43671</v>
      </c>
      <c r="B93" s="87">
        <f t="shared" si="5"/>
        <v>4011</v>
      </c>
      <c r="C93" s="88" t="s">
        <v>18</v>
      </c>
      <c r="D93" s="89">
        <v>8480</v>
      </c>
      <c r="E93" s="103">
        <v>43672</v>
      </c>
      <c r="F93" s="96">
        <v>8480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43671</v>
      </c>
      <c r="B94" s="87">
        <f t="shared" si="5"/>
        <v>4012</v>
      </c>
      <c r="C94" s="88" t="s">
        <v>10</v>
      </c>
      <c r="D94" s="89">
        <v>4387</v>
      </c>
      <c r="E94" s="103">
        <v>43672</v>
      </c>
      <c r="F94" s="96">
        <v>4387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43671</v>
      </c>
      <c r="B95" s="87">
        <f t="shared" si="5"/>
        <v>4013</v>
      </c>
      <c r="C95" s="88" t="s">
        <v>13</v>
      </c>
      <c r="D95" s="89">
        <v>6370.4</v>
      </c>
      <c r="E95" s="103">
        <v>43672</v>
      </c>
      <c r="F95" s="96">
        <v>6370.4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43672</v>
      </c>
      <c r="B96" s="87">
        <f t="shared" si="5"/>
        <v>4014</v>
      </c>
      <c r="C96" s="88" t="s">
        <v>8</v>
      </c>
      <c r="D96" s="89">
        <v>7949.6</v>
      </c>
      <c r="E96" s="103">
        <v>43673</v>
      </c>
      <c r="F96" s="96">
        <v>7949.6</v>
      </c>
      <c r="G96" s="32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30" x14ac:dyDescent="0.25">
      <c r="A97" s="86">
        <v>43672</v>
      </c>
      <c r="B97" s="87">
        <f t="shared" si="5"/>
        <v>4015</v>
      </c>
      <c r="C97" s="88" t="s">
        <v>12</v>
      </c>
      <c r="D97" s="89">
        <v>11282</v>
      </c>
      <c r="E97" s="103" t="s">
        <v>114</v>
      </c>
      <c r="F97" s="96">
        <f>4000+6000+1282</f>
        <v>11282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43672</v>
      </c>
      <c r="B98" s="87">
        <f t="shared" si="5"/>
        <v>4016</v>
      </c>
      <c r="C98" s="88" t="s">
        <v>18</v>
      </c>
      <c r="D98" s="89">
        <v>8610</v>
      </c>
      <c r="E98" s="103">
        <v>43673</v>
      </c>
      <c r="F98" s="96">
        <v>8610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43672</v>
      </c>
      <c r="B99" s="87">
        <f t="shared" si="5"/>
        <v>4017</v>
      </c>
      <c r="C99" s="88" t="s">
        <v>10</v>
      </c>
      <c r="D99" s="89">
        <v>6502.6</v>
      </c>
      <c r="E99" s="103">
        <v>43673</v>
      </c>
      <c r="F99" s="96">
        <v>6502.6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43672</v>
      </c>
      <c r="B100" s="87">
        <f t="shared" si="5"/>
        <v>4018</v>
      </c>
      <c r="C100" s="88" t="s">
        <v>13</v>
      </c>
      <c r="D100" s="89">
        <v>6583.8</v>
      </c>
      <c r="E100" s="103">
        <v>43674</v>
      </c>
      <c r="F100" s="96">
        <v>6583.8</v>
      </c>
      <c r="G100" s="32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43673</v>
      </c>
      <c r="B101" s="87">
        <f t="shared" si="5"/>
        <v>4019</v>
      </c>
      <c r="C101" s="88" t="s">
        <v>7</v>
      </c>
      <c r="D101" s="89">
        <v>13196.4</v>
      </c>
      <c r="E101" s="103">
        <v>43673</v>
      </c>
      <c r="F101" s="96">
        <v>13196.4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43673</v>
      </c>
      <c r="B102" s="87">
        <f t="shared" si="5"/>
        <v>4020</v>
      </c>
      <c r="C102" s="113" t="s">
        <v>26</v>
      </c>
      <c r="D102" s="114">
        <v>0</v>
      </c>
      <c r="E102" s="103"/>
      <c r="F102" s="96"/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30" x14ac:dyDescent="0.25">
      <c r="A103" s="86">
        <v>43673</v>
      </c>
      <c r="B103" s="87">
        <f t="shared" si="5"/>
        <v>4021</v>
      </c>
      <c r="C103" s="88" t="s">
        <v>9</v>
      </c>
      <c r="D103" s="89">
        <v>36390.800000000003</v>
      </c>
      <c r="E103" s="112" t="s">
        <v>129</v>
      </c>
      <c r="F103" s="120">
        <f>26390.8+10000</f>
        <v>36390.800000000003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43673</v>
      </c>
      <c r="B104" s="87">
        <f t="shared" si="5"/>
        <v>4022</v>
      </c>
      <c r="C104" s="88" t="s">
        <v>8</v>
      </c>
      <c r="D104" s="89">
        <v>38222.400000000001</v>
      </c>
      <c r="E104" s="103">
        <v>43675</v>
      </c>
      <c r="F104" s="96">
        <v>38222.400000000001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45" x14ac:dyDescent="0.25">
      <c r="A105" s="86">
        <v>43673</v>
      </c>
      <c r="B105" s="87">
        <f t="shared" si="5"/>
        <v>4023</v>
      </c>
      <c r="C105" s="88" t="s">
        <v>11</v>
      </c>
      <c r="D105" s="89">
        <v>13905.7</v>
      </c>
      <c r="E105" s="103" t="s">
        <v>115</v>
      </c>
      <c r="F105" s="96">
        <f>1001+5000+3000+4904.7</f>
        <v>13905.7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43673</v>
      </c>
      <c r="B106" s="87">
        <f t="shared" si="5"/>
        <v>4024</v>
      </c>
      <c r="C106" s="88" t="s">
        <v>18</v>
      </c>
      <c r="D106" s="89">
        <v>22607.4</v>
      </c>
      <c r="E106" s="103">
        <v>43676</v>
      </c>
      <c r="F106" s="96">
        <v>22607.4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30" x14ac:dyDescent="0.25">
      <c r="A107" s="86">
        <v>43674</v>
      </c>
      <c r="B107" s="87">
        <f t="shared" si="5"/>
        <v>4025</v>
      </c>
      <c r="C107" s="88" t="s">
        <v>13</v>
      </c>
      <c r="D107" s="89">
        <v>5611.6</v>
      </c>
      <c r="E107" s="103" t="s">
        <v>112</v>
      </c>
      <c r="F107" s="96">
        <f>3200+227.5+2184.1</f>
        <v>5611.6</v>
      </c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43674</v>
      </c>
      <c r="B108" s="87">
        <f t="shared" si="5"/>
        <v>4026</v>
      </c>
      <c r="C108" s="88" t="s">
        <v>10</v>
      </c>
      <c r="D108" s="89">
        <v>2193</v>
      </c>
      <c r="E108" s="103">
        <v>43675</v>
      </c>
      <c r="F108" s="96">
        <v>2193</v>
      </c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43675</v>
      </c>
      <c r="B109" s="87">
        <f t="shared" si="5"/>
        <v>4027</v>
      </c>
      <c r="C109" s="88" t="s">
        <v>8</v>
      </c>
      <c r="D109" s="89">
        <v>12078.25</v>
      </c>
      <c r="E109" s="103">
        <v>43677</v>
      </c>
      <c r="F109" s="96">
        <v>12078.25</v>
      </c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43675</v>
      </c>
      <c r="B110" s="87">
        <f t="shared" si="5"/>
        <v>4028</v>
      </c>
      <c r="C110" s="88" t="s">
        <v>10</v>
      </c>
      <c r="D110" s="89">
        <v>1806</v>
      </c>
      <c r="E110" s="103">
        <v>43676</v>
      </c>
      <c r="F110" s="96">
        <v>1806</v>
      </c>
      <c r="G110" s="32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43675</v>
      </c>
      <c r="B111" s="87">
        <f t="shared" si="5"/>
        <v>4029</v>
      </c>
      <c r="C111" s="88" t="s">
        <v>10</v>
      </c>
      <c r="D111" s="89">
        <v>7072.4</v>
      </c>
      <c r="E111" s="103">
        <v>43677</v>
      </c>
      <c r="F111" s="96">
        <v>7072.4</v>
      </c>
      <c r="G111" s="32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30" x14ac:dyDescent="0.25">
      <c r="A112" s="86">
        <v>43676</v>
      </c>
      <c r="B112" s="87">
        <f t="shared" si="5"/>
        <v>4030</v>
      </c>
      <c r="C112" s="88" t="s">
        <v>8</v>
      </c>
      <c r="D112" s="89">
        <v>39555.800000000003</v>
      </c>
      <c r="E112" s="103" t="s">
        <v>116</v>
      </c>
      <c r="F112" s="96">
        <f>10000+20000+9555.8</f>
        <v>39555.800000000003</v>
      </c>
      <c r="G112" s="32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>
        <v>43676</v>
      </c>
      <c r="B113" s="87">
        <f t="shared" si="5"/>
        <v>4031</v>
      </c>
      <c r="C113" s="88" t="s">
        <v>10</v>
      </c>
      <c r="D113" s="89">
        <v>3624.8</v>
      </c>
      <c r="E113" s="103">
        <v>43677</v>
      </c>
      <c r="F113" s="96">
        <v>3624.8</v>
      </c>
      <c r="G113" s="32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x14ac:dyDescent="0.25">
      <c r="A114" s="86">
        <v>43676</v>
      </c>
      <c r="B114" s="87">
        <f t="shared" si="5"/>
        <v>4032</v>
      </c>
      <c r="C114" s="88" t="s">
        <v>18</v>
      </c>
      <c r="D114" s="89">
        <v>7074</v>
      </c>
      <c r="E114" s="103">
        <v>43678</v>
      </c>
      <c r="F114" s="96">
        <v>7074</v>
      </c>
      <c r="G114" s="32">
        <f t="shared" si="1"/>
        <v>0</v>
      </c>
      <c r="H114" s="2"/>
      <c r="K114" s="20"/>
      <c r="L114" s="58"/>
      <c r="M114" s="59"/>
      <c r="N114" s="25"/>
      <c r="O114" s="24"/>
      <c r="P114" s="25"/>
      <c r="Q114" s="60"/>
    </row>
    <row r="115" spans="1:17" ht="15.75" x14ac:dyDescent="0.25">
      <c r="A115" s="86">
        <v>43677</v>
      </c>
      <c r="B115" s="87">
        <f t="shared" si="5"/>
        <v>4033</v>
      </c>
      <c r="C115" s="88" t="s">
        <v>10</v>
      </c>
      <c r="D115" s="89">
        <v>4728.8</v>
      </c>
      <c r="E115" s="103">
        <v>43678</v>
      </c>
      <c r="F115" s="96">
        <v>4728.8</v>
      </c>
      <c r="G115" s="32">
        <f t="shared" si="1"/>
        <v>0</v>
      </c>
      <c r="H115" s="2"/>
      <c r="K115" s="20"/>
      <c r="L115" s="58"/>
      <c r="M115" s="59"/>
      <c r="N115" s="25"/>
      <c r="O115" s="24"/>
      <c r="P115" s="25"/>
      <c r="Q115" s="60"/>
    </row>
    <row r="116" spans="1:17" ht="15.75" x14ac:dyDescent="0.25">
      <c r="A116" s="86">
        <v>43677</v>
      </c>
      <c r="B116" s="87">
        <f t="shared" si="5"/>
        <v>4034</v>
      </c>
      <c r="C116" s="88" t="s">
        <v>13</v>
      </c>
      <c r="D116" s="89">
        <v>1531.8</v>
      </c>
      <c r="E116" s="103">
        <v>43678</v>
      </c>
      <c r="F116" s="96">
        <v>1531.8</v>
      </c>
      <c r="G116" s="32">
        <f t="shared" si="1"/>
        <v>0</v>
      </c>
      <c r="H116" s="2"/>
      <c r="K116" s="20"/>
      <c r="L116" s="58"/>
      <c r="M116" s="59"/>
      <c r="N116" s="25"/>
      <c r="O116" s="24"/>
      <c r="P116" s="25"/>
      <c r="Q116" s="60"/>
    </row>
    <row r="117" spans="1:17" ht="15.75" x14ac:dyDescent="0.25">
      <c r="A117" s="86">
        <v>43678</v>
      </c>
      <c r="B117" s="87">
        <f t="shared" si="5"/>
        <v>4035</v>
      </c>
      <c r="C117" s="88" t="s">
        <v>10</v>
      </c>
      <c r="D117" s="89">
        <v>5058.1499999999996</v>
      </c>
      <c r="E117" s="103">
        <v>43679</v>
      </c>
      <c r="F117" s="96">
        <v>5058.1499999999996</v>
      </c>
      <c r="G117" s="32">
        <f t="shared" si="1"/>
        <v>0</v>
      </c>
      <c r="H117" s="2"/>
      <c r="K117" s="20"/>
      <c r="L117" s="58"/>
      <c r="M117" s="59"/>
      <c r="N117" s="25"/>
      <c r="O117" s="24"/>
      <c r="P117" s="25"/>
      <c r="Q117" s="60"/>
    </row>
    <row r="118" spans="1:17" ht="15.75" x14ac:dyDescent="0.25">
      <c r="A118" s="86">
        <v>43678</v>
      </c>
      <c r="B118" s="87">
        <f t="shared" si="5"/>
        <v>4036</v>
      </c>
      <c r="C118" s="88" t="s">
        <v>12</v>
      </c>
      <c r="D118" s="89">
        <v>3026.8</v>
      </c>
      <c r="E118" s="103">
        <v>43679</v>
      </c>
      <c r="F118" s="96">
        <v>3026.8</v>
      </c>
      <c r="G118" s="32">
        <f t="shared" si="1"/>
        <v>0</v>
      </c>
      <c r="H118" s="2"/>
      <c r="K118" s="20"/>
      <c r="L118" s="58"/>
      <c r="M118" s="59"/>
      <c r="N118" s="25"/>
      <c r="O118" s="24"/>
      <c r="P118" s="25"/>
      <c r="Q118" s="60"/>
    </row>
    <row r="119" spans="1:17" ht="15.75" x14ac:dyDescent="0.25">
      <c r="A119" s="86">
        <v>43678</v>
      </c>
      <c r="B119" s="87">
        <f t="shared" si="5"/>
        <v>4037</v>
      </c>
      <c r="C119" s="88" t="s">
        <v>13</v>
      </c>
      <c r="D119" s="89">
        <v>6991.6</v>
      </c>
      <c r="E119" s="103" t="s">
        <v>113</v>
      </c>
      <c r="F119" s="96">
        <f>6000+991.6</f>
        <v>6991.6</v>
      </c>
      <c r="G119" s="32">
        <f t="shared" si="1"/>
        <v>0</v>
      </c>
      <c r="H119" s="2"/>
      <c r="K119" s="20"/>
      <c r="L119" s="58"/>
      <c r="M119" s="59"/>
      <c r="N119" s="25"/>
      <c r="O119" s="24"/>
      <c r="P119" s="25"/>
      <c r="Q119" s="60"/>
    </row>
    <row r="120" spans="1:17" ht="15.75" x14ac:dyDescent="0.25">
      <c r="A120" s="86">
        <v>43678</v>
      </c>
      <c r="B120" s="87">
        <f t="shared" si="5"/>
        <v>4038</v>
      </c>
      <c r="C120" s="88" t="s">
        <v>11</v>
      </c>
      <c r="D120" s="89">
        <v>2708.94</v>
      </c>
      <c r="E120" s="103">
        <v>43682</v>
      </c>
      <c r="F120" s="96">
        <v>2708.94</v>
      </c>
      <c r="G120" s="32">
        <f t="shared" si="1"/>
        <v>0</v>
      </c>
      <c r="H120" s="2"/>
      <c r="K120" s="20"/>
      <c r="L120" s="58"/>
      <c r="M120" s="59"/>
      <c r="N120" s="25"/>
      <c r="O120" s="24"/>
      <c r="P120" s="25"/>
      <c r="Q120" s="60"/>
    </row>
    <row r="121" spans="1:17" ht="15.75" x14ac:dyDescent="0.25">
      <c r="A121" s="86">
        <v>43679</v>
      </c>
      <c r="B121" s="87">
        <f t="shared" si="5"/>
        <v>4039</v>
      </c>
      <c r="C121" s="88" t="s">
        <v>10</v>
      </c>
      <c r="D121" s="89">
        <v>3974.4</v>
      </c>
      <c r="E121" s="103">
        <v>43680</v>
      </c>
      <c r="F121" s="96">
        <v>3974.4</v>
      </c>
      <c r="G121" s="32">
        <f t="shared" si="1"/>
        <v>0</v>
      </c>
      <c r="H121" s="2"/>
      <c r="K121" s="20"/>
      <c r="L121" s="58"/>
      <c r="M121" s="59"/>
      <c r="N121" s="25"/>
      <c r="O121" s="24"/>
      <c r="P121" s="25"/>
      <c r="Q121" s="60"/>
    </row>
    <row r="122" spans="1:17" ht="15.75" x14ac:dyDescent="0.25">
      <c r="A122" s="86">
        <v>43679</v>
      </c>
      <c r="B122" s="87">
        <f t="shared" si="5"/>
        <v>4040</v>
      </c>
      <c r="C122" s="88" t="s">
        <v>13</v>
      </c>
      <c r="D122" s="89">
        <v>7566.1</v>
      </c>
      <c r="E122" s="103">
        <v>43680</v>
      </c>
      <c r="F122" s="96">
        <f>1558.1+6008</f>
        <v>7566.1</v>
      </c>
      <c r="G122" s="32">
        <f t="shared" si="1"/>
        <v>0</v>
      </c>
      <c r="H122" s="2"/>
      <c r="K122" s="20"/>
      <c r="L122" s="58"/>
      <c r="M122" s="59"/>
      <c r="N122" s="25"/>
      <c r="O122" s="24"/>
      <c r="P122" s="25"/>
      <c r="Q122" s="60"/>
    </row>
    <row r="123" spans="1:17" ht="15.75" x14ac:dyDescent="0.25">
      <c r="A123" s="86">
        <v>43679</v>
      </c>
      <c r="B123" s="87">
        <f t="shared" si="5"/>
        <v>4041</v>
      </c>
      <c r="C123" s="88" t="s">
        <v>12</v>
      </c>
      <c r="D123" s="89">
        <v>1692</v>
      </c>
      <c r="E123" s="103">
        <v>43682</v>
      </c>
      <c r="F123" s="96">
        <v>1692</v>
      </c>
      <c r="G123" s="32">
        <f t="shared" si="1"/>
        <v>0</v>
      </c>
      <c r="H123" s="2"/>
      <c r="K123" s="20"/>
      <c r="L123" s="58"/>
      <c r="M123" s="59"/>
      <c r="N123" s="25"/>
      <c r="O123" s="24"/>
      <c r="P123" s="25"/>
      <c r="Q123" s="60"/>
    </row>
    <row r="124" spans="1:17" ht="15.75" x14ac:dyDescent="0.25">
      <c r="A124" s="86">
        <v>43680</v>
      </c>
      <c r="B124" s="87">
        <f t="shared" si="5"/>
        <v>4042</v>
      </c>
      <c r="C124" s="88" t="s">
        <v>7</v>
      </c>
      <c r="D124" s="89">
        <v>8454.7999999999993</v>
      </c>
      <c r="E124" s="103">
        <v>43680</v>
      </c>
      <c r="F124" s="96">
        <v>8454.7999999999993</v>
      </c>
      <c r="G124" s="32">
        <f t="shared" si="1"/>
        <v>0</v>
      </c>
      <c r="H124" s="2"/>
      <c r="K124" s="20"/>
      <c r="L124" s="58"/>
      <c r="M124" s="59"/>
      <c r="N124" s="25"/>
      <c r="O124" s="24"/>
      <c r="P124" s="25"/>
      <c r="Q124" s="60"/>
    </row>
    <row r="125" spans="1:17" ht="15.75" x14ac:dyDescent="0.25">
      <c r="A125" s="86">
        <v>43680</v>
      </c>
      <c r="B125" s="87">
        <f t="shared" si="5"/>
        <v>4043</v>
      </c>
      <c r="C125" s="88" t="s">
        <v>8</v>
      </c>
      <c r="D125" s="89">
        <v>41639.4</v>
      </c>
      <c r="E125" s="103" t="s">
        <v>120</v>
      </c>
      <c r="F125" s="121">
        <f>35000+6639.4</f>
        <v>41639.4</v>
      </c>
      <c r="G125" s="32">
        <f t="shared" si="1"/>
        <v>0</v>
      </c>
      <c r="H125" s="2"/>
      <c r="K125" s="20"/>
      <c r="L125" s="58"/>
      <c r="M125" s="59"/>
      <c r="N125" s="25"/>
      <c r="O125" s="24"/>
      <c r="P125" s="25"/>
      <c r="Q125" s="60"/>
    </row>
    <row r="126" spans="1:17" ht="30" x14ac:dyDescent="0.25">
      <c r="A126" s="86">
        <v>43680</v>
      </c>
      <c r="B126" s="87">
        <f t="shared" si="5"/>
        <v>4044</v>
      </c>
      <c r="C126" s="88" t="s">
        <v>9</v>
      </c>
      <c r="D126" s="89">
        <v>38689.5</v>
      </c>
      <c r="E126" s="112" t="s">
        <v>130</v>
      </c>
      <c r="F126" s="68">
        <f>29489.5+9200</f>
        <v>38689.5</v>
      </c>
      <c r="G126" s="93">
        <f t="shared" si="1"/>
        <v>0</v>
      </c>
      <c r="H126" s="2"/>
      <c r="K126" s="20"/>
      <c r="L126" s="58"/>
      <c r="M126" s="59"/>
      <c r="N126" s="25"/>
      <c r="O126" s="24"/>
      <c r="P126" s="25"/>
      <c r="Q126" s="60"/>
    </row>
    <row r="127" spans="1:17" ht="30" x14ac:dyDescent="0.25">
      <c r="A127" s="86">
        <v>43680</v>
      </c>
      <c r="B127" s="87">
        <f t="shared" si="5"/>
        <v>4045</v>
      </c>
      <c r="C127" s="88" t="s">
        <v>12</v>
      </c>
      <c r="D127" s="89">
        <v>7914.4</v>
      </c>
      <c r="E127" s="112" t="s">
        <v>133</v>
      </c>
      <c r="F127" s="68">
        <f>2026+3000+2888.4</f>
        <v>7914.4</v>
      </c>
      <c r="G127" s="32">
        <f t="shared" si="1"/>
        <v>0</v>
      </c>
      <c r="H127" s="2"/>
      <c r="K127" s="20"/>
      <c r="L127" s="58"/>
      <c r="M127" s="59"/>
      <c r="N127" s="25"/>
      <c r="O127" s="24"/>
      <c r="P127" s="25"/>
      <c r="Q127" s="60"/>
    </row>
    <row r="128" spans="1:17" ht="15.75" x14ac:dyDescent="0.25">
      <c r="A128" s="86">
        <v>43680</v>
      </c>
      <c r="B128" s="87">
        <f t="shared" si="5"/>
        <v>4046</v>
      </c>
      <c r="C128" s="88" t="s">
        <v>11</v>
      </c>
      <c r="D128" s="89">
        <v>14829</v>
      </c>
      <c r="E128" s="103">
        <v>43682</v>
      </c>
      <c r="F128" s="96">
        <f>7215+7614</f>
        <v>14829</v>
      </c>
      <c r="G128" s="32">
        <f t="shared" si="1"/>
        <v>0</v>
      </c>
      <c r="H128" s="2"/>
      <c r="K128" s="20"/>
      <c r="L128" s="58"/>
      <c r="M128" s="59"/>
      <c r="N128" s="25"/>
      <c r="O128" s="24"/>
      <c r="P128" s="25"/>
      <c r="Q128" s="60"/>
    </row>
    <row r="129" spans="1:17" ht="15.75" x14ac:dyDescent="0.25">
      <c r="A129" s="86">
        <v>43680</v>
      </c>
      <c r="B129" s="87">
        <f t="shared" si="5"/>
        <v>4047</v>
      </c>
      <c r="C129" s="88" t="s">
        <v>13</v>
      </c>
      <c r="D129" s="89">
        <v>5730</v>
      </c>
      <c r="E129" s="103">
        <v>43681</v>
      </c>
      <c r="F129" s="96">
        <v>5730</v>
      </c>
      <c r="G129" s="32">
        <f t="shared" si="1"/>
        <v>0</v>
      </c>
      <c r="H129" s="2"/>
      <c r="K129" s="20"/>
      <c r="L129" s="58"/>
      <c r="M129" s="59"/>
      <c r="N129" s="25"/>
      <c r="O129" s="24"/>
      <c r="P129" s="25"/>
      <c r="Q129" s="60"/>
    </row>
    <row r="130" spans="1:17" ht="15.75" x14ac:dyDescent="0.25">
      <c r="A130" s="86">
        <v>43680</v>
      </c>
      <c r="B130" s="87">
        <f t="shared" si="5"/>
        <v>4048</v>
      </c>
      <c r="C130" s="88" t="s">
        <v>8</v>
      </c>
      <c r="D130" s="89">
        <v>500</v>
      </c>
      <c r="E130" s="103">
        <v>43682</v>
      </c>
      <c r="F130" s="96">
        <v>500</v>
      </c>
      <c r="G130" s="32">
        <f t="shared" si="1"/>
        <v>0</v>
      </c>
      <c r="H130" s="2"/>
      <c r="K130" s="20"/>
      <c r="L130" s="58"/>
      <c r="M130" s="59"/>
      <c r="N130" s="25"/>
      <c r="O130" s="24"/>
      <c r="P130" s="25"/>
      <c r="Q130" s="60"/>
    </row>
    <row r="131" spans="1:17" ht="15.75" x14ac:dyDescent="0.25">
      <c r="A131" s="86">
        <v>43680</v>
      </c>
      <c r="B131" s="87">
        <f t="shared" si="5"/>
        <v>4049</v>
      </c>
      <c r="C131" s="88" t="s">
        <v>10</v>
      </c>
      <c r="D131" s="89">
        <v>3643.2</v>
      </c>
      <c r="E131" s="103">
        <v>43681</v>
      </c>
      <c r="F131" s="96">
        <v>3643.2</v>
      </c>
      <c r="G131" s="32">
        <f t="shared" si="1"/>
        <v>0</v>
      </c>
      <c r="H131" s="2"/>
      <c r="K131" s="20"/>
      <c r="L131" s="58"/>
      <c r="M131" s="59"/>
      <c r="N131" s="25"/>
      <c r="O131" s="24"/>
      <c r="P131" s="25"/>
      <c r="Q131" s="60"/>
    </row>
    <row r="132" spans="1:17" ht="15.75" x14ac:dyDescent="0.25">
      <c r="A132" s="86">
        <v>43680</v>
      </c>
      <c r="B132" s="87">
        <f t="shared" ref="B132:B140" si="6">B131+1</f>
        <v>4050</v>
      </c>
      <c r="C132" s="88" t="s">
        <v>9</v>
      </c>
      <c r="D132" s="89">
        <v>568.4</v>
      </c>
      <c r="E132" s="103">
        <v>43682</v>
      </c>
      <c r="F132" s="96">
        <v>568.4</v>
      </c>
      <c r="G132" s="32">
        <f t="shared" si="1"/>
        <v>0</v>
      </c>
      <c r="H132" s="2"/>
      <c r="K132" s="20"/>
      <c r="L132" s="58"/>
      <c r="M132" s="59"/>
      <c r="N132" s="25"/>
      <c r="O132" s="24"/>
      <c r="P132" s="25"/>
      <c r="Q132" s="60"/>
    </row>
    <row r="133" spans="1:17" ht="15.75" x14ac:dyDescent="0.25">
      <c r="A133" s="86">
        <v>43681</v>
      </c>
      <c r="B133" s="87">
        <f t="shared" si="6"/>
        <v>4051</v>
      </c>
      <c r="C133" s="88" t="s">
        <v>7</v>
      </c>
      <c r="D133" s="89">
        <v>6835.6</v>
      </c>
      <c r="E133" s="103">
        <v>43681</v>
      </c>
      <c r="F133" s="96">
        <v>6835.6</v>
      </c>
      <c r="G133" s="32">
        <f t="shared" si="1"/>
        <v>0</v>
      </c>
      <c r="H133" s="2"/>
      <c r="K133" s="20"/>
      <c r="L133" s="58"/>
      <c r="M133" s="59"/>
      <c r="N133" s="25"/>
      <c r="O133" s="24"/>
      <c r="P133" s="25"/>
      <c r="Q133" s="60"/>
    </row>
    <row r="134" spans="1:17" ht="15.75" x14ac:dyDescent="0.25">
      <c r="A134" s="86">
        <v>43681</v>
      </c>
      <c r="B134" s="87">
        <f t="shared" si="6"/>
        <v>4052</v>
      </c>
      <c r="C134" s="88" t="s">
        <v>10</v>
      </c>
      <c r="D134" s="89">
        <v>3726</v>
      </c>
      <c r="E134" s="103">
        <v>43682</v>
      </c>
      <c r="F134" s="96">
        <v>3726</v>
      </c>
      <c r="G134" s="32">
        <f t="shared" si="1"/>
        <v>0</v>
      </c>
      <c r="H134" s="2"/>
      <c r="K134" s="20"/>
      <c r="L134" s="58"/>
      <c r="M134" s="59"/>
      <c r="N134" s="25"/>
      <c r="O134" s="24"/>
      <c r="P134" s="25"/>
      <c r="Q134" s="60"/>
    </row>
    <row r="135" spans="1:17" ht="15.75" x14ac:dyDescent="0.25">
      <c r="A135" s="86">
        <v>43681</v>
      </c>
      <c r="B135" s="87">
        <f t="shared" si="6"/>
        <v>4053</v>
      </c>
      <c r="C135" s="88" t="s">
        <v>13</v>
      </c>
      <c r="D135" s="89">
        <v>7275.2</v>
      </c>
      <c r="E135" s="112" t="s">
        <v>122</v>
      </c>
      <c r="F135" s="120">
        <f>4300+2975.2</f>
        <v>7275.2</v>
      </c>
      <c r="G135" s="32">
        <f t="shared" si="1"/>
        <v>0</v>
      </c>
      <c r="H135" s="2"/>
      <c r="K135" s="20"/>
      <c r="L135" s="58"/>
      <c r="M135" s="59"/>
      <c r="N135" s="25"/>
      <c r="O135" s="24"/>
      <c r="P135" s="25"/>
      <c r="Q135" s="60"/>
    </row>
    <row r="136" spans="1:17" ht="15.75" x14ac:dyDescent="0.25">
      <c r="A136" s="86">
        <v>43682</v>
      </c>
      <c r="B136" s="87">
        <f t="shared" si="6"/>
        <v>4054</v>
      </c>
      <c r="C136" s="88" t="s">
        <v>11</v>
      </c>
      <c r="D136" s="89">
        <v>12000.15</v>
      </c>
      <c r="E136" s="112" t="s">
        <v>123</v>
      </c>
      <c r="F136" s="120">
        <f>6500+5500.15</f>
        <v>12000.15</v>
      </c>
      <c r="G136" s="93">
        <f t="shared" si="1"/>
        <v>0</v>
      </c>
      <c r="H136" s="2"/>
      <c r="K136" s="20"/>
      <c r="L136" s="58"/>
      <c r="M136" s="59"/>
      <c r="N136" s="25"/>
      <c r="O136" s="24"/>
      <c r="P136" s="25"/>
      <c r="Q136" s="60"/>
    </row>
    <row r="137" spans="1:17" ht="15.75" x14ac:dyDescent="0.25">
      <c r="A137" s="86">
        <v>43682</v>
      </c>
      <c r="B137" s="87">
        <f t="shared" si="6"/>
        <v>4055</v>
      </c>
      <c r="C137" s="88" t="s">
        <v>18</v>
      </c>
      <c r="D137" s="89">
        <v>9890</v>
      </c>
      <c r="E137" s="112">
        <v>43684</v>
      </c>
      <c r="F137" s="120">
        <v>9890</v>
      </c>
      <c r="G137" s="32">
        <f t="shared" si="1"/>
        <v>0</v>
      </c>
      <c r="H137" s="2"/>
      <c r="K137" s="20"/>
      <c r="L137" s="58"/>
      <c r="M137" s="59"/>
      <c r="N137" s="25"/>
      <c r="O137" s="24"/>
      <c r="P137" s="25"/>
      <c r="Q137" s="60"/>
    </row>
    <row r="138" spans="1:17" ht="15.75" x14ac:dyDescent="0.25">
      <c r="A138" s="86">
        <v>43682</v>
      </c>
      <c r="B138" s="87">
        <f t="shared" si="6"/>
        <v>4056</v>
      </c>
      <c r="C138" s="88" t="s">
        <v>11</v>
      </c>
      <c r="D138" s="89">
        <v>4581</v>
      </c>
      <c r="E138" s="112">
        <v>43683</v>
      </c>
      <c r="F138" s="120">
        <v>4581</v>
      </c>
      <c r="G138" s="32">
        <f t="shared" si="1"/>
        <v>0</v>
      </c>
      <c r="H138" s="2"/>
      <c r="K138" s="20"/>
      <c r="L138" s="58"/>
      <c r="M138" s="59"/>
      <c r="N138" s="25"/>
      <c r="O138" s="24"/>
      <c r="P138" s="25"/>
      <c r="Q138" s="60"/>
    </row>
    <row r="139" spans="1:17" ht="15.75" x14ac:dyDescent="0.25">
      <c r="A139" s="86">
        <v>43682</v>
      </c>
      <c r="B139" s="87">
        <f t="shared" si="6"/>
        <v>4057</v>
      </c>
      <c r="C139" s="88" t="s">
        <v>10</v>
      </c>
      <c r="D139" s="89">
        <v>3891.6</v>
      </c>
      <c r="E139" s="112">
        <v>43683</v>
      </c>
      <c r="F139" s="120">
        <v>3891.6</v>
      </c>
      <c r="G139" s="32">
        <f t="shared" si="1"/>
        <v>0</v>
      </c>
      <c r="H139" s="2"/>
      <c r="K139" s="20"/>
      <c r="L139" s="58"/>
      <c r="M139" s="59"/>
      <c r="N139" s="25"/>
      <c r="O139" s="24"/>
      <c r="P139" s="25"/>
      <c r="Q139" s="60"/>
    </row>
    <row r="140" spans="1:17" ht="15.75" x14ac:dyDescent="0.25">
      <c r="A140" s="86">
        <v>43682</v>
      </c>
      <c r="B140" s="87">
        <f t="shared" si="6"/>
        <v>4058</v>
      </c>
      <c r="C140" s="88" t="s">
        <v>13</v>
      </c>
      <c r="D140" s="89">
        <v>6192.4</v>
      </c>
      <c r="E140" s="112" t="s">
        <v>123</v>
      </c>
      <c r="F140" s="120">
        <f>1425+4767.4</f>
        <v>6192.4</v>
      </c>
      <c r="G140" s="93">
        <f t="shared" si="1"/>
        <v>0</v>
      </c>
      <c r="H140" s="2"/>
      <c r="K140" s="20"/>
      <c r="L140" s="58"/>
      <c r="M140" s="59"/>
      <c r="N140" s="25"/>
      <c r="O140" s="24"/>
      <c r="P140" s="25"/>
      <c r="Q140" s="60"/>
    </row>
    <row r="141" spans="1:17" ht="15.75" x14ac:dyDescent="0.25">
      <c r="A141" s="86"/>
      <c r="B141" s="87"/>
      <c r="C141" s="88"/>
      <c r="D141" s="89"/>
      <c r="E141" s="103"/>
      <c r="F141" s="96"/>
      <c r="G141" s="32">
        <f t="shared" si="1"/>
        <v>0</v>
      </c>
      <c r="H141" s="2"/>
      <c r="K141" s="20"/>
      <c r="L141" s="58"/>
      <c r="M141" s="59"/>
      <c r="N141" s="25"/>
      <c r="O141" s="24"/>
      <c r="P141" s="25"/>
      <c r="Q141" s="60"/>
    </row>
    <row r="142" spans="1:17" ht="15.75" thickBot="1" x14ac:dyDescent="0.3">
      <c r="A142" s="43"/>
      <c r="B142" s="44"/>
      <c r="C142" s="45"/>
      <c r="D142" s="46"/>
      <c r="E142" s="109"/>
      <c r="F142" s="46"/>
      <c r="G142" s="32">
        <f t="shared" si="1"/>
        <v>0</v>
      </c>
      <c r="H142" s="2"/>
    </row>
    <row r="143" spans="1:17" ht="16.5" thickTop="1" x14ac:dyDescent="0.25">
      <c r="A143" s="49"/>
      <c r="B143" s="50"/>
      <c r="C143" s="2"/>
      <c r="D143" s="51">
        <f>SUM(D4:D142)</f>
        <v>1175116.97</v>
      </c>
      <c r="E143" s="110"/>
      <c r="F143" s="51">
        <f>SUM(F4:F142)</f>
        <v>1175116.97</v>
      </c>
      <c r="G143" s="55"/>
      <c r="H143" s="2"/>
    </row>
    <row r="144" spans="1:17" x14ac:dyDescent="0.25">
      <c r="A144" s="49"/>
      <c r="B144" s="50"/>
      <c r="C144" s="2"/>
      <c r="D144" s="53"/>
      <c r="E144" s="110"/>
      <c r="F144" s="53"/>
      <c r="G144" s="55"/>
      <c r="H144" s="2"/>
    </row>
    <row r="145" spans="1:16" ht="30" x14ac:dyDescent="0.25">
      <c r="A145" s="49"/>
      <c r="B145" s="50"/>
      <c r="C145" s="2"/>
      <c r="D145" s="56" t="s">
        <v>15</v>
      </c>
      <c r="E145" s="110"/>
      <c r="F145" s="57" t="s">
        <v>16</v>
      </c>
      <c r="G145" s="55"/>
      <c r="H145" s="2"/>
    </row>
    <row r="146" spans="1:16" ht="15.75" thickBot="1" x14ac:dyDescent="0.3">
      <c r="A146" s="49"/>
      <c r="B146" s="50"/>
      <c r="C146" s="2"/>
      <c r="D146" s="56"/>
      <c r="E146" s="110"/>
      <c r="F146" s="57"/>
      <c r="G146" s="55"/>
      <c r="H146" s="2"/>
    </row>
    <row r="147" spans="1:16" ht="21.75" thickBot="1" x14ac:dyDescent="0.4">
      <c r="A147" s="49"/>
      <c r="B147" s="50"/>
      <c r="C147" s="2"/>
      <c r="D147" s="126">
        <f>D143-F143</f>
        <v>0</v>
      </c>
      <c r="E147" s="127"/>
      <c r="F147" s="128"/>
      <c r="H147" s="2"/>
    </row>
    <row r="148" spans="1:16" x14ac:dyDescent="0.25">
      <c r="A148" s="49"/>
      <c r="B148" s="50"/>
      <c r="C148" s="2"/>
      <c r="D148" s="53"/>
      <c r="E148" s="110"/>
      <c r="F148" s="53"/>
      <c r="H148" s="2"/>
      <c r="K148" s="49"/>
      <c r="L148" s="50"/>
      <c r="M148" s="2"/>
      <c r="N148" s="53"/>
      <c r="O148" s="52"/>
      <c r="P148" s="53"/>
    </row>
    <row r="149" spans="1:16" ht="18.75" x14ac:dyDescent="0.3">
      <c r="A149" s="49"/>
      <c r="B149" s="50"/>
      <c r="C149" s="2"/>
      <c r="D149" s="129" t="s">
        <v>17</v>
      </c>
      <c r="E149" s="129"/>
      <c r="F149" s="129"/>
      <c r="H149" s="2"/>
      <c r="K149" s="49"/>
      <c r="L149" s="50"/>
      <c r="M149" s="2"/>
    </row>
    <row r="150" spans="1:16" x14ac:dyDescent="0.25">
      <c r="A150" s="49"/>
      <c r="B150" s="50"/>
      <c r="C150" s="2"/>
      <c r="D150" s="53"/>
      <c r="E150" s="110"/>
      <c r="F150" s="53"/>
      <c r="H150" s="2"/>
      <c r="K150" s="49"/>
      <c r="L150" s="50"/>
      <c r="M150" s="2"/>
      <c r="N150" s="53"/>
      <c r="O150" s="52"/>
      <c r="P150" s="53"/>
    </row>
    <row r="151" spans="1:16" x14ac:dyDescent="0.25">
      <c r="A151" s="49"/>
      <c r="B151" s="50"/>
      <c r="C151" s="2"/>
      <c r="D151" s="53"/>
      <c r="E151" s="110"/>
      <c r="F151" s="53"/>
      <c r="H151" s="2"/>
      <c r="K151" s="49"/>
      <c r="L151" s="50"/>
      <c r="M151" s="2"/>
      <c r="N151" s="53"/>
      <c r="O151" s="52"/>
      <c r="P151" s="53"/>
    </row>
    <row r="152" spans="1:16" x14ac:dyDescent="0.25">
      <c r="A152" s="49"/>
      <c r="B152" s="50"/>
      <c r="C152" s="2"/>
      <c r="D152" s="53"/>
      <c r="E152" s="110"/>
      <c r="F152" s="53"/>
      <c r="H152" s="2"/>
      <c r="K152" s="49"/>
      <c r="L152" s="50"/>
      <c r="M152" s="2"/>
      <c r="N152" s="53"/>
      <c r="O152" s="52"/>
      <c r="P152" s="53"/>
    </row>
    <row r="153" spans="1:16" x14ac:dyDescent="0.25">
      <c r="A153" s="49"/>
      <c r="B153" s="50"/>
      <c r="C153" s="2"/>
      <c r="D153" s="53"/>
      <c r="E153" s="110"/>
      <c r="F153" s="53"/>
      <c r="H153" s="2"/>
      <c r="K153" s="49"/>
      <c r="L153" s="50"/>
      <c r="M153" s="2"/>
      <c r="N153" s="53"/>
      <c r="O153" s="52"/>
      <c r="P153" s="53"/>
    </row>
    <row r="154" spans="1:16" x14ac:dyDescent="0.25">
      <c r="A154" s="49"/>
      <c r="B154" s="50"/>
      <c r="C154" s="2"/>
      <c r="D154" s="53"/>
      <c r="E154" s="110"/>
      <c r="F154" s="53"/>
      <c r="H154" s="2"/>
      <c r="K154" s="49"/>
      <c r="L154" s="50"/>
      <c r="M154" s="2"/>
      <c r="N154" s="53"/>
      <c r="O154" s="52"/>
      <c r="P154" s="53"/>
    </row>
    <row r="155" spans="1:16" x14ac:dyDescent="0.25">
      <c r="A155" s="49"/>
      <c r="B155" s="50"/>
      <c r="C155" s="2"/>
      <c r="D155" s="53"/>
      <c r="E155" s="110"/>
      <c r="F155" s="53"/>
      <c r="H155" s="2"/>
      <c r="K155" s="49"/>
      <c r="L155" s="50"/>
      <c r="M155" s="2"/>
      <c r="N155" s="53"/>
      <c r="O155" s="52"/>
      <c r="P155" s="53"/>
    </row>
    <row r="156" spans="1:16" x14ac:dyDescent="0.25">
      <c r="A156" s="49"/>
      <c r="B156" s="50"/>
      <c r="C156" s="2"/>
      <c r="D156" s="53"/>
      <c r="E156" s="110"/>
      <c r="F156" s="53"/>
      <c r="H156" s="2"/>
      <c r="K156" s="49"/>
      <c r="L156" s="50"/>
      <c r="M156" s="2"/>
      <c r="N156" s="53"/>
      <c r="O156" s="52"/>
      <c r="P156" s="53"/>
    </row>
    <row r="157" spans="1:16" x14ac:dyDescent="0.25">
      <c r="A157" s="49"/>
      <c r="B157" s="50"/>
      <c r="C157" s="2"/>
      <c r="D157" s="53"/>
      <c r="E157" s="110"/>
      <c r="F157" s="53"/>
      <c r="H157" s="2"/>
      <c r="K157" s="49"/>
      <c r="L157" s="50"/>
      <c r="M157" s="2"/>
      <c r="N157" s="53"/>
      <c r="O157" s="52"/>
      <c r="P157" s="53"/>
    </row>
    <row r="158" spans="1:16" x14ac:dyDescent="0.25">
      <c r="A158" s="49"/>
      <c r="B158" s="50"/>
      <c r="C158" s="2"/>
      <c r="D158" s="53"/>
      <c r="E158" s="110"/>
      <c r="F158" s="53"/>
      <c r="H158" s="2"/>
      <c r="K158" s="49"/>
      <c r="L158" s="50"/>
      <c r="M158" s="2"/>
      <c r="N158" s="53"/>
      <c r="O158" s="52"/>
      <c r="P158" s="53"/>
    </row>
    <row r="159" spans="1:16" x14ac:dyDescent="0.25">
      <c r="A159" s="49"/>
      <c r="B159" s="50"/>
      <c r="C159" s="2"/>
      <c r="D159" s="53"/>
      <c r="E159" s="110"/>
      <c r="F159" s="53"/>
      <c r="H159" s="2"/>
      <c r="K159" s="49"/>
      <c r="L159" s="50"/>
      <c r="M159" s="2"/>
      <c r="N159" s="53"/>
      <c r="O159" s="52"/>
      <c r="P159" s="53"/>
    </row>
    <row r="160" spans="1:16" x14ac:dyDescent="0.25">
      <c r="A160" s="49"/>
      <c r="B160" s="50"/>
      <c r="C160" s="2"/>
      <c r="D160" s="53"/>
      <c r="E160" s="110"/>
      <c r="F160" s="53"/>
      <c r="H160" s="2"/>
      <c r="K160" s="49"/>
      <c r="L160" s="50"/>
      <c r="M160" s="2"/>
      <c r="N160" s="53"/>
      <c r="O160" s="52"/>
      <c r="P160" s="53"/>
    </row>
  </sheetData>
  <mergeCells count="8">
    <mergeCell ref="D147:F147"/>
    <mergeCell ref="D149:F14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36FC-851F-47B0-95CC-3C30E8210393}">
  <sheetPr>
    <tabColor theme="7" tint="-0.249977111117893"/>
  </sheetPr>
  <dimension ref="A1:Q128"/>
  <sheetViews>
    <sheetView topLeftCell="A97" workbookViewId="0">
      <selection activeCell="E96" sqref="E96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118</v>
      </c>
      <c r="C1" s="130"/>
      <c r="D1" s="130"/>
      <c r="E1" s="130"/>
      <c r="F1" s="130"/>
      <c r="H1" s="2"/>
      <c r="K1" s="3"/>
      <c r="L1" s="131" t="s">
        <v>119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8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9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16.5" thickTop="1" x14ac:dyDescent="0.25">
      <c r="A4" s="86">
        <v>43683</v>
      </c>
      <c r="B4" s="87">
        <v>4059</v>
      </c>
      <c r="C4" s="88" t="s">
        <v>11</v>
      </c>
      <c r="D4" s="89">
        <v>7893</v>
      </c>
      <c r="E4" s="103">
        <v>43685</v>
      </c>
      <c r="F4" s="96">
        <v>7893</v>
      </c>
      <c r="G4" s="26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43683</v>
      </c>
      <c r="B5" s="87">
        <f t="shared" ref="B5:B70" si="0">B4+1</f>
        <v>4060</v>
      </c>
      <c r="C5" s="88" t="s">
        <v>10</v>
      </c>
      <c r="D5" s="89">
        <v>4388.3999999999996</v>
      </c>
      <c r="E5" s="103">
        <v>43684</v>
      </c>
      <c r="F5" s="96">
        <v>4388.3999999999996</v>
      </c>
      <c r="G5" s="32">
        <f>D5-F5</f>
        <v>0</v>
      </c>
      <c r="H5" s="2"/>
      <c r="K5" s="28">
        <v>43684</v>
      </c>
      <c r="L5" s="33">
        <v>238</v>
      </c>
      <c r="M5" s="34" t="s">
        <v>25</v>
      </c>
      <c r="N5" s="31">
        <v>2638.5</v>
      </c>
      <c r="O5" s="24"/>
      <c r="P5" s="25"/>
      <c r="Q5" s="32">
        <f>N5-P5</f>
        <v>2638.5</v>
      </c>
    </row>
    <row r="6" spans="1:17" ht="15.75" x14ac:dyDescent="0.25">
      <c r="A6" s="86">
        <v>43684</v>
      </c>
      <c r="B6" s="87">
        <f t="shared" si="0"/>
        <v>4061</v>
      </c>
      <c r="C6" s="88" t="s">
        <v>18</v>
      </c>
      <c r="D6" s="89">
        <v>12007.8</v>
      </c>
      <c r="E6" s="103">
        <v>43685</v>
      </c>
      <c r="F6" s="96">
        <v>12007.8</v>
      </c>
      <c r="G6" s="32">
        <f>D6-F6</f>
        <v>0</v>
      </c>
      <c r="H6" s="2"/>
      <c r="K6" s="28">
        <v>43686</v>
      </c>
      <c r="L6" s="33">
        <f>L5+1</f>
        <v>239</v>
      </c>
      <c r="M6" s="34" t="s">
        <v>25</v>
      </c>
      <c r="N6" s="31">
        <v>5049</v>
      </c>
      <c r="O6" s="24"/>
      <c r="P6" s="25"/>
      <c r="Q6" s="32">
        <f>N6-P6</f>
        <v>5049</v>
      </c>
    </row>
    <row r="7" spans="1:17" ht="15.75" x14ac:dyDescent="0.25">
      <c r="A7" s="86">
        <v>43684</v>
      </c>
      <c r="B7" s="87">
        <f t="shared" si="0"/>
        <v>4062</v>
      </c>
      <c r="C7" s="88" t="s">
        <v>8</v>
      </c>
      <c r="D7" s="89">
        <v>12074</v>
      </c>
      <c r="E7" s="103">
        <v>43686</v>
      </c>
      <c r="F7" s="96">
        <v>12074</v>
      </c>
      <c r="G7" s="32">
        <f t="shared" ref="G7:G110" si="1">D7-F7</f>
        <v>0</v>
      </c>
      <c r="H7" s="2"/>
      <c r="K7" s="28">
        <v>43689</v>
      </c>
      <c r="L7" s="33">
        <f t="shared" ref="L7:L19" si="2">L6+1</f>
        <v>240</v>
      </c>
      <c r="M7" s="30" t="s">
        <v>25</v>
      </c>
      <c r="N7" s="31">
        <v>4964</v>
      </c>
      <c r="O7" s="24"/>
      <c r="P7" s="25"/>
      <c r="Q7" s="32">
        <f t="shared" ref="Q7:Q22" si="3">N7-P7</f>
        <v>4964</v>
      </c>
    </row>
    <row r="8" spans="1:17" ht="15.75" x14ac:dyDescent="0.25">
      <c r="A8" s="86">
        <v>43684</v>
      </c>
      <c r="B8" s="87">
        <f t="shared" si="0"/>
        <v>4063</v>
      </c>
      <c r="C8" s="88" t="s">
        <v>10</v>
      </c>
      <c r="D8" s="89">
        <v>3808.8</v>
      </c>
      <c r="E8" s="103">
        <v>43685</v>
      </c>
      <c r="F8" s="96">
        <v>3808.8</v>
      </c>
      <c r="G8" s="32">
        <f t="shared" si="1"/>
        <v>0</v>
      </c>
      <c r="H8" s="2"/>
      <c r="K8" s="28">
        <v>43694</v>
      </c>
      <c r="L8" s="33">
        <f t="shared" si="2"/>
        <v>241</v>
      </c>
      <c r="M8" s="30" t="s">
        <v>25</v>
      </c>
      <c r="N8" s="31">
        <v>4533</v>
      </c>
      <c r="O8" s="24"/>
      <c r="P8" s="25"/>
      <c r="Q8" s="32">
        <f t="shared" si="3"/>
        <v>4533</v>
      </c>
    </row>
    <row r="9" spans="1:17" ht="15.75" x14ac:dyDescent="0.25">
      <c r="A9" s="86">
        <v>43684</v>
      </c>
      <c r="B9" s="87">
        <f t="shared" si="0"/>
        <v>4064</v>
      </c>
      <c r="C9" s="88" t="s">
        <v>13</v>
      </c>
      <c r="D9" s="89">
        <v>3108.8</v>
      </c>
      <c r="E9" s="103" t="s">
        <v>124</v>
      </c>
      <c r="F9" s="96">
        <f>232.5+2876.3</f>
        <v>3108.8</v>
      </c>
      <c r="G9" s="32">
        <f t="shared" si="1"/>
        <v>0</v>
      </c>
      <c r="H9" s="2"/>
      <c r="K9" s="28">
        <v>43696</v>
      </c>
      <c r="L9" s="33">
        <f t="shared" si="2"/>
        <v>242</v>
      </c>
      <c r="M9" s="30" t="s">
        <v>25</v>
      </c>
      <c r="N9" s="31">
        <v>4974</v>
      </c>
      <c r="O9" s="24"/>
      <c r="P9" s="25"/>
      <c r="Q9" s="32">
        <f t="shared" si="3"/>
        <v>4974</v>
      </c>
    </row>
    <row r="10" spans="1:17" ht="15.75" x14ac:dyDescent="0.25">
      <c r="A10" s="86">
        <v>43685</v>
      </c>
      <c r="B10" s="87">
        <f t="shared" si="0"/>
        <v>4065</v>
      </c>
      <c r="C10" s="88" t="s">
        <v>11</v>
      </c>
      <c r="D10" s="102">
        <v>5355</v>
      </c>
      <c r="E10" s="103" t="s">
        <v>124</v>
      </c>
      <c r="F10" s="96">
        <f>4000+1355</f>
        <v>5355</v>
      </c>
      <c r="G10" s="32">
        <f t="shared" si="1"/>
        <v>0</v>
      </c>
      <c r="H10" s="2"/>
      <c r="K10" s="28">
        <v>43698</v>
      </c>
      <c r="L10" s="33">
        <f t="shared" si="2"/>
        <v>243</v>
      </c>
      <c r="M10" s="34" t="s">
        <v>25</v>
      </c>
      <c r="N10" s="31">
        <v>2557</v>
      </c>
      <c r="O10" s="24"/>
      <c r="P10" s="25"/>
      <c r="Q10" s="32">
        <f t="shared" si="3"/>
        <v>2557</v>
      </c>
    </row>
    <row r="11" spans="1:17" ht="30" x14ac:dyDescent="0.25">
      <c r="A11" s="86">
        <v>43685</v>
      </c>
      <c r="B11" s="87">
        <f t="shared" si="0"/>
        <v>4066</v>
      </c>
      <c r="C11" s="88" t="s">
        <v>11</v>
      </c>
      <c r="D11" s="102">
        <v>13018</v>
      </c>
      <c r="E11" s="103" t="s">
        <v>125</v>
      </c>
      <c r="F11" s="96">
        <f>6645+6373</f>
        <v>13018</v>
      </c>
      <c r="G11" s="32">
        <f t="shared" si="1"/>
        <v>0</v>
      </c>
      <c r="H11" s="2"/>
      <c r="K11" s="28">
        <v>43701</v>
      </c>
      <c r="L11" s="33">
        <f t="shared" si="2"/>
        <v>244</v>
      </c>
      <c r="M11" s="34" t="s">
        <v>25</v>
      </c>
      <c r="N11" s="31">
        <v>2893</v>
      </c>
      <c r="O11" s="24"/>
      <c r="P11" s="25"/>
      <c r="Q11" s="32">
        <f t="shared" si="3"/>
        <v>2893</v>
      </c>
    </row>
    <row r="12" spans="1:17" ht="15.75" x14ac:dyDescent="0.25">
      <c r="A12" s="86">
        <v>43685</v>
      </c>
      <c r="B12" s="87">
        <f t="shared" si="0"/>
        <v>4067</v>
      </c>
      <c r="C12" s="88" t="s">
        <v>12</v>
      </c>
      <c r="D12" s="102">
        <v>1526.4</v>
      </c>
      <c r="E12" s="103">
        <v>43686</v>
      </c>
      <c r="F12" s="96">
        <v>1526.4</v>
      </c>
      <c r="G12" s="32">
        <f t="shared" si="1"/>
        <v>0</v>
      </c>
      <c r="H12" s="2"/>
      <c r="K12" s="28">
        <v>43703</v>
      </c>
      <c r="L12" s="33">
        <f t="shared" si="2"/>
        <v>245</v>
      </c>
      <c r="M12" s="34" t="s">
        <v>25</v>
      </c>
      <c r="N12" s="31">
        <v>6283</v>
      </c>
      <c r="O12" s="24"/>
      <c r="P12" s="25"/>
      <c r="Q12" s="32">
        <f t="shared" si="3"/>
        <v>6283</v>
      </c>
    </row>
    <row r="13" spans="1:17" ht="15.75" x14ac:dyDescent="0.25">
      <c r="A13" s="86">
        <v>43685</v>
      </c>
      <c r="B13" s="87">
        <f t="shared" si="0"/>
        <v>4068</v>
      </c>
      <c r="C13" s="88" t="s">
        <v>18</v>
      </c>
      <c r="D13" s="102">
        <v>7538.8</v>
      </c>
      <c r="E13" s="103">
        <v>43686</v>
      </c>
      <c r="F13" s="96">
        <v>7538.8</v>
      </c>
      <c r="G13" s="32">
        <f t="shared" si="1"/>
        <v>0</v>
      </c>
      <c r="H13" s="2"/>
      <c r="K13" s="28">
        <v>43706</v>
      </c>
      <c r="L13" s="33">
        <f t="shared" si="2"/>
        <v>246</v>
      </c>
      <c r="M13" s="30" t="s">
        <v>25</v>
      </c>
      <c r="N13" s="31">
        <v>4291</v>
      </c>
      <c r="O13" s="24"/>
      <c r="P13" s="25"/>
      <c r="Q13" s="32">
        <f t="shared" si="3"/>
        <v>4291</v>
      </c>
    </row>
    <row r="14" spans="1:17" ht="18.75" x14ac:dyDescent="0.3">
      <c r="A14" s="86">
        <v>43685</v>
      </c>
      <c r="B14" s="87">
        <f t="shared" si="0"/>
        <v>4069</v>
      </c>
      <c r="C14" s="104" t="s">
        <v>10</v>
      </c>
      <c r="D14" s="102">
        <v>6006.6</v>
      </c>
      <c r="E14" s="103">
        <v>43686</v>
      </c>
      <c r="F14" s="96">
        <v>6006.6</v>
      </c>
      <c r="G14" s="32">
        <f t="shared" si="1"/>
        <v>0</v>
      </c>
      <c r="H14" s="2"/>
      <c r="K14" s="28">
        <v>43708</v>
      </c>
      <c r="L14" s="33">
        <f t="shared" si="2"/>
        <v>247</v>
      </c>
      <c r="M14" s="119" t="s">
        <v>26</v>
      </c>
      <c r="N14" s="31">
        <v>0</v>
      </c>
      <c r="O14" s="24"/>
      <c r="P14" s="25"/>
      <c r="Q14" s="32">
        <f t="shared" si="3"/>
        <v>0</v>
      </c>
    </row>
    <row r="15" spans="1:17" ht="15.75" x14ac:dyDescent="0.25">
      <c r="A15" s="86">
        <v>43685</v>
      </c>
      <c r="B15" s="87">
        <f t="shared" si="0"/>
        <v>4070</v>
      </c>
      <c r="C15" s="104" t="s">
        <v>13</v>
      </c>
      <c r="D15" s="102">
        <v>9086</v>
      </c>
      <c r="E15" s="103">
        <v>43686</v>
      </c>
      <c r="F15" s="96">
        <v>9086</v>
      </c>
      <c r="G15" s="32">
        <f t="shared" si="1"/>
        <v>0</v>
      </c>
      <c r="H15" s="2"/>
      <c r="K15" s="28">
        <v>43708</v>
      </c>
      <c r="L15" s="33">
        <f t="shared" si="2"/>
        <v>248</v>
      </c>
      <c r="M15" s="30" t="s">
        <v>25</v>
      </c>
      <c r="N15" s="31">
        <v>3380</v>
      </c>
      <c r="O15" s="24"/>
      <c r="P15" s="25"/>
      <c r="Q15" s="32">
        <f t="shared" si="3"/>
        <v>3380</v>
      </c>
    </row>
    <row r="16" spans="1:17" ht="30" x14ac:dyDescent="0.25">
      <c r="A16" s="86">
        <v>43686</v>
      </c>
      <c r="B16" s="87">
        <f t="shared" si="0"/>
        <v>4071</v>
      </c>
      <c r="C16" s="117" t="s">
        <v>11</v>
      </c>
      <c r="D16" s="102">
        <v>15768.8</v>
      </c>
      <c r="E16" s="103" t="s">
        <v>126</v>
      </c>
      <c r="F16" s="96">
        <f>4627+11141.8</f>
        <v>15768.8</v>
      </c>
      <c r="G16" s="32">
        <f t="shared" si="1"/>
        <v>0</v>
      </c>
      <c r="H16" s="2"/>
      <c r="K16" s="28">
        <v>43708</v>
      </c>
      <c r="L16" s="33">
        <f t="shared" si="2"/>
        <v>249</v>
      </c>
      <c r="M16" s="30" t="s">
        <v>25</v>
      </c>
      <c r="N16" s="31">
        <v>2075</v>
      </c>
      <c r="O16" s="24"/>
      <c r="P16" s="25"/>
      <c r="Q16" s="32">
        <f t="shared" si="3"/>
        <v>2075</v>
      </c>
    </row>
    <row r="17" spans="1:17" ht="15.75" x14ac:dyDescent="0.25">
      <c r="A17" s="86">
        <v>43686</v>
      </c>
      <c r="B17" s="87">
        <f t="shared" si="0"/>
        <v>4072</v>
      </c>
      <c r="C17" s="104" t="s">
        <v>8</v>
      </c>
      <c r="D17" s="102">
        <v>19847.599999999999</v>
      </c>
      <c r="E17" s="103">
        <v>43687</v>
      </c>
      <c r="F17" s="96">
        <v>19847.599999999999</v>
      </c>
      <c r="G17" s="32">
        <f t="shared" si="1"/>
        <v>0</v>
      </c>
      <c r="H17" s="2"/>
      <c r="K17" s="28">
        <v>43710</v>
      </c>
      <c r="L17" s="33">
        <f t="shared" si="2"/>
        <v>250</v>
      </c>
      <c r="M17" s="34" t="s">
        <v>25</v>
      </c>
      <c r="N17" s="31">
        <v>5328</v>
      </c>
      <c r="O17" s="24"/>
      <c r="P17" s="25"/>
      <c r="Q17" s="32">
        <f t="shared" si="3"/>
        <v>5328</v>
      </c>
    </row>
    <row r="18" spans="1:17" ht="15.75" x14ac:dyDescent="0.25">
      <c r="A18" s="86">
        <v>43686</v>
      </c>
      <c r="B18" s="87">
        <f t="shared" si="0"/>
        <v>4073</v>
      </c>
      <c r="C18" s="104" t="s">
        <v>13</v>
      </c>
      <c r="D18" s="102">
        <v>7722</v>
      </c>
      <c r="E18" s="103">
        <v>43688</v>
      </c>
      <c r="F18" s="96">
        <v>7722</v>
      </c>
      <c r="G18" s="32">
        <f t="shared" si="1"/>
        <v>0</v>
      </c>
      <c r="H18" s="2"/>
      <c r="K18" s="75"/>
      <c r="L18" s="33">
        <f t="shared" si="2"/>
        <v>251</v>
      </c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43686</v>
      </c>
      <c r="B19" s="87">
        <f t="shared" si="0"/>
        <v>4074</v>
      </c>
      <c r="C19" s="88" t="s">
        <v>10</v>
      </c>
      <c r="D19" s="102">
        <v>5207.6000000000004</v>
      </c>
      <c r="E19" s="103">
        <v>43687</v>
      </c>
      <c r="F19" s="96">
        <v>5207.6000000000004</v>
      </c>
      <c r="G19" s="93">
        <f t="shared" si="1"/>
        <v>0</v>
      </c>
      <c r="H19" s="2"/>
      <c r="K19" s="75"/>
      <c r="L19" s="33">
        <f t="shared" si="2"/>
        <v>252</v>
      </c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43686</v>
      </c>
      <c r="B20" s="87">
        <f t="shared" si="0"/>
        <v>4075</v>
      </c>
      <c r="C20" s="88" t="s">
        <v>12</v>
      </c>
      <c r="D20" s="102">
        <v>2294.4</v>
      </c>
      <c r="E20" s="103">
        <v>43687</v>
      </c>
      <c r="F20" s="96">
        <v>2294.4</v>
      </c>
      <c r="G20" s="32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43687</v>
      </c>
      <c r="B21" s="87">
        <f t="shared" si="0"/>
        <v>4076</v>
      </c>
      <c r="C21" s="88" t="s">
        <v>7</v>
      </c>
      <c r="D21" s="102">
        <v>8685.6</v>
      </c>
      <c r="E21" s="103">
        <v>43687</v>
      </c>
      <c r="F21" s="96">
        <v>8685.6</v>
      </c>
      <c r="G21" s="32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30" x14ac:dyDescent="0.25">
      <c r="A22" s="86">
        <v>43687</v>
      </c>
      <c r="B22" s="87">
        <f t="shared" si="0"/>
        <v>4077</v>
      </c>
      <c r="C22" s="88" t="s">
        <v>9</v>
      </c>
      <c r="D22" s="102">
        <v>39067.050000000003</v>
      </c>
      <c r="E22" s="103" t="s">
        <v>134</v>
      </c>
      <c r="F22" s="96">
        <f>25800+4067+9200.05</f>
        <v>39067.050000000003</v>
      </c>
      <c r="G22" s="93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30" x14ac:dyDescent="0.25">
      <c r="A23" s="86">
        <v>43687</v>
      </c>
      <c r="B23" s="87">
        <f t="shared" si="0"/>
        <v>4078</v>
      </c>
      <c r="C23" s="88" t="s">
        <v>11</v>
      </c>
      <c r="D23" s="102">
        <v>23800.400000000001</v>
      </c>
      <c r="E23" s="103" t="s">
        <v>128</v>
      </c>
      <c r="F23" s="96">
        <f>5858+17942.4</f>
        <v>23800.400000000001</v>
      </c>
      <c r="G23" s="32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30" x14ac:dyDescent="0.25">
      <c r="A24" s="86">
        <v>43687</v>
      </c>
      <c r="B24" s="87">
        <f t="shared" si="0"/>
        <v>4079</v>
      </c>
      <c r="C24" s="88" t="s">
        <v>8</v>
      </c>
      <c r="D24" s="102">
        <v>11454</v>
      </c>
      <c r="E24" s="103" t="s">
        <v>127</v>
      </c>
      <c r="F24" s="96">
        <f>9000+2454</f>
        <v>11454</v>
      </c>
      <c r="G24" s="32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43687</v>
      </c>
      <c r="B25" s="87">
        <f t="shared" si="0"/>
        <v>4080</v>
      </c>
      <c r="C25" s="88" t="s">
        <v>10</v>
      </c>
      <c r="D25" s="102">
        <v>4700</v>
      </c>
      <c r="E25" s="103">
        <v>43689</v>
      </c>
      <c r="F25" s="96">
        <v>4700</v>
      </c>
      <c r="G25" s="32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43687</v>
      </c>
      <c r="B26" s="87">
        <f t="shared" si="0"/>
        <v>4081</v>
      </c>
      <c r="C26" s="88" t="s">
        <v>12</v>
      </c>
      <c r="D26" s="102">
        <v>2390.4</v>
      </c>
      <c r="E26" s="103">
        <v>43688</v>
      </c>
      <c r="F26" s="96">
        <v>2390.4</v>
      </c>
      <c r="G26" s="32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30" x14ac:dyDescent="0.25">
      <c r="A27" s="86">
        <v>43688</v>
      </c>
      <c r="B27" s="87">
        <f t="shared" si="0"/>
        <v>4082</v>
      </c>
      <c r="C27" s="104" t="s">
        <v>11</v>
      </c>
      <c r="D27" s="102">
        <v>13928.8</v>
      </c>
      <c r="E27" s="103" t="s">
        <v>132</v>
      </c>
      <c r="F27" s="96">
        <f>10000+2000+1928.8</f>
        <v>13928.8</v>
      </c>
      <c r="G27" s="32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43688</v>
      </c>
      <c r="B28" s="87">
        <f t="shared" si="0"/>
        <v>4083</v>
      </c>
      <c r="C28" s="88" t="s">
        <v>12</v>
      </c>
      <c r="D28" s="102">
        <v>2256</v>
      </c>
      <c r="E28" s="103">
        <v>43692</v>
      </c>
      <c r="F28" s="96">
        <v>2256</v>
      </c>
      <c r="G28" s="32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43688</v>
      </c>
      <c r="B29" s="87">
        <f t="shared" si="0"/>
        <v>4084</v>
      </c>
      <c r="C29" s="88" t="s">
        <v>8</v>
      </c>
      <c r="D29" s="102">
        <v>7727.7</v>
      </c>
      <c r="E29" s="103">
        <v>43689</v>
      </c>
      <c r="F29" s="96">
        <v>7727.7</v>
      </c>
      <c r="G29" s="32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15.75" x14ac:dyDescent="0.25">
      <c r="A30" s="86">
        <v>43688</v>
      </c>
      <c r="B30" s="87">
        <f t="shared" si="0"/>
        <v>4085</v>
      </c>
      <c r="C30" s="88" t="s">
        <v>13</v>
      </c>
      <c r="D30" s="102">
        <v>10003.200000000001</v>
      </c>
      <c r="E30" s="103">
        <v>43689</v>
      </c>
      <c r="F30" s="96">
        <v>10003.200000000001</v>
      </c>
      <c r="G30" s="32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15.75" x14ac:dyDescent="0.25">
      <c r="A31" s="86">
        <v>43688</v>
      </c>
      <c r="B31" s="87">
        <f t="shared" si="0"/>
        <v>4086</v>
      </c>
      <c r="C31" s="88" t="s">
        <v>10</v>
      </c>
      <c r="D31" s="102">
        <v>4596.6000000000004</v>
      </c>
      <c r="E31" s="103">
        <v>43689</v>
      </c>
      <c r="F31" s="96">
        <v>4596.6000000000004</v>
      </c>
      <c r="G31" s="32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30" x14ac:dyDescent="0.25">
      <c r="A32" s="86">
        <v>43689</v>
      </c>
      <c r="B32" s="87">
        <f t="shared" si="0"/>
        <v>4087</v>
      </c>
      <c r="C32" s="88" t="s">
        <v>11</v>
      </c>
      <c r="D32" s="102">
        <v>12282.8</v>
      </c>
      <c r="E32" s="103" t="s">
        <v>135</v>
      </c>
      <c r="F32" s="96">
        <f>4131+5000+3151.8</f>
        <v>12282.8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43689</v>
      </c>
      <c r="B33" s="87">
        <f t="shared" si="0"/>
        <v>4088</v>
      </c>
      <c r="C33" s="88" t="s">
        <v>13</v>
      </c>
      <c r="D33" s="102">
        <v>3844.6</v>
      </c>
      <c r="E33" s="103">
        <v>43690</v>
      </c>
      <c r="F33" s="96">
        <v>3844.6</v>
      </c>
      <c r="G33" s="32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43689</v>
      </c>
      <c r="B34" s="87">
        <f t="shared" si="0"/>
        <v>4089</v>
      </c>
      <c r="C34" s="88" t="s">
        <v>10</v>
      </c>
      <c r="D34" s="102">
        <v>582.79999999999995</v>
      </c>
      <c r="E34" s="103">
        <v>43690</v>
      </c>
      <c r="F34" s="96">
        <v>582.79999999999995</v>
      </c>
      <c r="G34" s="32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43690</v>
      </c>
      <c r="B35" s="87">
        <f t="shared" si="0"/>
        <v>4090</v>
      </c>
      <c r="C35" s="88" t="s">
        <v>13</v>
      </c>
      <c r="D35" s="102">
        <v>10566.8</v>
      </c>
      <c r="E35" s="103">
        <v>43692</v>
      </c>
      <c r="F35" s="96">
        <v>10566.8</v>
      </c>
      <c r="G35" s="32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43690</v>
      </c>
      <c r="B36" s="87">
        <f t="shared" si="0"/>
        <v>4091</v>
      </c>
      <c r="C36" s="88" t="s">
        <v>10</v>
      </c>
      <c r="D36" s="102">
        <v>4809.6000000000004</v>
      </c>
      <c r="E36" s="103">
        <v>43691</v>
      </c>
      <c r="F36" s="96">
        <v>4809.6000000000004</v>
      </c>
      <c r="G36" s="32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43691</v>
      </c>
      <c r="B37" s="87">
        <f t="shared" si="0"/>
        <v>4092</v>
      </c>
      <c r="C37" s="88" t="s">
        <v>12</v>
      </c>
      <c r="D37" s="89">
        <v>2195.1999999999998</v>
      </c>
      <c r="E37" s="107">
        <v>43691</v>
      </c>
      <c r="F37" s="89">
        <v>2195.1999999999998</v>
      </c>
      <c r="G37" s="32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43691</v>
      </c>
      <c r="B38" s="87">
        <f t="shared" si="0"/>
        <v>4093</v>
      </c>
      <c r="C38" s="88" t="s">
        <v>10</v>
      </c>
      <c r="D38" s="89">
        <v>3660</v>
      </c>
      <c r="E38" s="103">
        <v>43692</v>
      </c>
      <c r="F38" s="96">
        <v>3660</v>
      </c>
      <c r="G38" s="32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43692</v>
      </c>
      <c r="B39" s="87">
        <f t="shared" si="0"/>
        <v>4094</v>
      </c>
      <c r="C39" s="104" t="s">
        <v>8</v>
      </c>
      <c r="D39" s="89">
        <v>9785.4</v>
      </c>
      <c r="E39" s="103">
        <v>43692</v>
      </c>
      <c r="F39" s="96">
        <v>9785.4</v>
      </c>
      <c r="G39" s="32">
        <f t="shared" si="1"/>
        <v>0</v>
      </c>
      <c r="H39" s="2"/>
      <c r="K39" s="49"/>
      <c r="L39" s="50"/>
      <c r="M39" s="2"/>
      <c r="N39" s="51">
        <f>SUM(N4:N38)</f>
        <v>48965.5</v>
      </c>
      <c r="O39" s="52"/>
      <c r="P39" s="53">
        <f>SUM(P4:P38)</f>
        <v>0</v>
      </c>
      <c r="Q39" s="54">
        <f>SUM(Q4:Q38)</f>
        <v>48965.5</v>
      </c>
    </row>
    <row r="40" spans="1:17" ht="15.75" x14ac:dyDescent="0.25">
      <c r="A40" s="86">
        <v>43692</v>
      </c>
      <c r="B40" s="87">
        <f t="shared" si="0"/>
        <v>4095</v>
      </c>
      <c r="C40" s="88" t="s">
        <v>13</v>
      </c>
      <c r="D40" s="89">
        <v>10756.8</v>
      </c>
      <c r="E40" s="103">
        <v>43695</v>
      </c>
      <c r="F40" s="96">
        <f>8000+2756.8</f>
        <v>10756.8</v>
      </c>
      <c r="G40" s="32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43692</v>
      </c>
      <c r="B41" s="87">
        <f t="shared" si="0"/>
        <v>4096</v>
      </c>
      <c r="C41" s="88" t="s">
        <v>12</v>
      </c>
      <c r="D41" s="89">
        <v>2150.4</v>
      </c>
      <c r="E41" s="103">
        <v>43693</v>
      </c>
      <c r="F41" s="96">
        <v>2150.4</v>
      </c>
      <c r="G41" s="32">
        <f t="shared" si="1"/>
        <v>0</v>
      </c>
      <c r="H41" s="2"/>
      <c r="K41" s="49"/>
      <c r="L41" s="50"/>
      <c r="M41" s="2"/>
      <c r="N41" s="134" t="s">
        <v>15</v>
      </c>
      <c r="O41" s="52"/>
      <c r="P41" s="135" t="s">
        <v>16</v>
      </c>
      <c r="Q41" s="55"/>
    </row>
    <row r="42" spans="1:17" ht="15.75" customHeight="1" x14ac:dyDescent="0.25">
      <c r="A42" s="86">
        <v>43692</v>
      </c>
      <c r="B42" s="87">
        <f t="shared" si="0"/>
        <v>4097</v>
      </c>
      <c r="C42" s="88" t="s">
        <v>9</v>
      </c>
      <c r="D42" s="89">
        <v>10260</v>
      </c>
      <c r="E42" s="103">
        <v>43693</v>
      </c>
      <c r="F42" s="96">
        <v>10260</v>
      </c>
      <c r="G42" s="32">
        <f t="shared" si="1"/>
        <v>0</v>
      </c>
      <c r="H42" s="2"/>
      <c r="K42" s="49"/>
      <c r="L42" s="50"/>
      <c r="M42" s="2"/>
      <c r="N42" s="134"/>
      <c r="O42" s="52"/>
      <c r="P42" s="135"/>
      <c r="Q42" s="55"/>
    </row>
    <row r="43" spans="1:17" ht="15.75" customHeight="1" x14ac:dyDescent="0.25">
      <c r="A43" s="86">
        <v>43692</v>
      </c>
      <c r="B43" s="87">
        <f t="shared" si="0"/>
        <v>4098</v>
      </c>
      <c r="C43" s="88" t="s">
        <v>10</v>
      </c>
      <c r="D43" s="89">
        <v>5985.6</v>
      </c>
      <c r="E43" s="103">
        <v>43693</v>
      </c>
      <c r="F43" s="96">
        <v>5985.6</v>
      </c>
      <c r="G43" s="32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16.5" thickBot="1" x14ac:dyDescent="0.3">
      <c r="A44" s="86">
        <v>43693</v>
      </c>
      <c r="B44" s="87">
        <f t="shared" si="0"/>
        <v>4099</v>
      </c>
      <c r="C44" s="88" t="s">
        <v>8</v>
      </c>
      <c r="D44" s="89">
        <v>11012.4</v>
      </c>
      <c r="E44" s="103">
        <v>43694</v>
      </c>
      <c r="F44" s="96">
        <v>11012.4</v>
      </c>
      <c r="G44" s="32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21.75" thickBot="1" x14ac:dyDescent="0.4">
      <c r="A45" s="86">
        <v>43693</v>
      </c>
      <c r="B45" s="87">
        <f t="shared" si="0"/>
        <v>4100</v>
      </c>
      <c r="C45" s="88" t="s">
        <v>10</v>
      </c>
      <c r="D45" s="89">
        <v>5155.2</v>
      </c>
      <c r="E45" s="103">
        <v>43694</v>
      </c>
      <c r="F45" s="96">
        <v>5155.2</v>
      </c>
      <c r="G45" s="93">
        <f t="shared" si="1"/>
        <v>0</v>
      </c>
      <c r="H45" s="2"/>
      <c r="K45" s="49"/>
      <c r="L45" s="50"/>
      <c r="M45" s="2"/>
      <c r="N45" s="126">
        <f>N39-P39</f>
        <v>48965.5</v>
      </c>
      <c r="O45" s="127"/>
      <c r="P45" s="128"/>
    </row>
    <row r="46" spans="1:17" ht="15.75" x14ac:dyDescent="0.25">
      <c r="A46" s="86">
        <v>43693</v>
      </c>
      <c r="B46" s="87">
        <f t="shared" si="0"/>
        <v>4101</v>
      </c>
      <c r="C46" s="88" t="s">
        <v>12</v>
      </c>
      <c r="D46" s="89">
        <v>2606.8000000000002</v>
      </c>
      <c r="E46" s="103">
        <v>43693</v>
      </c>
      <c r="F46" s="96">
        <v>2606.8000000000002</v>
      </c>
      <c r="G46" s="32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8.75" x14ac:dyDescent="0.3">
      <c r="A47" s="86">
        <v>43694</v>
      </c>
      <c r="B47" s="87">
        <f t="shared" si="0"/>
        <v>4102</v>
      </c>
      <c r="C47" s="88" t="s">
        <v>7</v>
      </c>
      <c r="D47" s="89">
        <v>8399.6</v>
      </c>
      <c r="E47" s="103">
        <v>43693</v>
      </c>
      <c r="F47" s="96">
        <v>8399.6</v>
      </c>
      <c r="G47" s="32">
        <f t="shared" si="1"/>
        <v>0</v>
      </c>
      <c r="H47" s="2"/>
      <c r="K47" s="20"/>
      <c r="L47" s="58"/>
      <c r="M47" s="59"/>
      <c r="N47" s="129" t="s">
        <v>17</v>
      </c>
      <c r="O47" s="129"/>
      <c r="P47" s="129"/>
      <c r="Q47" s="60"/>
    </row>
    <row r="48" spans="1:17" ht="30" x14ac:dyDescent="0.25">
      <c r="A48" s="86">
        <v>43694</v>
      </c>
      <c r="B48" s="87">
        <f t="shared" si="0"/>
        <v>4103</v>
      </c>
      <c r="C48" s="88" t="s">
        <v>9</v>
      </c>
      <c r="D48" s="89">
        <v>45834.1</v>
      </c>
      <c r="E48" s="108" t="s">
        <v>140</v>
      </c>
      <c r="F48" s="120">
        <f>36634.1+9200</f>
        <v>45834.1</v>
      </c>
      <c r="G48" s="93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15.75" x14ac:dyDescent="0.25">
      <c r="A49" s="86">
        <v>43694</v>
      </c>
      <c r="B49" s="87">
        <f t="shared" si="0"/>
        <v>4104</v>
      </c>
      <c r="C49" s="88" t="s">
        <v>10</v>
      </c>
      <c r="D49" s="89">
        <v>4483.8</v>
      </c>
      <c r="E49" s="103">
        <v>43695</v>
      </c>
      <c r="F49" s="96">
        <v>4483.8</v>
      </c>
      <c r="G49" s="32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43694</v>
      </c>
      <c r="B50" s="87">
        <f t="shared" si="0"/>
        <v>4105</v>
      </c>
      <c r="C50" s="88" t="s">
        <v>8</v>
      </c>
      <c r="D50" s="89">
        <v>12918.4</v>
      </c>
      <c r="E50" s="103">
        <v>43695</v>
      </c>
      <c r="F50" s="96">
        <v>12918.4</v>
      </c>
      <c r="G50" s="32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43695</v>
      </c>
      <c r="B51" s="87">
        <f t="shared" si="0"/>
        <v>4106</v>
      </c>
      <c r="C51" s="88" t="s">
        <v>7</v>
      </c>
      <c r="D51" s="89">
        <v>6752.8</v>
      </c>
      <c r="E51" s="103">
        <v>43695</v>
      </c>
      <c r="F51" s="96">
        <v>6752.8</v>
      </c>
      <c r="G51" s="32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30" x14ac:dyDescent="0.25">
      <c r="A52" s="86">
        <v>43695</v>
      </c>
      <c r="B52" s="87">
        <f t="shared" si="0"/>
        <v>4107</v>
      </c>
      <c r="C52" s="88" t="s">
        <v>8</v>
      </c>
      <c r="D52" s="89">
        <v>11999.1</v>
      </c>
      <c r="E52" s="103" t="s">
        <v>131</v>
      </c>
      <c r="F52" s="96">
        <f>5000+6999.1</f>
        <v>11999.1</v>
      </c>
      <c r="G52" s="32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43695</v>
      </c>
      <c r="B53" s="87">
        <f t="shared" si="0"/>
        <v>4108</v>
      </c>
      <c r="C53" s="88" t="s">
        <v>13</v>
      </c>
      <c r="D53" s="89">
        <v>11362.4</v>
      </c>
      <c r="E53" s="103">
        <v>43697</v>
      </c>
      <c r="F53" s="96">
        <f>8000+3362.4</f>
        <v>11362.4</v>
      </c>
      <c r="G53" s="32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43695</v>
      </c>
      <c r="B54" s="87">
        <f t="shared" si="0"/>
        <v>4109</v>
      </c>
      <c r="C54" s="88" t="s">
        <v>9</v>
      </c>
      <c r="D54" s="89">
        <v>31034.5</v>
      </c>
      <c r="E54" s="103">
        <v>43700</v>
      </c>
      <c r="F54" s="96">
        <v>31034.5</v>
      </c>
      <c r="G54" s="32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43695</v>
      </c>
      <c r="B55" s="87">
        <f t="shared" si="0"/>
        <v>4110</v>
      </c>
      <c r="C55" s="88" t="s">
        <v>10</v>
      </c>
      <c r="D55" s="89">
        <v>3602.55</v>
      </c>
      <c r="E55" s="103">
        <v>43697</v>
      </c>
      <c r="F55" s="96">
        <v>3602.55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15.75" x14ac:dyDescent="0.25">
      <c r="A56" s="86">
        <v>43696</v>
      </c>
      <c r="B56" s="87">
        <f t="shared" si="0"/>
        <v>4111</v>
      </c>
      <c r="C56" s="88" t="s">
        <v>10</v>
      </c>
      <c r="D56" s="89">
        <v>4183</v>
      </c>
      <c r="E56" s="103">
        <v>43697</v>
      </c>
      <c r="F56" s="96">
        <v>4183</v>
      </c>
      <c r="G56" s="32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43696</v>
      </c>
      <c r="B57" s="87">
        <f t="shared" si="0"/>
        <v>4112</v>
      </c>
      <c r="C57" s="88" t="s">
        <v>8</v>
      </c>
      <c r="D57" s="89">
        <v>8604</v>
      </c>
      <c r="E57" s="103">
        <v>43698</v>
      </c>
      <c r="F57" s="96">
        <v>8604</v>
      </c>
      <c r="G57" s="32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43697</v>
      </c>
      <c r="B58" s="87">
        <f t="shared" si="0"/>
        <v>4113</v>
      </c>
      <c r="C58" s="88" t="s">
        <v>10</v>
      </c>
      <c r="D58" s="89">
        <v>2688.4</v>
      </c>
      <c r="E58" s="103">
        <v>43698</v>
      </c>
      <c r="F58" s="96">
        <v>2688.4</v>
      </c>
      <c r="G58" s="32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15.75" x14ac:dyDescent="0.25">
      <c r="A59" s="86">
        <v>43697</v>
      </c>
      <c r="B59" s="87">
        <f t="shared" si="0"/>
        <v>4114</v>
      </c>
      <c r="C59" s="88" t="s">
        <v>13</v>
      </c>
      <c r="D59" s="89">
        <v>9187.9</v>
      </c>
      <c r="E59" s="103">
        <v>43699</v>
      </c>
      <c r="F59" s="96">
        <v>9187.9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43698</v>
      </c>
      <c r="B60" s="87">
        <f t="shared" si="0"/>
        <v>4115</v>
      </c>
      <c r="C60" s="88" t="s">
        <v>8</v>
      </c>
      <c r="D60" s="89">
        <v>8856</v>
      </c>
      <c r="E60" s="103">
        <v>43699</v>
      </c>
      <c r="F60" s="96">
        <v>8856</v>
      </c>
      <c r="G60" s="32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43698</v>
      </c>
      <c r="B61" s="87">
        <f t="shared" si="0"/>
        <v>4116</v>
      </c>
      <c r="C61" s="88" t="s">
        <v>12</v>
      </c>
      <c r="D61" s="89">
        <v>1579.2</v>
      </c>
      <c r="E61" s="103">
        <v>43700</v>
      </c>
      <c r="F61" s="96">
        <v>1579.2</v>
      </c>
      <c r="G61" s="32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43698</v>
      </c>
      <c r="B62" s="87">
        <f t="shared" si="0"/>
        <v>4117</v>
      </c>
      <c r="C62" s="88" t="s">
        <v>10</v>
      </c>
      <c r="D62" s="89">
        <v>4648.3</v>
      </c>
      <c r="E62" s="103">
        <v>43700</v>
      </c>
      <c r="F62" s="96">
        <v>4648.3</v>
      </c>
      <c r="G62" s="32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15.75" x14ac:dyDescent="0.25">
      <c r="A63" s="86">
        <v>43699</v>
      </c>
      <c r="B63" s="87">
        <f t="shared" si="0"/>
        <v>4118</v>
      </c>
      <c r="C63" s="104" t="s">
        <v>18</v>
      </c>
      <c r="D63" s="118">
        <v>10104</v>
      </c>
      <c r="E63" s="103">
        <v>43701</v>
      </c>
      <c r="F63" s="96">
        <v>10104</v>
      </c>
      <c r="G63" s="32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43699</v>
      </c>
      <c r="B64" s="87">
        <f t="shared" si="0"/>
        <v>4119</v>
      </c>
      <c r="C64" s="88" t="s">
        <v>10</v>
      </c>
      <c r="D64" s="89">
        <v>4670.3999999999996</v>
      </c>
      <c r="E64" s="103">
        <v>43700</v>
      </c>
      <c r="F64" s="96">
        <v>4670.3999999999996</v>
      </c>
      <c r="G64" s="32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43699</v>
      </c>
      <c r="B65" s="87">
        <f t="shared" si="0"/>
        <v>4120</v>
      </c>
      <c r="C65" s="88" t="s">
        <v>13</v>
      </c>
      <c r="D65" s="89">
        <v>6395.6</v>
      </c>
      <c r="E65" s="103">
        <v>43700</v>
      </c>
      <c r="F65" s="96">
        <v>6395.6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43700</v>
      </c>
      <c r="B66" s="87">
        <f t="shared" si="0"/>
        <v>4121</v>
      </c>
      <c r="C66" s="88" t="s">
        <v>8</v>
      </c>
      <c r="D66" s="89">
        <v>8428.6</v>
      </c>
      <c r="E66" s="103">
        <v>43702</v>
      </c>
      <c r="F66" s="96">
        <v>8428.6</v>
      </c>
      <c r="G66" s="32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15.75" x14ac:dyDescent="0.25">
      <c r="A67" s="86">
        <v>43700</v>
      </c>
      <c r="B67" s="87">
        <f t="shared" si="0"/>
        <v>4122</v>
      </c>
      <c r="C67" s="88" t="s">
        <v>12</v>
      </c>
      <c r="D67" s="89">
        <v>1936</v>
      </c>
      <c r="E67" s="103">
        <v>43701</v>
      </c>
      <c r="F67" s="96">
        <v>1936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43700</v>
      </c>
      <c r="B68" s="87">
        <f t="shared" si="0"/>
        <v>4123</v>
      </c>
      <c r="C68" s="88" t="s">
        <v>10</v>
      </c>
      <c r="D68" s="89">
        <v>3897.6</v>
      </c>
      <c r="E68" s="103">
        <v>43701</v>
      </c>
      <c r="F68" s="96">
        <v>3897.6</v>
      </c>
      <c r="G68" s="32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43700</v>
      </c>
      <c r="B69" s="87">
        <f t="shared" si="0"/>
        <v>4124</v>
      </c>
      <c r="C69" s="88" t="s">
        <v>13</v>
      </c>
      <c r="D69" s="89">
        <v>12158.45</v>
      </c>
      <c r="E69" s="103">
        <v>43703</v>
      </c>
      <c r="F69" s="96">
        <v>12158.45</v>
      </c>
      <c r="G69" s="32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30" x14ac:dyDescent="0.25">
      <c r="A70" s="86">
        <v>43700</v>
      </c>
      <c r="B70" s="87">
        <f t="shared" si="0"/>
        <v>4125</v>
      </c>
      <c r="C70" s="88" t="s">
        <v>11</v>
      </c>
      <c r="D70" s="89">
        <v>6057.2</v>
      </c>
      <c r="E70" s="103" t="s">
        <v>137</v>
      </c>
      <c r="F70" s="96">
        <f>3330+2727.2</f>
        <v>6057.2</v>
      </c>
      <c r="G70" s="32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43701</v>
      </c>
      <c r="B71" s="87">
        <f t="shared" ref="B71:B106" si="5">B70+1</f>
        <v>4126</v>
      </c>
      <c r="C71" s="88" t="s">
        <v>8</v>
      </c>
      <c r="D71" s="89">
        <v>7347.6</v>
      </c>
      <c r="E71" s="103">
        <v>43701</v>
      </c>
      <c r="F71" s="96">
        <v>7347.6</v>
      </c>
      <c r="G71" s="93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30" x14ac:dyDescent="0.25">
      <c r="A72" s="86">
        <v>43701</v>
      </c>
      <c r="B72" s="87">
        <f t="shared" si="5"/>
        <v>4127</v>
      </c>
      <c r="C72" s="88" t="s">
        <v>9</v>
      </c>
      <c r="D72" s="89">
        <v>39388.6</v>
      </c>
      <c r="E72" s="108" t="s">
        <v>144</v>
      </c>
      <c r="F72" s="120">
        <f>30188.6+9200</f>
        <v>39388.6</v>
      </c>
      <c r="G72" s="32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43701</v>
      </c>
      <c r="B73" s="87">
        <f t="shared" si="5"/>
        <v>4128</v>
      </c>
      <c r="C73" s="88" t="s">
        <v>8</v>
      </c>
      <c r="D73" s="89">
        <v>11440.4</v>
      </c>
      <c r="E73" s="103">
        <v>43702</v>
      </c>
      <c r="F73" s="96">
        <v>11440.4</v>
      </c>
      <c r="G73" s="32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43701</v>
      </c>
      <c r="B74" s="87">
        <f t="shared" si="5"/>
        <v>4129</v>
      </c>
      <c r="C74" s="88" t="s">
        <v>10</v>
      </c>
      <c r="D74" s="89">
        <v>3658.2</v>
      </c>
      <c r="E74" s="103">
        <v>43703</v>
      </c>
      <c r="F74" s="96">
        <v>3658.2</v>
      </c>
      <c r="G74" s="32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43701</v>
      </c>
      <c r="B75" s="87">
        <f t="shared" si="5"/>
        <v>4130</v>
      </c>
      <c r="C75" s="88" t="s">
        <v>12</v>
      </c>
      <c r="D75" s="89">
        <v>1920</v>
      </c>
      <c r="E75" s="103">
        <v>43701</v>
      </c>
      <c r="F75" s="96">
        <v>1920</v>
      </c>
      <c r="G75" s="32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43702</v>
      </c>
      <c r="B76" s="87">
        <f t="shared" si="5"/>
        <v>4131</v>
      </c>
      <c r="C76" s="88" t="s">
        <v>8</v>
      </c>
      <c r="D76" s="89">
        <v>8589.6</v>
      </c>
      <c r="E76" s="103">
        <v>43703</v>
      </c>
      <c r="F76" s="96">
        <v>8589.6</v>
      </c>
      <c r="G76" s="32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43702</v>
      </c>
      <c r="B77" s="87">
        <f t="shared" si="5"/>
        <v>4132</v>
      </c>
      <c r="C77" s="88" t="s">
        <v>12</v>
      </c>
      <c r="D77" s="89">
        <v>4695.6000000000004</v>
      </c>
      <c r="E77" s="103">
        <v>43703</v>
      </c>
      <c r="F77" s="96">
        <v>4695.6000000000004</v>
      </c>
      <c r="G77" s="32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15.75" x14ac:dyDescent="0.25">
      <c r="A78" s="86">
        <v>43702</v>
      </c>
      <c r="B78" s="87">
        <f t="shared" si="5"/>
        <v>4133</v>
      </c>
      <c r="C78" s="88" t="s">
        <v>10</v>
      </c>
      <c r="D78" s="89">
        <v>2442.4</v>
      </c>
      <c r="E78" s="103">
        <v>43703</v>
      </c>
      <c r="F78" s="96">
        <v>2442.4</v>
      </c>
      <c r="G78" s="32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30" x14ac:dyDescent="0.25">
      <c r="A79" s="86">
        <v>43703</v>
      </c>
      <c r="B79" s="87">
        <f t="shared" si="5"/>
        <v>4134</v>
      </c>
      <c r="C79" s="88" t="s">
        <v>12</v>
      </c>
      <c r="D79" s="89">
        <v>7524</v>
      </c>
      <c r="E79" s="103" t="s">
        <v>136</v>
      </c>
      <c r="F79" s="96">
        <f>4000+3524</f>
        <v>7524</v>
      </c>
      <c r="G79" s="32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43703</v>
      </c>
      <c r="B80" s="87">
        <f t="shared" si="5"/>
        <v>4135</v>
      </c>
      <c r="C80" s="88" t="s">
        <v>10</v>
      </c>
      <c r="D80" s="89">
        <v>3549.2</v>
      </c>
      <c r="E80" s="103">
        <v>43704</v>
      </c>
      <c r="F80" s="96">
        <v>3549.2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43703</v>
      </c>
      <c r="B81" s="87">
        <f t="shared" si="5"/>
        <v>4136</v>
      </c>
      <c r="C81" s="88" t="s">
        <v>13</v>
      </c>
      <c r="D81" s="89">
        <v>7848</v>
      </c>
      <c r="E81" s="103">
        <v>43704</v>
      </c>
      <c r="F81" s="96">
        <v>7848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43704</v>
      </c>
      <c r="B82" s="87">
        <f t="shared" si="5"/>
        <v>4137</v>
      </c>
      <c r="C82" s="88" t="s">
        <v>13</v>
      </c>
      <c r="D82" s="89">
        <v>3542.4</v>
      </c>
      <c r="E82" s="103">
        <v>43707</v>
      </c>
      <c r="F82" s="96">
        <v>3542.4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43704</v>
      </c>
      <c r="B83" s="87">
        <f t="shared" si="5"/>
        <v>4138</v>
      </c>
      <c r="C83" s="88" t="s">
        <v>10</v>
      </c>
      <c r="D83" s="89">
        <v>1254.3</v>
      </c>
      <c r="E83" s="103">
        <v>43705</v>
      </c>
      <c r="F83" s="96">
        <v>1254.3</v>
      </c>
      <c r="G83" s="32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43705</v>
      </c>
      <c r="B84" s="87">
        <f t="shared" si="5"/>
        <v>4139</v>
      </c>
      <c r="C84" s="88" t="s">
        <v>8</v>
      </c>
      <c r="D84" s="89">
        <v>9254</v>
      </c>
      <c r="E84" s="103">
        <v>43707</v>
      </c>
      <c r="F84" s="96">
        <v>9254</v>
      </c>
      <c r="G84" s="32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15.75" x14ac:dyDescent="0.25">
      <c r="A85" s="86">
        <v>43705</v>
      </c>
      <c r="B85" s="87">
        <f t="shared" si="5"/>
        <v>4140</v>
      </c>
      <c r="C85" s="88" t="s">
        <v>10</v>
      </c>
      <c r="D85" s="89">
        <v>980.5</v>
      </c>
      <c r="E85" s="103">
        <v>43706</v>
      </c>
      <c r="F85" s="96">
        <v>980.5</v>
      </c>
      <c r="G85" s="32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30" x14ac:dyDescent="0.25">
      <c r="A86" s="86">
        <v>43706</v>
      </c>
      <c r="B86" s="87">
        <f t="shared" si="5"/>
        <v>4141</v>
      </c>
      <c r="C86" s="104" t="s">
        <v>11</v>
      </c>
      <c r="D86" s="118">
        <v>6482</v>
      </c>
      <c r="E86" s="108" t="s">
        <v>141</v>
      </c>
      <c r="F86" s="120">
        <f>1509.5+4972.5</f>
        <v>6482</v>
      </c>
      <c r="G86" s="93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43706</v>
      </c>
      <c r="B87" s="87">
        <f t="shared" si="5"/>
        <v>4142</v>
      </c>
      <c r="C87" s="88" t="s">
        <v>8</v>
      </c>
      <c r="D87" s="89">
        <v>9431.6</v>
      </c>
      <c r="E87" s="103">
        <v>43707</v>
      </c>
      <c r="F87" s="96">
        <v>9431.6</v>
      </c>
      <c r="G87" s="32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43706</v>
      </c>
      <c r="B88" s="87">
        <f t="shared" si="5"/>
        <v>4143</v>
      </c>
      <c r="C88" s="88" t="s">
        <v>18</v>
      </c>
      <c r="D88" s="89">
        <v>3885</v>
      </c>
      <c r="E88" s="103">
        <v>43707</v>
      </c>
      <c r="F88" s="96">
        <v>3885</v>
      </c>
      <c r="G88" s="32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43706</v>
      </c>
      <c r="B89" s="87">
        <f t="shared" si="5"/>
        <v>4144</v>
      </c>
      <c r="C89" s="88" t="s">
        <v>10</v>
      </c>
      <c r="D89" s="89">
        <v>3247.2</v>
      </c>
      <c r="E89" s="103">
        <v>43707</v>
      </c>
      <c r="F89" s="96">
        <v>3247.2</v>
      </c>
      <c r="G89" s="32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30" x14ac:dyDescent="0.25">
      <c r="A90" s="86">
        <v>43707</v>
      </c>
      <c r="B90" s="87">
        <f t="shared" si="5"/>
        <v>4145</v>
      </c>
      <c r="C90" s="88" t="s">
        <v>12</v>
      </c>
      <c r="D90" s="89">
        <v>5472</v>
      </c>
      <c r="E90" s="108" t="s">
        <v>146</v>
      </c>
      <c r="F90" s="120">
        <f>4000+1472</f>
        <v>5472</v>
      </c>
      <c r="G90" s="32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43707</v>
      </c>
      <c r="B91" s="87">
        <f t="shared" si="5"/>
        <v>4146</v>
      </c>
      <c r="C91" s="88" t="s">
        <v>8</v>
      </c>
      <c r="D91" s="89">
        <v>10941.2</v>
      </c>
      <c r="E91" s="103">
        <v>43709</v>
      </c>
      <c r="F91" s="96">
        <v>10941.2</v>
      </c>
      <c r="G91" s="32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43707</v>
      </c>
      <c r="B92" s="87">
        <f t="shared" si="5"/>
        <v>4147</v>
      </c>
      <c r="C92" s="88" t="s">
        <v>13</v>
      </c>
      <c r="D92" s="89">
        <v>11505.6</v>
      </c>
      <c r="E92" s="103">
        <v>43708</v>
      </c>
      <c r="F92" s="96">
        <v>11505.6</v>
      </c>
      <c r="G92" s="32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43707</v>
      </c>
      <c r="B93" s="87">
        <f t="shared" si="5"/>
        <v>4148</v>
      </c>
      <c r="C93" s="88" t="s">
        <v>10</v>
      </c>
      <c r="D93" s="89">
        <v>4498.2</v>
      </c>
      <c r="E93" s="103">
        <v>43708</v>
      </c>
      <c r="F93" s="96">
        <v>4498.2</v>
      </c>
      <c r="G93" s="32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43708</v>
      </c>
      <c r="B94" s="87">
        <f t="shared" si="5"/>
        <v>4149</v>
      </c>
      <c r="C94" s="88" t="s">
        <v>7</v>
      </c>
      <c r="D94" s="89">
        <v>6718.4</v>
      </c>
      <c r="E94" s="103">
        <v>43708</v>
      </c>
      <c r="F94" s="96">
        <v>6718.4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30" x14ac:dyDescent="0.25">
      <c r="A95" s="86">
        <v>43708</v>
      </c>
      <c r="B95" s="87">
        <f t="shared" si="5"/>
        <v>4150</v>
      </c>
      <c r="C95" s="88" t="s">
        <v>9</v>
      </c>
      <c r="D95" s="89">
        <v>31391.4</v>
      </c>
      <c r="E95" s="103" t="s">
        <v>150</v>
      </c>
      <c r="F95" s="121">
        <f>22191.4+500+8700</f>
        <v>31391.4</v>
      </c>
      <c r="G95" s="32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43708</v>
      </c>
      <c r="B96" s="87">
        <f t="shared" si="5"/>
        <v>4151</v>
      </c>
      <c r="C96" s="88" t="s">
        <v>13</v>
      </c>
      <c r="D96" s="89">
        <v>5832</v>
      </c>
      <c r="E96" s="103">
        <v>43709</v>
      </c>
      <c r="F96" s="96">
        <v>5832</v>
      </c>
      <c r="G96" s="93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43708</v>
      </c>
      <c r="B97" s="87">
        <f t="shared" si="5"/>
        <v>4152</v>
      </c>
      <c r="C97" s="88" t="s">
        <v>10</v>
      </c>
      <c r="D97" s="89">
        <v>2789.5</v>
      </c>
      <c r="E97" s="103">
        <v>43709</v>
      </c>
      <c r="F97" s="96">
        <v>2789.5</v>
      </c>
      <c r="G97" s="32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43709</v>
      </c>
      <c r="B98" s="87">
        <f t="shared" si="5"/>
        <v>4153</v>
      </c>
      <c r="C98" s="88" t="s">
        <v>7</v>
      </c>
      <c r="D98" s="89">
        <v>5120.3999999999996</v>
      </c>
      <c r="E98" s="103">
        <v>43709</v>
      </c>
      <c r="F98" s="96">
        <v>5120.3999999999996</v>
      </c>
      <c r="G98" s="32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43709</v>
      </c>
      <c r="B99" s="87">
        <f t="shared" si="5"/>
        <v>4154</v>
      </c>
      <c r="C99" s="88" t="s">
        <v>8</v>
      </c>
      <c r="D99" s="89">
        <v>9914.6</v>
      </c>
      <c r="E99" s="108">
        <v>43712</v>
      </c>
      <c r="F99" s="120">
        <v>9914.6</v>
      </c>
      <c r="G99" s="32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43709</v>
      </c>
      <c r="B100" s="87">
        <f t="shared" si="5"/>
        <v>4155</v>
      </c>
      <c r="C100" s="88" t="s">
        <v>10</v>
      </c>
      <c r="D100" s="89">
        <v>2303</v>
      </c>
      <c r="E100" s="103">
        <v>43710</v>
      </c>
      <c r="F100" s="96">
        <v>2303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30" x14ac:dyDescent="0.25">
      <c r="A101" s="86">
        <v>43709</v>
      </c>
      <c r="B101" s="87">
        <f t="shared" si="5"/>
        <v>4156</v>
      </c>
      <c r="C101" s="88" t="s">
        <v>13</v>
      </c>
      <c r="D101" s="89">
        <v>11295.9</v>
      </c>
      <c r="E101" s="108" t="s">
        <v>139</v>
      </c>
      <c r="F101" s="120">
        <f>6000+1545.9+3750</f>
        <v>11295.9</v>
      </c>
      <c r="G101" s="32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15.75" x14ac:dyDescent="0.25">
      <c r="A102" s="86">
        <v>43710</v>
      </c>
      <c r="B102" s="87">
        <f t="shared" si="5"/>
        <v>4157</v>
      </c>
      <c r="C102" s="88" t="s">
        <v>11</v>
      </c>
      <c r="D102" s="89">
        <v>4236.3999999999996</v>
      </c>
      <c r="E102" s="108">
        <v>43714</v>
      </c>
      <c r="F102" s="120">
        <v>4236.3999999999996</v>
      </c>
      <c r="G102" s="32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15.75" x14ac:dyDescent="0.25">
      <c r="A103" s="86">
        <v>43710</v>
      </c>
      <c r="B103" s="87">
        <f t="shared" si="5"/>
        <v>4158</v>
      </c>
      <c r="C103" s="88" t="s">
        <v>8</v>
      </c>
      <c r="D103" s="89">
        <v>7814.4</v>
      </c>
      <c r="E103" s="108">
        <v>43712</v>
      </c>
      <c r="F103" s="120">
        <v>7814.4</v>
      </c>
      <c r="G103" s="32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15.75" x14ac:dyDescent="0.25">
      <c r="A104" s="86">
        <v>43710</v>
      </c>
      <c r="B104" s="87">
        <f t="shared" si="5"/>
        <v>4159</v>
      </c>
      <c r="C104" s="104" t="s">
        <v>10</v>
      </c>
      <c r="D104" s="118">
        <v>2331</v>
      </c>
      <c r="E104" s="103">
        <v>43711</v>
      </c>
      <c r="F104" s="96">
        <v>2331</v>
      </c>
      <c r="G104" s="32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43711</v>
      </c>
      <c r="B105" s="87">
        <f t="shared" si="5"/>
        <v>4160</v>
      </c>
      <c r="C105" s="88" t="s">
        <v>8</v>
      </c>
      <c r="D105" s="89">
        <v>31927.83</v>
      </c>
      <c r="E105" s="103">
        <v>43711</v>
      </c>
      <c r="F105" s="96">
        <v>31927.83</v>
      </c>
      <c r="G105" s="32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43711</v>
      </c>
      <c r="B106" s="87">
        <f t="shared" si="5"/>
        <v>4161</v>
      </c>
      <c r="C106" s="88" t="s">
        <v>10</v>
      </c>
      <c r="D106" s="89">
        <v>787.5</v>
      </c>
      <c r="E106" s="108">
        <v>43712</v>
      </c>
      <c r="F106" s="120">
        <v>787.5</v>
      </c>
      <c r="G106" s="32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/>
      <c r="B107" s="87"/>
      <c r="C107" s="88"/>
      <c r="D107" s="89"/>
      <c r="E107" s="103"/>
      <c r="F107" s="96"/>
      <c r="G107" s="32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/>
      <c r="B108" s="87"/>
      <c r="C108" s="88"/>
      <c r="D108" s="89"/>
      <c r="E108" s="103"/>
      <c r="F108" s="96"/>
      <c r="G108" s="32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/>
      <c r="B109" s="87"/>
      <c r="C109" s="88"/>
      <c r="D109" s="89"/>
      <c r="E109" s="103"/>
      <c r="F109" s="96"/>
      <c r="G109" s="32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thickBot="1" x14ac:dyDescent="0.3">
      <c r="A110" s="43"/>
      <c r="B110" s="44"/>
      <c r="C110" s="45"/>
      <c r="D110" s="46"/>
      <c r="E110" s="109"/>
      <c r="F110" s="46"/>
      <c r="G110" s="32">
        <f t="shared" si="1"/>
        <v>0</v>
      </c>
      <c r="H110" s="2"/>
    </row>
    <row r="111" spans="1:17" ht="16.5" thickTop="1" x14ac:dyDescent="0.25">
      <c r="A111" s="49"/>
      <c r="B111" s="50"/>
      <c r="C111" s="2"/>
      <c r="D111" s="51">
        <f>SUM(D4:D110)</f>
        <v>882057.97999999963</v>
      </c>
      <c r="E111" s="110"/>
      <c r="F111" s="51">
        <f>SUM(F4:F110)</f>
        <v>882057.97999999963</v>
      </c>
      <c r="G111" s="55"/>
      <c r="H111" s="2"/>
    </row>
    <row r="112" spans="1:17" x14ac:dyDescent="0.25">
      <c r="A112" s="49"/>
      <c r="B112" s="50"/>
      <c r="C112" s="2"/>
      <c r="D112" s="53"/>
      <c r="E112" s="110"/>
      <c r="F112" s="53"/>
      <c r="G112" s="55"/>
      <c r="H112" s="2"/>
    </row>
    <row r="113" spans="1:16" ht="30" x14ac:dyDescent="0.25">
      <c r="A113" s="49"/>
      <c r="B113" s="50"/>
      <c r="C113" s="2"/>
      <c r="D113" s="56" t="s">
        <v>15</v>
      </c>
      <c r="E113" s="110"/>
      <c r="F113" s="57" t="s">
        <v>16</v>
      </c>
      <c r="G113" s="55"/>
      <c r="H113" s="2"/>
    </row>
    <row r="114" spans="1:16" ht="15.75" thickBot="1" x14ac:dyDescent="0.3">
      <c r="A114" s="49"/>
      <c r="B114" s="50"/>
      <c r="C114" s="2"/>
      <c r="D114" s="56"/>
      <c r="E114" s="110"/>
      <c r="F114" s="57"/>
      <c r="G114" s="55"/>
      <c r="H114" s="2"/>
    </row>
    <row r="115" spans="1:16" ht="21.75" thickBot="1" x14ac:dyDescent="0.4">
      <c r="A115" s="49"/>
      <c r="B115" s="50"/>
      <c r="C115" s="2"/>
      <c r="D115" s="126">
        <f>D111-F111</f>
        <v>0</v>
      </c>
      <c r="E115" s="127"/>
      <c r="F115" s="128"/>
      <c r="H115" s="2"/>
    </row>
    <row r="116" spans="1:16" x14ac:dyDescent="0.25">
      <c r="A116" s="49"/>
      <c r="B116" s="50"/>
      <c r="C116" s="2"/>
      <c r="D116" s="53"/>
      <c r="E116" s="110"/>
      <c r="F116" s="53"/>
      <c r="H116" s="2"/>
      <c r="K116" s="49"/>
      <c r="L116" s="50"/>
      <c r="M116" s="2"/>
      <c r="N116" s="53"/>
      <c r="O116" s="52"/>
      <c r="P116" s="53"/>
    </row>
    <row r="117" spans="1:16" ht="18.75" x14ac:dyDescent="0.3">
      <c r="A117" s="49"/>
      <c r="B117" s="50"/>
      <c r="C117" s="2"/>
      <c r="D117" s="129" t="s">
        <v>17</v>
      </c>
      <c r="E117" s="129"/>
      <c r="F117" s="129"/>
      <c r="H117" s="2"/>
      <c r="K117" s="49"/>
      <c r="L117" s="50"/>
      <c r="M117" s="2"/>
    </row>
    <row r="118" spans="1:16" x14ac:dyDescent="0.25">
      <c r="A118" s="49"/>
      <c r="B118" s="50"/>
      <c r="C118" s="2"/>
      <c r="D118" s="53"/>
      <c r="E118" s="110"/>
      <c r="F118" s="53"/>
      <c r="H118" s="2"/>
      <c r="K118" s="49"/>
      <c r="L118" s="50"/>
      <c r="M118" s="2"/>
      <c r="N118" s="53"/>
      <c r="O118" s="52"/>
      <c r="P118" s="53"/>
    </row>
    <row r="119" spans="1:16" x14ac:dyDescent="0.25">
      <c r="A119" s="49"/>
      <c r="B119" s="50"/>
      <c r="C119" s="2"/>
      <c r="D119" s="53"/>
      <c r="E119" s="110"/>
      <c r="F119" s="53"/>
      <c r="H119" s="2"/>
      <c r="K119" s="49"/>
      <c r="L119" s="50"/>
      <c r="M119" s="2"/>
      <c r="N119" s="53"/>
      <c r="O119" s="52"/>
      <c r="P119" s="53"/>
    </row>
    <row r="120" spans="1:16" x14ac:dyDescent="0.25">
      <c r="A120" s="49"/>
      <c r="B120" s="50"/>
      <c r="C120" s="2"/>
      <c r="D120" s="53"/>
      <c r="E120" s="110"/>
      <c r="F120" s="53"/>
      <c r="H120" s="2"/>
      <c r="K120" s="49"/>
      <c r="L120" s="50"/>
      <c r="M120" s="2"/>
      <c r="N120" s="53"/>
      <c r="O120" s="52"/>
      <c r="P120" s="53"/>
    </row>
    <row r="121" spans="1:16" x14ac:dyDescent="0.25">
      <c r="A121" s="49"/>
      <c r="B121" s="50"/>
      <c r="C121" s="2"/>
      <c r="D121" s="53"/>
      <c r="E121" s="110"/>
      <c r="F121" s="53"/>
      <c r="H121" s="2"/>
      <c r="K121" s="49"/>
      <c r="L121" s="50"/>
      <c r="M121" s="2"/>
      <c r="N121" s="53"/>
      <c r="O121" s="52"/>
      <c r="P121" s="53"/>
    </row>
    <row r="122" spans="1:16" x14ac:dyDescent="0.25">
      <c r="A122" s="49"/>
      <c r="B122" s="50"/>
      <c r="C122" s="2"/>
      <c r="D122" s="53"/>
      <c r="E122" s="110"/>
      <c r="F122" s="53"/>
      <c r="H122" s="2"/>
      <c r="K122" s="49"/>
      <c r="L122" s="50"/>
      <c r="M122" s="2"/>
      <c r="N122" s="53"/>
      <c r="O122" s="52"/>
      <c r="P122" s="53"/>
    </row>
    <row r="123" spans="1:16" x14ac:dyDescent="0.25">
      <c r="A123" s="49"/>
      <c r="B123" s="50"/>
      <c r="C123" s="2"/>
      <c r="D123" s="53"/>
      <c r="E123" s="110"/>
      <c r="F123" s="53"/>
      <c r="H123" s="2"/>
      <c r="K123" s="49"/>
      <c r="L123" s="50"/>
      <c r="M123" s="2"/>
      <c r="N123" s="53"/>
      <c r="O123" s="52"/>
      <c r="P123" s="53"/>
    </row>
    <row r="124" spans="1:16" x14ac:dyDescent="0.25">
      <c r="A124" s="49"/>
      <c r="B124" s="50"/>
      <c r="C124" s="2"/>
      <c r="D124" s="53"/>
      <c r="E124" s="110"/>
      <c r="F124" s="53"/>
      <c r="H124" s="2"/>
      <c r="K124" s="49"/>
      <c r="L124" s="50"/>
      <c r="M124" s="2"/>
      <c r="N124" s="53"/>
      <c r="O124" s="52"/>
      <c r="P124" s="53"/>
    </row>
    <row r="125" spans="1:16" x14ac:dyDescent="0.25">
      <c r="A125" s="49"/>
      <c r="B125" s="50"/>
      <c r="C125" s="2"/>
      <c r="D125" s="53"/>
      <c r="E125" s="110"/>
      <c r="F125" s="53"/>
      <c r="H125" s="2"/>
      <c r="K125" s="49"/>
      <c r="L125" s="50"/>
      <c r="M125" s="2"/>
      <c r="N125" s="53"/>
      <c r="O125" s="52"/>
      <c r="P125" s="53"/>
    </row>
    <row r="126" spans="1:16" x14ac:dyDescent="0.25">
      <c r="A126" s="49"/>
      <c r="B126" s="50"/>
      <c r="C126" s="2"/>
      <c r="D126" s="53"/>
      <c r="E126" s="110"/>
      <c r="F126" s="53"/>
      <c r="H126" s="2"/>
      <c r="K126" s="49"/>
      <c r="L126" s="50"/>
      <c r="M126" s="2"/>
      <c r="N126" s="53"/>
      <c r="O126" s="52"/>
      <c r="P126" s="53"/>
    </row>
    <row r="127" spans="1:16" x14ac:dyDescent="0.25">
      <c r="A127" s="49"/>
      <c r="B127" s="50"/>
      <c r="C127" s="2"/>
      <c r="D127" s="53"/>
      <c r="E127" s="110"/>
      <c r="F127" s="53"/>
      <c r="H127" s="2"/>
      <c r="K127" s="49"/>
      <c r="L127" s="50"/>
      <c r="M127" s="2"/>
      <c r="N127" s="53"/>
      <c r="O127" s="52"/>
      <c r="P127" s="53"/>
    </row>
    <row r="128" spans="1:16" x14ac:dyDescent="0.25">
      <c r="A128" s="49"/>
      <c r="B128" s="50"/>
      <c r="C128" s="2"/>
      <c r="D128" s="53"/>
      <c r="E128" s="110"/>
      <c r="F128" s="53"/>
      <c r="H128" s="2"/>
      <c r="K128" s="49"/>
      <c r="L128" s="50"/>
      <c r="M128" s="2"/>
      <c r="N128" s="53"/>
      <c r="O128" s="52"/>
      <c r="P128" s="53"/>
    </row>
  </sheetData>
  <mergeCells count="10">
    <mergeCell ref="D115:F115"/>
    <mergeCell ref="D117:F117"/>
    <mergeCell ref="B1:F1"/>
    <mergeCell ref="L1:P1"/>
    <mergeCell ref="B2:C2"/>
    <mergeCell ref="L2:M2"/>
    <mergeCell ref="N45:P45"/>
    <mergeCell ref="N47:P47"/>
    <mergeCell ref="N41:N42"/>
    <mergeCell ref="P41:P42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0A43-6EA5-4200-80D6-177D9BB325DD}">
  <sheetPr>
    <tabColor rgb="FF993300"/>
  </sheetPr>
  <dimension ref="A1:Q132"/>
  <sheetViews>
    <sheetView topLeftCell="A103" workbookViewId="0">
      <selection activeCell="F61" sqref="F61"/>
    </sheetView>
  </sheetViews>
  <sheetFormatPr baseColWidth="10" defaultRowHeight="15" x14ac:dyDescent="0.25"/>
  <cols>
    <col min="1" max="1" width="11.42578125" style="1"/>
    <col min="2" max="2" width="10.5703125" style="63" customWidth="1"/>
    <col min="3" max="3" width="20.85546875" customWidth="1"/>
    <col min="4" max="4" width="15.5703125" style="64" bestFit="1" customWidth="1"/>
    <col min="5" max="5" width="13.140625" style="111" customWidth="1"/>
    <col min="6" max="6" width="15.5703125" style="64" bestFit="1" customWidth="1"/>
    <col min="7" max="7" width="14.140625" style="115" customWidth="1"/>
    <col min="8" max="8" width="3.42578125" customWidth="1"/>
    <col min="11" max="11" width="11.42578125" style="1"/>
    <col min="12" max="12" width="10.5703125" style="63" customWidth="1"/>
    <col min="13" max="13" width="20.85546875" customWidth="1"/>
    <col min="14" max="14" width="13.85546875" style="64" bestFit="1" customWidth="1"/>
    <col min="15" max="15" width="11.42578125" style="65"/>
    <col min="16" max="16" width="13" style="64" customWidth="1"/>
    <col min="17" max="17" width="14.140625" customWidth="1"/>
  </cols>
  <sheetData>
    <row r="1" spans="1:17" ht="18.75" x14ac:dyDescent="0.3">
      <c r="B1" s="130" t="s">
        <v>160</v>
      </c>
      <c r="C1" s="130"/>
      <c r="D1" s="130"/>
      <c r="E1" s="130"/>
      <c r="F1" s="130"/>
      <c r="H1" s="2"/>
      <c r="K1" s="3"/>
      <c r="L1" s="131" t="s">
        <v>138</v>
      </c>
      <c r="M1" s="131"/>
      <c r="N1" s="131"/>
      <c r="O1" s="131"/>
      <c r="P1" s="131"/>
      <c r="Q1" s="4"/>
    </row>
    <row r="2" spans="1:17" ht="15.75" x14ac:dyDescent="0.25">
      <c r="A2" s="5"/>
      <c r="B2" s="132"/>
      <c r="C2" s="132"/>
      <c r="D2" s="6"/>
      <c r="E2" s="106"/>
      <c r="F2" s="6"/>
      <c r="G2" s="122"/>
      <c r="H2" s="2"/>
      <c r="K2" s="9"/>
      <c r="L2" s="133"/>
      <c r="M2" s="133"/>
      <c r="N2" s="10"/>
      <c r="O2" s="11"/>
      <c r="P2" s="10"/>
      <c r="Q2" s="12"/>
    </row>
    <row r="3" spans="1:17" ht="35.25" thickBot="1" x14ac:dyDescent="0.35">
      <c r="A3" s="13" t="s">
        <v>0</v>
      </c>
      <c r="B3" s="14" t="s">
        <v>1</v>
      </c>
      <c r="C3" s="15" t="s">
        <v>2</v>
      </c>
      <c r="D3" s="16" t="s">
        <v>3</v>
      </c>
      <c r="E3" s="17" t="s">
        <v>4</v>
      </c>
      <c r="F3" s="18" t="s">
        <v>5</v>
      </c>
      <c r="G3" s="123" t="s">
        <v>6</v>
      </c>
      <c r="H3" s="2"/>
      <c r="K3" s="13" t="s">
        <v>0</v>
      </c>
      <c r="L3" s="14" t="s">
        <v>1</v>
      </c>
      <c r="M3" s="15" t="s">
        <v>2</v>
      </c>
      <c r="N3" s="16" t="s">
        <v>3</v>
      </c>
      <c r="O3" s="17" t="s">
        <v>4</v>
      </c>
      <c r="P3" s="18" t="s">
        <v>5</v>
      </c>
      <c r="Q3" s="19" t="s">
        <v>6</v>
      </c>
    </row>
    <row r="4" spans="1:17" ht="30.75" thickTop="1" x14ac:dyDescent="0.25">
      <c r="A4" s="86">
        <v>43712</v>
      </c>
      <c r="B4" s="87">
        <v>4162</v>
      </c>
      <c r="C4" s="88" t="s">
        <v>18</v>
      </c>
      <c r="D4" s="89">
        <v>7308</v>
      </c>
      <c r="E4" s="103" t="s">
        <v>142</v>
      </c>
      <c r="F4" s="96">
        <f>5100+2208</f>
        <v>7308</v>
      </c>
      <c r="G4" s="124">
        <f>D4-F4</f>
        <v>0</v>
      </c>
      <c r="H4" s="2"/>
      <c r="K4" s="20"/>
      <c r="L4" s="27"/>
      <c r="M4" s="22"/>
      <c r="N4" s="23"/>
      <c r="O4" s="24"/>
      <c r="P4" s="25"/>
      <c r="Q4" s="26">
        <f>N4-P4</f>
        <v>0</v>
      </c>
    </row>
    <row r="5" spans="1:17" ht="15.75" x14ac:dyDescent="0.25">
      <c r="A5" s="86">
        <v>43712</v>
      </c>
      <c r="B5" s="87">
        <f t="shared" ref="B5:B68" si="0">B4+1</f>
        <v>4163</v>
      </c>
      <c r="C5" s="88" t="s">
        <v>10</v>
      </c>
      <c r="D5" s="89">
        <v>2695</v>
      </c>
      <c r="E5" s="103">
        <v>43713</v>
      </c>
      <c r="F5" s="96">
        <v>2695</v>
      </c>
      <c r="G5" s="93">
        <f>D5-F5</f>
        <v>0</v>
      </c>
      <c r="H5" s="2"/>
      <c r="K5" s="28">
        <v>43712</v>
      </c>
      <c r="L5" s="33">
        <v>251</v>
      </c>
      <c r="M5" s="34" t="s">
        <v>25</v>
      </c>
      <c r="N5" s="31">
        <v>1741</v>
      </c>
      <c r="O5" s="24"/>
      <c r="P5" s="25"/>
      <c r="Q5" s="32">
        <f>N5-P5</f>
        <v>1741</v>
      </c>
    </row>
    <row r="6" spans="1:17" ht="15.75" x14ac:dyDescent="0.25">
      <c r="A6" s="86">
        <v>43712</v>
      </c>
      <c r="B6" s="87">
        <f t="shared" si="0"/>
        <v>4164</v>
      </c>
      <c r="C6" s="88" t="s">
        <v>13</v>
      </c>
      <c r="D6" s="89">
        <v>6837</v>
      </c>
      <c r="E6" s="103">
        <v>43714</v>
      </c>
      <c r="F6" s="96">
        <v>6837</v>
      </c>
      <c r="G6" s="93">
        <f>D6-F6</f>
        <v>0</v>
      </c>
      <c r="H6" s="2"/>
      <c r="K6" s="28">
        <v>43713</v>
      </c>
      <c r="L6" s="33">
        <f>L5+1</f>
        <v>252</v>
      </c>
      <c r="M6" s="34" t="s">
        <v>25</v>
      </c>
      <c r="N6" s="31">
        <v>5004</v>
      </c>
      <c r="O6" s="24"/>
      <c r="P6" s="25"/>
      <c r="Q6" s="32">
        <f>N6-P6</f>
        <v>5004</v>
      </c>
    </row>
    <row r="7" spans="1:17" ht="15.75" x14ac:dyDescent="0.25">
      <c r="A7" s="86">
        <v>43713</v>
      </c>
      <c r="B7" s="87">
        <f t="shared" si="0"/>
        <v>4165</v>
      </c>
      <c r="C7" s="88" t="s">
        <v>9</v>
      </c>
      <c r="D7" s="89">
        <v>8919</v>
      </c>
      <c r="E7" s="103">
        <v>43719</v>
      </c>
      <c r="F7" s="96">
        <v>8919</v>
      </c>
      <c r="G7" s="93">
        <f t="shared" ref="G7:G114" si="1">D7-F7</f>
        <v>0</v>
      </c>
      <c r="H7" s="2"/>
      <c r="K7" s="28">
        <v>43717</v>
      </c>
      <c r="L7" s="33">
        <f t="shared" ref="L7:L16" si="2">L6+1</f>
        <v>253</v>
      </c>
      <c r="M7" s="30" t="s">
        <v>25</v>
      </c>
      <c r="N7" s="31">
        <v>7290</v>
      </c>
      <c r="O7" s="24"/>
      <c r="P7" s="25"/>
      <c r="Q7" s="32">
        <f t="shared" ref="Q7:Q22" si="3">N7-P7</f>
        <v>7290</v>
      </c>
    </row>
    <row r="8" spans="1:17" ht="15.75" x14ac:dyDescent="0.25">
      <c r="A8" s="86">
        <v>43713</v>
      </c>
      <c r="B8" s="87">
        <f t="shared" si="0"/>
        <v>4166</v>
      </c>
      <c r="C8" s="88" t="s">
        <v>10</v>
      </c>
      <c r="D8" s="89">
        <v>2324</v>
      </c>
      <c r="E8" s="103">
        <v>43714</v>
      </c>
      <c r="F8" s="96">
        <v>2324</v>
      </c>
      <c r="G8" s="93">
        <f t="shared" si="1"/>
        <v>0</v>
      </c>
      <c r="H8" s="2"/>
      <c r="K8" s="28">
        <v>43721</v>
      </c>
      <c r="L8" s="33">
        <f t="shared" si="2"/>
        <v>254</v>
      </c>
      <c r="M8" s="30" t="s">
        <v>25</v>
      </c>
      <c r="N8" s="31">
        <v>12353.5</v>
      </c>
      <c r="O8" s="24"/>
      <c r="P8" s="25"/>
      <c r="Q8" s="32">
        <f t="shared" si="3"/>
        <v>12353.5</v>
      </c>
    </row>
    <row r="9" spans="1:17" ht="15.75" x14ac:dyDescent="0.25">
      <c r="A9" s="86">
        <v>43713</v>
      </c>
      <c r="B9" s="87">
        <f t="shared" si="0"/>
        <v>4167</v>
      </c>
      <c r="C9" s="88" t="s">
        <v>8</v>
      </c>
      <c r="D9" s="89">
        <v>6028.8</v>
      </c>
      <c r="E9" s="103">
        <v>43714</v>
      </c>
      <c r="F9" s="96">
        <v>6028.8</v>
      </c>
      <c r="G9" s="93">
        <f t="shared" si="1"/>
        <v>0</v>
      </c>
      <c r="H9" s="2"/>
      <c r="K9" s="28">
        <v>43726</v>
      </c>
      <c r="L9" s="33">
        <f t="shared" si="2"/>
        <v>255</v>
      </c>
      <c r="M9" s="30" t="s">
        <v>25</v>
      </c>
      <c r="N9" s="31">
        <v>4090</v>
      </c>
      <c r="O9" s="24"/>
      <c r="P9" s="25"/>
      <c r="Q9" s="32">
        <f t="shared" si="3"/>
        <v>4090</v>
      </c>
    </row>
    <row r="10" spans="1:17" ht="15.75" x14ac:dyDescent="0.25">
      <c r="A10" s="86">
        <v>43714</v>
      </c>
      <c r="B10" s="87">
        <f t="shared" si="0"/>
        <v>4168</v>
      </c>
      <c r="C10" s="88" t="s">
        <v>7</v>
      </c>
      <c r="D10" s="102">
        <v>10941</v>
      </c>
      <c r="E10" s="103">
        <v>43714</v>
      </c>
      <c r="F10" s="96">
        <v>10941</v>
      </c>
      <c r="G10" s="93">
        <f t="shared" si="1"/>
        <v>0</v>
      </c>
      <c r="H10" s="2"/>
      <c r="K10" s="28">
        <v>43728</v>
      </c>
      <c r="L10" s="33">
        <f t="shared" si="2"/>
        <v>256</v>
      </c>
      <c r="M10" s="34" t="s">
        <v>25</v>
      </c>
      <c r="N10" s="31">
        <v>3822</v>
      </c>
      <c r="O10" s="24"/>
      <c r="P10" s="25"/>
      <c r="Q10" s="32">
        <f t="shared" si="3"/>
        <v>3822</v>
      </c>
    </row>
    <row r="11" spans="1:17" ht="15.75" x14ac:dyDescent="0.25">
      <c r="A11" s="86">
        <v>43714</v>
      </c>
      <c r="B11" s="87">
        <f t="shared" si="0"/>
        <v>4169</v>
      </c>
      <c r="C11" s="88" t="s">
        <v>10</v>
      </c>
      <c r="D11" s="102">
        <v>1743</v>
      </c>
      <c r="E11" s="103">
        <v>43715</v>
      </c>
      <c r="F11" s="96">
        <v>1743</v>
      </c>
      <c r="G11" s="93">
        <f t="shared" si="1"/>
        <v>0</v>
      </c>
      <c r="H11" s="2"/>
      <c r="K11" s="86">
        <v>43731</v>
      </c>
      <c r="L11" s="87">
        <f t="shared" si="2"/>
        <v>257</v>
      </c>
      <c r="M11" s="104" t="s">
        <v>25</v>
      </c>
      <c r="N11" s="102">
        <v>300</v>
      </c>
      <c r="O11" s="24"/>
      <c r="P11" s="25"/>
      <c r="Q11" s="32">
        <f t="shared" si="3"/>
        <v>300</v>
      </c>
    </row>
    <row r="12" spans="1:17" ht="15.75" x14ac:dyDescent="0.25">
      <c r="A12" s="86">
        <v>43714</v>
      </c>
      <c r="B12" s="87">
        <f t="shared" si="0"/>
        <v>4170</v>
      </c>
      <c r="C12" s="88" t="s">
        <v>13</v>
      </c>
      <c r="D12" s="102">
        <v>12010.9</v>
      </c>
      <c r="E12" s="103">
        <v>43717</v>
      </c>
      <c r="F12" s="96">
        <v>12010.9</v>
      </c>
      <c r="G12" s="93">
        <f t="shared" si="1"/>
        <v>0</v>
      </c>
      <c r="H12" s="2"/>
      <c r="K12" s="28">
        <v>43731</v>
      </c>
      <c r="L12" s="33">
        <f t="shared" si="2"/>
        <v>258</v>
      </c>
      <c r="M12" s="34" t="s">
        <v>25</v>
      </c>
      <c r="N12" s="31">
        <v>4835</v>
      </c>
      <c r="O12" s="24"/>
      <c r="P12" s="25"/>
      <c r="Q12" s="32">
        <f t="shared" si="3"/>
        <v>4835</v>
      </c>
    </row>
    <row r="13" spans="1:17" ht="30" x14ac:dyDescent="0.25">
      <c r="A13" s="86">
        <v>43714</v>
      </c>
      <c r="B13" s="87">
        <f t="shared" si="0"/>
        <v>4171</v>
      </c>
      <c r="C13" s="88" t="s">
        <v>11</v>
      </c>
      <c r="D13" s="102">
        <v>7721</v>
      </c>
      <c r="E13" s="103" t="s">
        <v>143</v>
      </c>
      <c r="F13" s="96">
        <f>2700+5021</f>
        <v>7721</v>
      </c>
      <c r="G13" s="93">
        <f t="shared" si="1"/>
        <v>0</v>
      </c>
      <c r="H13" s="2"/>
      <c r="K13" s="86">
        <v>43732</v>
      </c>
      <c r="L13" s="87">
        <f t="shared" si="2"/>
        <v>259</v>
      </c>
      <c r="M13" s="113" t="s">
        <v>26</v>
      </c>
      <c r="N13" s="102">
        <v>0</v>
      </c>
      <c r="O13" s="24"/>
      <c r="P13" s="25"/>
      <c r="Q13" s="32">
        <f t="shared" si="3"/>
        <v>0</v>
      </c>
    </row>
    <row r="14" spans="1:17" ht="30" x14ac:dyDescent="0.25">
      <c r="A14" s="86">
        <v>43715</v>
      </c>
      <c r="B14" s="87">
        <f t="shared" si="0"/>
        <v>4172</v>
      </c>
      <c r="C14" s="104" t="s">
        <v>9</v>
      </c>
      <c r="D14" s="102">
        <v>30267</v>
      </c>
      <c r="E14" s="103" t="s">
        <v>155</v>
      </c>
      <c r="F14" s="96">
        <f>21567+7000+1700</f>
        <v>30267</v>
      </c>
      <c r="G14" s="93">
        <f t="shared" si="1"/>
        <v>0</v>
      </c>
      <c r="H14" s="2"/>
      <c r="K14" s="28">
        <v>43733</v>
      </c>
      <c r="L14" s="33">
        <f t="shared" si="2"/>
        <v>260</v>
      </c>
      <c r="M14" s="30" t="s">
        <v>25</v>
      </c>
      <c r="N14" s="31">
        <v>2699.6</v>
      </c>
      <c r="O14" s="24"/>
      <c r="P14" s="25"/>
      <c r="Q14" s="32">
        <f t="shared" si="3"/>
        <v>2699.6</v>
      </c>
    </row>
    <row r="15" spans="1:17" ht="15.75" x14ac:dyDescent="0.25">
      <c r="A15" s="86">
        <v>43715</v>
      </c>
      <c r="B15" s="87">
        <f t="shared" si="0"/>
        <v>4173</v>
      </c>
      <c r="C15" s="104" t="s">
        <v>9</v>
      </c>
      <c r="D15" s="102">
        <v>1350</v>
      </c>
      <c r="E15" s="103">
        <v>43718</v>
      </c>
      <c r="F15" s="96">
        <v>1350</v>
      </c>
      <c r="G15" s="93">
        <f t="shared" si="1"/>
        <v>0</v>
      </c>
      <c r="H15" s="2"/>
      <c r="K15" s="28">
        <v>43735</v>
      </c>
      <c r="L15" s="33">
        <f t="shared" si="2"/>
        <v>261</v>
      </c>
      <c r="M15" s="30" t="s">
        <v>25</v>
      </c>
      <c r="N15" s="31">
        <v>3424</v>
      </c>
      <c r="O15" s="24"/>
      <c r="P15" s="25"/>
      <c r="Q15" s="32">
        <f t="shared" si="3"/>
        <v>3424</v>
      </c>
    </row>
    <row r="16" spans="1:17" ht="15.75" x14ac:dyDescent="0.25">
      <c r="A16" s="86">
        <v>43715</v>
      </c>
      <c r="B16" s="87">
        <f t="shared" si="0"/>
        <v>4174</v>
      </c>
      <c r="C16" s="117" t="s">
        <v>8</v>
      </c>
      <c r="D16" s="102">
        <v>9184</v>
      </c>
      <c r="E16" s="103">
        <v>43716</v>
      </c>
      <c r="F16" s="96">
        <v>9184</v>
      </c>
      <c r="G16" s="93">
        <f t="shared" si="1"/>
        <v>0</v>
      </c>
      <c r="H16" s="2"/>
      <c r="K16" s="28">
        <v>43738</v>
      </c>
      <c r="L16" s="33">
        <f t="shared" si="2"/>
        <v>262</v>
      </c>
      <c r="M16" s="30" t="s">
        <v>25</v>
      </c>
      <c r="N16" s="31">
        <v>7024</v>
      </c>
      <c r="O16" s="24"/>
      <c r="P16" s="25"/>
      <c r="Q16" s="32">
        <f t="shared" si="3"/>
        <v>7024</v>
      </c>
    </row>
    <row r="17" spans="1:17" ht="15.75" x14ac:dyDescent="0.25">
      <c r="A17" s="86">
        <v>43715</v>
      </c>
      <c r="B17" s="87">
        <f t="shared" si="0"/>
        <v>4175</v>
      </c>
      <c r="C17" s="104" t="s">
        <v>10</v>
      </c>
      <c r="D17" s="102">
        <v>3089.45</v>
      </c>
      <c r="E17" s="103">
        <v>43716</v>
      </c>
      <c r="F17" s="96">
        <v>3089.45</v>
      </c>
      <c r="G17" s="93">
        <f t="shared" si="1"/>
        <v>0</v>
      </c>
      <c r="H17" s="2"/>
      <c r="K17" s="28"/>
      <c r="L17" s="33"/>
      <c r="M17" s="34"/>
      <c r="N17" s="31"/>
      <c r="O17" s="24"/>
      <c r="P17" s="25"/>
      <c r="Q17" s="32">
        <f t="shared" si="3"/>
        <v>0</v>
      </c>
    </row>
    <row r="18" spans="1:17" ht="15.75" x14ac:dyDescent="0.25">
      <c r="A18" s="86">
        <v>43715</v>
      </c>
      <c r="B18" s="87">
        <f t="shared" si="0"/>
        <v>4176</v>
      </c>
      <c r="C18" s="104" t="s">
        <v>12</v>
      </c>
      <c r="D18" s="102">
        <v>1642.8</v>
      </c>
      <c r="E18" s="103">
        <v>43715</v>
      </c>
      <c r="F18" s="96">
        <v>1642.8</v>
      </c>
      <c r="G18" s="93">
        <f t="shared" si="1"/>
        <v>0</v>
      </c>
      <c r="H18" s="2"/>
      <c r="K18" s="75"/>
      <c r="L18" s="33"/>
      <c r="M18" s="34"/>
      <c r="N18" s="31"/>
      <c r="O18" s="24"/>
      <c r="P18" s="25"/>
      <c r="Q18" s="32">
        <f t="shared" si="3"/>
        <v>0</v>
      </c>
    </row>
    <row r="19" spans="1:17" ht="15.75" x14ac:dyDescent="0.25">
      <c r="A19" s="86">
        <v>43716</v>
      </c>
      <c r="B19" s="87">
        <f t="shared" si="0"/>
        <v>4177</v>
      </c>
      <c r="C19" s="88" t="s">
        <v>8</v>
      </c>
      <c r="D19" s="102">
        <v>9438.4</v>
      </c>
      <c r="E19" s="103">
        <v>43716</v>
      </c>
      <c r="F19" s="96">
        <v>9438.4</v>
      </c>
      <c r="G19" s="93">
        <f t="shared" si="1"/>
        <v>0</v>
      </c>
      <c r="H19" s="2"/>
      <c r="K19" s="75"/>
      <c r="L19" s="33"/>
      <c r="M19" s="30"/>
      <c r="N19" s="31"/>
      <c r="O19" s="24"/>
      <c r="P19" s="25"/>
      <c r="Q19" s="32">
        <f t="shared" si="3"/>
        <v>0</v>
      </c>
    </row>
    <row r="20" spans="1:17" ht="15.75" x14ac:dyDescent="0.25">
      <c r="A20" s="86">
        <v>43716</v>
      </c>
      <c r="B20" s="87">
        <f t="shared" si="0"/>
        <v>4178</v>
      </c>
      <c r="C20" s="88" t="s">
        <v>10</v>
      </c>
      <c r="D20" s="102">
        <v>2919</v>
      </c>
      <c r="E20" s="103">
        <v>43717</v>
      </c>
      <c r="F20" s="96">
        <v>2919</v>
      </c>
      <c r="G20" s="93">
        <f t="shared" si="1"/>
        <v>0</v>
      </c>
      <c r="H20" s="2"/>
      <c r="K20" s="28"/>
      <c r="L20" s="33"/>
      <c r="M20" s="30"/>
      <c r="N20" s="31"/>
      <c r="O20" s="24"/>
      <c r="P20" s="25"/>
      <c r="Q20" s="32">
        <f t="shared" si="3"/>
        <v>0</v>
      </c>
    </row>
    <row r="21" spans="1:17" ht="15.75" x14ac:dyDescent="0.25">
      <c r="A21" s="86">
        <v>43717</v>
      </c>
      <c r="B21" s="87">
        <f t="shared" si="0"/>
        <v>4179</v>
      </c>
      <c r="C21" s="88" t="s">
        <v>14</v>
      </c>
      <c r="D21" s="102">
        <v>3083.52</v>
      </c>
      <c r="E21" s="103">
        <v>43717</v>
      </c>
      <c r="F21" s="96">
        <v>3083.52</v>
      </c>
      <c r="G21" s="93">
        <f t="shared" si="1"/>
        <v>0</v>
      </c>
      <c r="H21" s="2"/>
      <c r="K21" s="28"/>
      <c r="L21" s="33"/>
      <c r="M21" s="30"/>
      <c r="N21" s="31"/>
      <c r="O21" s="24"/>
      <c r="P21" s="25"/>
      <c r="Q21" s="32">
        <f t="shared" si="3"/>
        <v>0</v>
      </c>
    </row>
    <row r="22" spans="1:17" ht="15.75" x14ac:dyDescent="0.25">
      <c r="A22" s="86">
        <v>43717</v>
      </c>
      <c r="B22" s="87">
        <f t="shared" si="0"/>
        <v>4180</v>
      </c>
      <c r="C22" s="88" t="s">
        <v>8</v>
      </c>
      <c r="D22" s="102">
        <v>7881.2</v>
      </c>
      <c r="E22" s="103">
        <v>43719</v>
      </c>
      <c r="F22" s="96">
        <v>7881.2</v>
      </c>
      <c r="G22" s="93">
        <f t="shared" si="1"/>
        <v>0</v>
      </c>
      <c r="H22" s="2"/>
      <c r="K22" s="28"/>
      <c r="L22" s="33"/>
      <c r="M22" s="30"/>
      <c r="N22" s="31"/>
      <c r="O22" s="24"/>
      <c r="P22" s="25"/>
      <c r="Q22" s="32">
        <f t="shared" si="3"/>
        <v>0</v>
      </c>
    </row>
    <row r="23" spans="1:17" ht="15.75" x14ac:dyDescent="0.25">
      <c r="A23" s="86">
        <v>43717</v>
      </c>
      <c r="B23" s="87">
        <f t="shared" si="0"/>
        <v>4181</v>
      </c>
      <c r="C23" s="88" t="s">
        <v>10</v>
      </c>
      <c r="D23" s="102">
        <v>2835</v>
      </c>
      <c r="E23" s="103">
        <v>43718</v>
      </c>
      <c r="F23" s="96">
        <v>2835</v>
      </c>
      <c r="G23" s="93">
        <f t="shared" si="1"/>
        <v>0</v>
      </c>
      <c r="H23" s="2"/>
      <c r="K23" s="28"/>
      <c r="L23" s="33"/>
      <c r="M23" s="30"/>
      <c r="N23" s="31"/>
      <c r="O23" s="24"/>
      <c r="P23" s="25"/>
      <c r="Q23" s="32">
        <v>0</v>
      </c>
    </row>
    <row r="24" spans="1:17" ht="15.75" x14ac:dyDescent="0.25">
      <c r="A24" s="86">
        <v>43717</v>
      </c>
      <c r="B24" s="87">
        <f t="shared" si="0"/>
        <v>4182</v>
      </c>
      <c r="C24" s="88" t="s">
        <v>8</v>
      </c>
      <c r="D24" s="102">
        <v>4326</v>
      </c>
      <c r="E24" s="103">
        <v>43718</v>
      </c>
      <c r="F24" s="96">
        <v>4326</v>
      </c>
      <c r="G24" s="93">
        <f t="shared" si="1"/>
        <v>0</v>
      </c>
      <c r="H24" s="2"/>
      <c r="K24" s="28"/>
      <c r="L24" s="33"/>
      <c r="M24" s="30"/>
      <c r="N24" s="31"/>
      <c r="O24" s="24"/>
      <c r="P24" s="25"/>
      <c r="Q24" s="32">
        <f t="shared" ref="Q24:Q37" si="4">N24-P24</f>
        <v>0</v>
      </c>
    </row>
    <row r="25" spans="1:17" ht="15.75" x14ac:dyDescent="0.25">
      <c r="A25" s="86">
        <v>43717</v>
      </c>
      <c r="B25" s="87">
        <f t="shared" si="0"/>
        <v>4183</v>
      </c>
      <c r="C25" s="88" t="s">
        <v>13</v>
      </c>
      <c r="D25" s="102">
        <v>7794.2</v>
      </c>
      <c r="E25" s="103">
        <v>43720</v>
      </c>
      <c r="F25" s="96">
        <v>7794.2</v>
      </c>
      <c r="G25" s="93">
        <f t="shared" si="1"/>
        <v>0</v>
      </c>
      <c r="H25" s="2"/>
      <c r="K25" s="28"/>
      <c r="L25" s="33"/>
      <c r="M25" s="30"/>
      <c r="N25" s="31"/>
      <c r="O25" s="24"/>
      <c r="P25" s="25"/>
      <c r="Q25" s="32">
        <f t="shared" si="4"/>
        <v>0</v>
      </c>
    </row>
    <row r="26" spans="1:17" ht="15.75" x14ac:dyDescent="0.25">
      <c r="A26" s="86">
        <v>43718</v>
      </c>
      <c r="B26" s="87">
        <f t="shared" si="0"/>
        <v>4184</v>
      </c>
      <c r="C26" s="88" t="s">
        <v>10</v>
      </c>
      <c r="D26" s="102">
        <v>1664.25</v>
      </c>
      <c r="E26" s="103">
        <v>43719</v>
      </c>
      <c r="F26" s="96">
        <v>1664.25</v>
      </c>
      <c r="G26" s="93">
        <f t="shared" si="1"/>
        <v>0</v>
      </c>
      <c r="H26" s="2"/>
      <c r="K26" s="28"/>
      <c r="L26" s="33"/>
      <c r="M26" s="37"/>
      <c r="N26" s="38"/>
      <c r="O26" s="24"/>
      <c r="P26" s="25"/>
      <c r="Q26" s="32">
        <f t="shared" si="4"/>
        <v>0</v>
      </c>
    </row>
    <row r="27" spans="1:17" ht="15.75" x14ac:dyDescent="0.25">
      <c r="A27" s="86">
        <v>43719</v>
      </c>
      <c r="B27" s="87">
        <f t="shared" si="0"/>
        <v>4185</v>
      </c>
      <c r="C27" s="104" t="s">
        <v>18</v>
      </c>
      <c r="D27" s="102">
        <v>3458</v>
      </c>
      <c r="E27" s="103">
        <v>43720</v>
      </c>
      <c r="F27" s="96">
        <v>3458</v>
      </c>
      <c r="G27" s="93">
        <f t="shared" si="1"/>
        <v>0</v>
      </c>
      <c r="H27" s="2"/>
      <c r="K27" s="28"/>
      <c r="L27" s="33"/>
      <c r="M27" s="36"/>
      <c r="N27" s="31"/>
      <c r="O27" s="24"/>
      <c r="P27" s="25"/>
      <c r="Q27" s="32">
        <f t="shared" si="4"/>
        <v>0</v>
      </c>
    </row>
    <row r="28" spans="1:17" ht="15.75" x14ac:dyDescent="0.25">
      <c r="A28" s="86">
        <v>43719</v>
      </c>
      <c r="B28" s="87">
        <f t="shared" si="0"/>
        <v>4186</v>
      </c>
      <c r="C28" s="88" t="s">
        <v>8</v>
      </c>
      <c r="D28" s="102">
        <v>6922.4</v>
      </c>
      <c r="E28" s="103">
        <v>43721</v>
      </c>
      <c r="F28" s="96">
        <v>6922.4</v>
      </c>
      <c r="G28" s="93">
        <f t="shared" si="1"/>
        <v>0</v>
      </c>
      <c r="H28" s="2"/>
      <c r="K28" s="28"/>
      <c r="L28" s="33"/>
      <c r="M28" s="30"/>
      <c r="N28" s="31"/>
      <c r="O28" s="24"/>
      <c r="P28" s="25"/>
      <c r="Q28" s="32">
        <f t="shared" si="4"/>
        <v>0</v>
      </c>
    </row>
    <row r="29" spans="1:17" ht="15.75" x14ac:dyDescent="0.25">
      <c r="A29" s="86">
        <v>43719</v>
      </c>
      <c r="B29" s="87">
        <f t="shared" si="0"/>
        <v>4187</v>
      </c>
      <c r="C29" s="88" t="s">
        <v>10</v>
      </c>
      <c r="D29" s="102">
        <v>2940</v>
      </c>
      <c r="E29" s="103">
        <v>43721</v>
      </c>
      <c r="F29" s="96">
        <v>2940</v>
      </c>
      <c r="G29" s="93">
        <f t="shared" si="1"/>
        <v>0</v>
      </c>
      <c r="H29" s="2"/>
      <c r="K29" s="28"/>
      <c r="L29" s="33"/>
      <c r="M29" s="37"/>
      <c r="N29" s="31"/>
      <c r="O29" s="24"/>
      <c r="P29" s="25"/>
      <c r="Q29" s="32">
        <f t="shared" si="4"/>
        <v>0</v>
      </c>
    </row>
    <row r="30" spans="1:17" ht="30" x14ac:dyDescent="0.25">
      <c r="A30" s="86">
        <v>43719</v>
      </c>
      <c r="B30" s="87">
        <f t="shared" si="0"/>
        <v>4188</v>
      </c>
      <c r="C30" s="88" t="s">
        <v>11</v>
      </c>
      <c r="D30" s="102">
        <v>8538.6</v>
      </c>
      <c r="E30" s="103" t="s">
        <v>147</v>
      </c>
      <c r="F30" s="96">
        <f>6000+2538.6</f>
        <v>8538.6</v>
      </c>
      <c r="G30" s="93">
        <f t="shared" si="1"/>
        <v>0</v>
      </c>
      <c r="H30" s="2"/>
      <c r="K30" s="28"/>
      <c r="L30" s="39"/>
      <c r="M30" s="30"/>
      <c r="N30" s="31"/>
      <c r="O30" s="24"/>
      <c r="P30" s="25"/>
      <c r="Q30" s="32">
        <f t="shared" si="4"/>
        <v>0</v>
      </c>
    </row>
    <row r="31" spans="1:17" ht="30" x14ac:dyDescent="0.25">
      <c r="A31" s="86">
        <v>43720</v>
      </c>
      <c r="B31" s="87">
        <f t="shared" si="0"/>
        <v>4189</v>
      </c>
      <c r="C31" s="88" t="s">
        <v>18</v>
      </c>
      <c r="D31" s="102">
        <v>8869</v>
      </c>
      <c r="E31" s="103" t="s">
        <v>145</v>
      </c>
      <c r="F31" s="96">
        <f>7000+1869</f>
        <v>8869</v>
      </c>
      <c r="G31" s="93">
        <f t="shared" si="1"/>
        <v>0</v>
      </c>
      <c r="H31" s="2"/>
      <c r="K31" s="28"/>
      <c r="L31" s="29"/>
      <c r="M31" s="30"/>
      <c r="N31" s="31"/>
      <c r="O31" s="24"/>
      <c r="P31" s="25"/>
      <c r="Q31" s="32">
        <f t="shared" si="4"/>
        <v>0</v>
      </c>
    </row>
    <row r="32" spans="1:17" ht="15.75" x14ac:dyDescent="0.25">
      <c r="A32" s="86">
        <v>43720</v>
      </c>
      <c r="B32" s="87">
        <f t="shared" si="0"/>
        <v>4190</v>
      </c>
      <c r="C32" s="88" t="s">
        <v>8</v>
      </c>
      <c r="D32" s="102">
        <v>9404.4</v>
      </c>
      <c r="E32" s="103">
        <v>43721</v>
      </c>
      <c r="F32" s="96">
        <v>9404.4</v>
      </c>
      <c r="G32" s="93">
        <f t="shared" si="1"/>
        <v>0</v>
      </c>
      <c r="H32" s="2"/>
      <c r="K32" s="28"/>
      <c r="L32" s="39"/>
      <c r="M32" s="37"/>
      <c r="N32" s="31"/>
      <c r="O32" s="24"/>
      <c r="P32" s="25"/>
      <c r="Q32" s="32">
        <f t="shared" si="4"/>
        <v>0</v>
      </c>
    </row>
    <row r="33" spans="1:17" ht="15.75" x14ac:dyDescent="0.25">
      <c r="A33" s="86">
        <v>43720</v>
      </c>
      <c r="B33" s="87">
        <f t="shared" si="0"/>
        <v>4191</v>
      </c>
      <c r="C33" s="88" t="s">
        <v>10</v>
      </c>
      <c r="D33" s="102">
        <v>3346</v>
      </c>
      <c r="E33" s="103">
        <v>43721</v>
      </c>
      <c r="F33" s="96">
        <v>3346</v>
      </c>
      <c r="G33" s="93">
        <f t="shared" si="1"/>
        <v>0</v>
      </c>
      <c r="H33" s="2"/>
      <c r="K33" s="28"/>
      <c r="L33" s="29"/>
      <c r="M33" s="30"/>
      <c r="N33" s="31"/>
      <c r="O33" s="24"/>
      <c r="P33" s="25"/>
      <c r="Q33" s="32">
        <f t="shared" si="4"/>
        <v>0</v>
      </c>
    </row>
    <row r="34" spans="1:17" ht="15.75" x14ac:dyDescent="0.25">
      <c r="A34" s="86">
        <v>43720</v>
      </c>
      <c r="B34" s="87">
        <f t="shared" si="0"/>
        <v>4192</v>
      </c>
      <c r="C34" s="88" t="s">
        <v>13</v>
      </c>
      <c r="D34" s="102">
        <v>6714.75</v>
      </c>
      <c r="E34" s="103">
        <v>43722</v>
      </c>
      <c r="F34" s="96">
        <v>6714.75</v>
      </c>
      <c r="G34" s="93">
        <f t="shared" si="1"/>
        <v>0</v>
      </c>
      <c r="H34" s="2"/>
      <c r="K34" s="28"/>
      <c r="L34" s="39"/>
      <c r="M34" s="30"/>
      <c r="N34" s="31"/>
      <c r="O34" s="24"/>
      <c r="P34" s="25"/>
      <c r="Q34" s="32">
        <f t="shared" si="4"/>
        <v>0</v>
      </c>
    </row>
    <row r="35" spans="1:17" ht="15.75" x14ac:dyDescent="0.25">
      <c r="A35" s="86">
        <v>43720</v>
      </c>
      <c r="B35" s="87">
        <f t="shared" si="0"/>
        <v>4193</v>
      </c>
      <c r="C35" s="88" t="s">
        <v>9</v>
      </c>
      <c r="D35" s="102">
        <v>3555</v>
      </c>
      <c r="E35" s="103">
        <v>43724</v>
      </c>
      <c r="F35" s="96">
        <v>3555</v>
      </c>
      <c r="G35" s="93">
        <f t="shared" si="1"/>
        <v>0</v>
      </c>
      <c r="H35" s="2"/>
      <c r="K35" s="28"/>
      <c r="L35" s="39"/>
      <c r="M35" s="30"/>
      <c r="N35" s="31"/>
      <c r="O35" s="24"/>
      <c r="P35" s="25"/>
      <c r="Q35" s="32">
        <f t="shared" si="4"/>
        <v>0</v>
      </c>
    </row>
    <row r="36" spans="1:17" ht="15.75" x14ac:dyDescent="0.25">
      <c r="A36" s="86">
        <v>43721</v>
      </c>
      <c r="B36" s="87">
        <f t="shared" si="0"/>
        <v>4194</v>
      </c>
      <c r="C36" s="88" t="s">
        <v>8</v>
      </c>
      <c r="D36" s="102">
        <v>14898.8</v>
      </c>
      <c r="E36" s="103">
        <v>43722</v>
      </c>
      <c r="F36" s="96">
        <v>14898.8</v>
      </c>
      <c r="G36" s="93">
        <f t="shared" si="1"/>
        <v>0</v>
      </c>
      <c r="H36" s="2"/>
      <c r="K36" s="28"/>
      <c r="L36" s="39"/>
      <c r="M36" s="30"/>
      <c r="N36" s="31"/>
      <c r="O36" s="24"/>
      <c r="P36" s="25"/>
      <c r="Q36" s="32">
        <f t="shared" si="4"/>
        <v>0</v>
      </c>
    </row>
    <row r="37" spans="1:17" ht="15.75" x14ac:dyDescent="0.25">
      <c r="A37" s="86">
        <v>43721</v>
      </c>
      <c r="B37" s="87">
        <f t="shared" si="0"/>
        <v>4195</v>
      </c>
      <c r="C37" s="88" t="s">
        <v>32</v>
      </c>
      <c r="D37" s="89">
        <v>2383.4</v>
      </c>
      <c r="E37" s="107">
        <v>43723</v>
      </c>
      <c r="F37" s="89">
        <v>2383.4</v>
      </c>
      <c r="G37" s="93">
        <f t="shared" si="1"/>
        <v>0</v>
      </c>
      <c r="H37" s="2"/>
      <c r="K37" s="28"/>
      <c r="L37" s="39"/>
      <c r="M37" s="30"/>
      <c r="N37" s="40"/>
      <c r="O37" s="41"/>
      <c r="P37" s="40"/>
      <c r="Q37" s="42">
        <f t="shared" si="4"/>
        <v>0</v>
      </c>
    </row>
    <row r="38" spans="1:17" ht="16.5" thickBot="1" x14ac:dyDescent="0.3">
      <c r="A38" s="86">
        <v>43721</v>
      </c>
      <c r="B38" s="87">
        <f t="shared" si="0"/>
        <v>4196</v>
      </c>
      <c r="C38" s="88" t="s">
        <v>13</v>
      </c>
      <c r="D38" s="89">
        <v>5877.7</v>
      </c>
      <c r="E38" s="103">
        <v>43722</v>
      </c>
      <c r="F38" s="96">
        <v>5877.7</v>
      </c>
      <c r="G38" s="93">
        <f t="shared" si="1"/>
        <v>0</v>
      </c>
      <c r="H38" s="2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86">
        <v>43721</v>
      </c>
      <c r="B39" s="87">
        <f t="shared" si="0"/>
        <v>4197</v>
      </c>
      <c r="C39" s="104" t="s">
        <v>10</v>
      </c>
      <c r="D39" s="89">
        <v>3726.8</v>
      </c>
      <c r="E39" s="103">
        <v>43722</v>
      </c>
      <c r="F39" s="96">
        <v>3726.8</v>
      </c>
      <c r="G39" s="93">
        <f t="shared" si="1"/>
        <v>0</v>
      </c>
      <c r="H39" s="2"/>
      <c r="K39" s="49"/>
      <c r="L39" s="50"/>
      <c r="M39" s="2"/>
      <c r="N39" s="51">
        <f>SUM(N4:N38)</f>
        <v>52583.1</v>
      </c>
      <c r="O39" s="52"/>
      <c r="P39" s="53">
        <f>SUM(P4:P38)</f>
        <v>0</v>
      </c>
      <c r="Q39" s="54">
        <f>SUM(Q4:Q38)</f>
        <v>52583.1</v>
      </c>
    </row>
    <row r="40" spans="1:17" ht="15.75" x14ac:dyDescent="0.25">
      <c r="A40" s="86">
        <v>43722</v>
      </c>
      <c r="B40" s="87">
        <f t="shared" si="0"/>
        <v>4198</v>
      </c>
      <c r="C40" s="88" t="s">
        <v>9</v>
      </c>
      <c r="D40" s="89">
        <v>35871.800000000003</v>
      </c>
      <c r="E40" s="103" t="s">
        <v>159</v>
      </c>
      <c r="F40" s="96">
        <f>27171.8+8700</f>
        <v>35871.800000000003</v>
      </c>
      <c r="G40" s="93">
        <f t="shared" si="1"/>
        <v>0</v>
      </c>
      <c r="H40" s="2"/>
      <c r="K40" s="49"/>
      <c r="L40" s="50"/>
      <c r="M40" s="2"/>
      <c r="N40" s="53"/>
      <c r="O40" s="52"/>
      <c r="P40" s="53"/>
      <c r="Q40" s="55"/>
    </row>
    <row r="41" spans="1:17" ht="15.75" customHeight="1" x14ac:dyDescent="0.25">
      <c r="A41" s="86">
        <v>43722</v>
      </c>
      <c r="B41" s="87">
        <f t="shared" si="0"/>
        <v>4199</v>
      </c>
      <c r="C41" s="88" t="s">
        <v>8</v>
      </c>
      <c r="D41" s="89">
        <v>21875.599999999999</v>
      </c>
      <c r="E41" s="103">
        <v>43723</v>
      </c>
      <c r="F41" s="96">
        <v>21875.599999999999</v>
      </c>
      <c r="G41" s="93">
        <f t="shared" si="1"/>
        <v>0</v>
      </c>
      <c r="H41" s="2"/>
      <c r="K41" s="49"/>
      <c r="L41" s="50"/>
      <c r="M41" s="2"/>
      <c r="N41" s="134" t="s">
        <v>15</v>
      </c>
      <c r="O41" s="52"/>
      <c r="P41" s="135" t="s">
        <v>16</v>
      </c>
      <c r="Q41" s="55"/>
    </row>
    <row r="42" spans="1:17" ht="15.75" customHeight="1" x14ac:dyDescent="0.25">
      <c r="A42" s="86">
        <v>43722</v>
      </c>
      <c r="B42" s="87">
        <f t="shared" si="0"/>
        <v>4200</v>
      </c>
      <c r="C42" s="88" t="s">
        <v>10</v>
      </c>
      <c r="D42" s="89">
        <v>3470.6</v>
      </c>
      <c r="E42" s="103">
        <v>43723</v>
      </c>
      <c r="F42" s="96">
        <v>3470.6</v>
      </c>
      <c r="G42" s="93">
        <f t="shared" si="1"/>
        <v>0</v>
      </c>
      <c r="H42" s="2"/>
      <c r="K42" s="49"/>
      <c r="L42" s="50"/>
      <c r="M42" s="2"/>
      <c r="N42" s="134"/>
      <c r="O42" s="52"/>
      <c r="P42" s="135"/>
      <c r="Q42" s="55"/>
    </row>
    <row r="43" spans="1:17" ht="15.75" customHeight="1" x14ac:dyDescent="0.25">
      <c r="A43" s="86">
        <v>43722</v>
      </c>
      <c r="B43" s="87">
        <f t="shared" si="0"/>
        <v>4201</v>
      </c>
      <c r="C43" s="88" t="s">
        <v>11</v>
      </c>
      <c r="D43" s="89">
        <v>7933.2</v>
      </c>
      <c r="E43" s="103">
        <v>43723</v>
      </c>
      <c r="F43" s="96">
        <v>7933.2</v>
      </c>
      <c r="G43" s="93">
        <f t="shared" si="1"/>
        <v>0</v>
      </c>
      <c r="H43" s="2"/>
      <c r="K43" s="49"/>
      <c r="L43" s="50"/>
      <c r="M43" s="2"/>
      <c r="N43" s="56"/>
      <c r="O43" s="52"/>
      <c r="P43" s="57"/>
      <c r="Q43" s="55"/>
    </row>
    <row r="44" spans="1:17" ht="16.5" thickBot="1" x14ac:dyDescent="0.3">
      <c r="A44" s="86">
        <v>43722</v>
      </c>
      <c r="B44" s="87">
        <f t="shared" si="0"/>
        <v>4202</v>
      </c>
      <c r="C44" s="88" t="s">
        <v>12</v>
      </c>
      <c r="D44" s="89">
        <v>3167.2</v>
      </c>
      <c r="E44" s="103">
        <v>43730</v>
      </c>
      <c r="F44" s="96">
        <v>3167.2</v>
      </c>
      <c r="G44" s="93">
        <f t="shared" si="1"/>
        <v>0</v>
      </c>
      <c r="H44" s="2"/>
      <c r="K44" s="49"/>
      <c r="L44" s="50"/>
      <c r="M44" s="2"/>
      <c r="N44" s="56"/>
      <c r="O44" s="52"/>
      <c r="P44" s="57"/>
      <c r="Q44" s="55"/>
    </row>
    <row r="45" spans="1:17" ht="32.25" thickBot="1" x14ac:dyDescent="0.4">
      <c r="A45" s="86">
        <v>43723</v>
      </c>
      <c r="B45" s="87">
        <f t="shared" si="0"/>
        <v>4203</v>
      </c>
      <c r="C45" s="88" t="s">
        <v>11</v>
      </c>
      <c r="D45" s="89">
        <v>13958.35</v>
      </c>
      <c r="E45" s="103" t="s">
        <v>148</v>
      </c>
      <c r="F45" s="96">
        <f>11000+2958.35</f>
        <v>13958.35</v>
      </c>
      <c r="G45" s="93">
        <f t="shared" si="1"/>
        <v>0</v>
      </c>
      <c r="H45" s="2"/>
      <c r="K45" s="49"/>
      <c r="L45" s="50"/>
      <c r="M45" s="2"/>
      <c r="N45" s="126">
        <f>N39-P39</f>
        <v>52583.1</v>
      </c>
      <c r="O45" s="127"/>
      <c r="P45" s="128"/>
    </row>
    <row r="46" spans="1:17" ht="15.75" x14ac:dyDescent="0.25">
      <c r="A46" s="86">
        <v>43723</v>
      </c>
      <c r="B46" s="87">
        <f t="shared" si="0"/>
        <v>4204</v>
      </c>
      <c r="C46" s="88" t="s">
        <v>13</v>
      </c>
      <c r="D46" s="89">
        <v>15602.8</v>
      </c>
      <c r="E46" s="103">
        <v>43726</v>
      </c>
      <c r="F46" s="96">
        <f>9500+6102.8</f>
        <v>15602.8</v>
      </c>
      <c r="G46" s="93">
        <f t="shared" si="1"/>
        <v>0</v>
      </c>
      <c r="H46" s="2"/>
      <c r="K46" s="20"/>
      <c r="L46" s="58"/>
      <c r="M46" s="59"/>
      <c r="N46" s="25"/>
      <c r="O46" s="24"/>
      <c r="P46" s="25"/>
      <c r="Q46" s="60"/>
    </row>
    <row r="47" spans="1:17" ht="18.75" x14ac:dyDescent="0.3">
      <c r="A47" s="86">
        <v>43723</v>
      </c>
      <c r="B47" s="87">
        <f t="shared" si="0"/>
        <v>4205</v>
      </c>
      <c r="C47" s="88" t="s">
        <v>12</v>
      </c>
      <c r="D47" s="89">
        <v>3182.4</v>
      </c>
      <c r="E47" s="103">
        <v>43724</v>
      </c>
      <c r="F47" s="96">
        <v>3182.4</v>
      </c>
      <c r="G47" s="93">
        <f t="shared" si="1"/>
        <v>0</v>
      </c>
      <c r="H47" s="2"/>
      <c r="K47" s="20"/>
      <c r="L47" s="58"/>
      <c r="M47" s="59"/>
      <c r="N47" s="129" t="s">
        <v>17</v>
      </c>
      <c r="O47" s="129"/>
      <c r="P47" s="129"/>
      <c r="Q47" s="60"/>
    </row>
    <row r="48" spans="1:17" ht="15.75" x14ac:dyDescent="0.25">
      <c r="A48" s="86">
        <v>43723</v>
      </c>
      <c r="B48" s="87">
        <f t="shared" si="0"/>
        <v>4206</v>
      </c>
      <c r="C48" s="88" t="s">
        <v>10</v>
      </c>
      <c r="D48" s="89">
        <v>3896</v>
      </c>
      <c r="E48" s="103">
        <v>43726</v>
      </c>
      <c r="F48" s="96">
        <v>3896</v>
      </c>
      <c r="G48" s="93">
        <f t="shared" si="1"/>
        <v>0</v>
      </c>
      <c r="H48" s="2"/>
      <c r="K48" s="20"/>
      <c r="L48" s="58"/>
      <c r="M48" s="59"/>
      <c r="N48" s="25"/>
      <c r="O48" s="24"/>
      <c r="P48" s="25"/>
      <c r="Q48" s="60"/>
    </row>
    <row r="49" spans="1:17" ht="30" x14ac:dyDescent="0.25">
      <c r="A49" s="86">
        <v>43723</v>
      </c>
      <c r="B49" s="87">
        <f t="shared" si="0"/>
        <v>4207</v>
      </c>
      <c r="C49" s="88" t="s">
        <v>11</v>
      </c>
      <c r="D49" s="89">
        <v>8722.08</v>
      </c>
      <c r="E49" s="103" t="s">
        <v>149</v>
      </c>
      <c r="F49" s="96">
        <f>503+3500+4000+719.08</f>
        <v>8722.08</v>
      </c>
      <c r="G49" s="93">
        <f t="shared" si="1"/>
        <v>0</v>
      </c>
      <c r="H49" s="2"/>
      <c r="K49" s="20"/>
      <c r="L49" s="58"/>
      <c r="M49" s="59"/>
      <c r="N49" s="25"/>
      <c r="O49" s="24"/>
      <c r="P49" s="25"/>
      <c r="Q49" s="60"/>
    </row>
    <row r="50" spans="1:17" ht="15.75" x14ac:dyDescent="0.25">
      <c r="A50" s="86">
        <v>43724</v>
      </c>
      <c r="B50" s="87">
        <f t="shared" si="0"/>
        <v>4208</v>
      </c>
      <c r="C50" s="88" t="s">
        <v>11</v>
      </c>
      <c r="D50" s="89">
        <v>5243.04</v>
      </c>
      <c r="E50" s="103">
        <v>43727</v>
      </c>
      <c r="F50" s="96">
        <f>3500+1743.04</f>
        <v>5243.04</v>
      </c>
      <c r="G50" s="93">
        <f t="shared" si="1"/>
        <v>0</v>
      </c>
      <c r="H50" s="2"/>
      <c r="K50" s="20"/>
      <c r="L50" s="58"/>
      <c r="M50" s="59"/>
      <c r="N50" s="25"/>
      <c r="O50" s="24"/>
      <c r="P50" s="25"/>
      <c r="Q50" s="60"/>
    </row>
    <row r="51" spans="1:17" ht="15.75" x14ac:dyDescent="0.25">
      <c r="A51" s="86">
        <v>43724</v>
      </c>
      <c r="B51" s="87">
        <f t="shared" si="0"/>
        <v>4209</v>
      </c>
      <c r="C51" s="88" t="s">
        <v>8</v>
      </c>
      <c r="D51" s="89">
        <v>5922</v>
      </c>
      <c r="E51" s="103">
        <v>43724</v>
      </c>
      <c r="F51" s="96">
        <v>5922</v>
      </c>
      <c r="G51" s="93">
        <f t="shared" si="1"/>
        <v>0</v>
      </c>
      <c r="H51" s="2"/>
      <c r="K51" s="20"/>
      <c r="L51" s="58"/>
      <c r="M51" s="59"/>
      <c r="N51" s="25"/>
      <c r="O51" s="24"/>
      <c r="P51" s="25"/>
      <c r="Q51" s="60"/>
    </row>
    <row r="52" spans="1:17" ht="15.75" x14ac:dyDescent="0.25">
      <c r="A52" s="86">
        <v>43724</v>
      </c>
      <c r="B52" s="87">
        <f t="shared" si="0"/>
        <v>4210</v>
      </c>
      <c r="C52" s="88" t="s">
        <v>10</v>
      </c>
      <c r="D52" s="89">
        <v>2016</v>
      </c>
      <c r="E52" s="103">
        <v>43726</v>
      </c>
      <c r="F52" s="96">
        <v>2016</v>
      </c>
      <c r="G52" s="93">
        <f t="shared" si="1"/>
        <v>0</v>
      </c>
      <c r="H52" s="2"/>
      <c r="K52" s="20"/>
      <c r="L52" s="58"/>
      <c r="M52" s="59"/>
      <c r="N52" s="25"/>
      <c r="O52" s="24"/>
      <c r="P52" s="25"/>
      <c r="Q52" s="60"/>
    </row>
    <row r="53" spans="1:17" ht="15.75" x14ac:dyDescent="0.25">
      <c r="A53" s="86">
        <v>43724</v>
      </c>
      <c r="B53" s="87">
        <f t="shared" si="0"/>
        <v>4211</v>
      </c>
      <c r="C53" s="88" t="s">
        <v>12</v>
      </c>
      <c r="D53" s="89">
        <v>3352.2</v>
      </c>
      <c r="E53" s="103">
        <v>43726</v>
      </c>
      <c r="F53" s="96">
        <v>3352.2</v>
      </c>
      <c r="G53" s="93">
        <f t="shared" si="1"/>
        <v>0</v>
      </c>
      <c r="H53" s="2"/>
      <c r="J53" s="90"/>
      <c r="K53" s="20"/>
      <c r="L53" s="58"/>
      <c r="M53" s="59"/>
      <c r="N53" s="25"/>
      <c r="O53" s="24"/>
      <c r="P53" s="25"/>
      <c r="Q53" s="60"/>
    </row>
    <row r="54" spans="1:17" ht="15.75" x14ac:dyDescent="0.25">
      <c r="A54" s="86">
        <v>43725</v>
      </c>
      <c r="B54" s="87">
        <f t="shared" si="0"/>
        <v>4212</v>
      </c>
      <c r="C54" s="88" t="s">
        <v>10</v>
      </c>
      <c r="D54" s="89">
        <v>1684.8</v>
      </c>
      <c r="E54" s="103">
        <v>43727</v>
      </c>
      <c r="F54" s="96">
        <v>1684.8</v>
      </c>
      <c r="G54" s="93">
        <f t="shared" si="1"/>
        <v>0</v>
      </c>
      <c r="H54" s="2"/>
      <c r="K54" s="20"/>
      <c r="L54" s="58"/>
      <c r="M54" s="59"/>
      <c r="N54" s="25"/>
      <c r="O54" s="24"/>
      <c r="P54" s="25"/>
      <c r="Q54" s="60"/>
    </row>
    <row r="55" spans="1:17" ht="15.75" x14ac:dyDescent="0.25">
      <c r="A55" s="86">
        <v>43726</v>
      </c>
      <c r="B55" s="87">
        <f t="shared" si="0"/>
        <v>4213</v>
      </c>
      <c r="C55" s="88" t="s">
        <v>11</v>
      </c>
      <c r="D55" s="89">
        <v>8212.32</v>
      </c>
      <c r="E55" s="103">
        <v>43728</v>
      </c>
      <c r="F55" s="96">
        <v>8212.32</v>
      </c>
      <c r="G55" s="93">
        <f t="shared" si="1"/>
        <v>0</v>
      </c>
      <c r="H55" s="2"/>
      <c r="K55" s="20"/>
      <c r="L55" s="58"/>
      <c r="M55" s="59"/>
      <c r="N55" s="25"/>
      <c r="O55" s="24"/>
      <c r="P55" s="25"/>
      <c r="Q55" s="60"/>
    </row>
    <row r="56" spans="1:17" ht="30" x14ac:dyDescent="0.25">
      <c r="A56" s="86">
        <v>43726</v>
      </c>
      <c r="B56" s="87">
        <f t="shared" si="0"/>
        <v>4214</v>
      </c>
      <c r="C56" s="88" t="s">
        <v>12</v>
      </c>
      <c r="D56" s="89">
        <v>2775</v>
      </c>
      <c r="E56" s="103" t="s">
        <v>153</v>
      </c>
      <c r="F56" s="96">
        <f>1500+1275</f>
        <v>2775</v>
      </c>
      <c r="G56" s="93">
        <f t="shared" si="1"/>
        <v>0</v>
      </c>
      <c r="H56" s="2"/>
      <c r="K56" s="20"/>
      <c r="L56" s="58"/>
      <c r="M56" s="59"/>
      <c r="N56" s="25"/>
      <c r="O56" s="24"/>
      <c r="P56" s="25"/>
      <c r="Q56" s="60"/>
    </row>
    <row r="57" spans="1:17" ht="15.75" x14ac:dyDescent="0.25">
      <c r="A57" s="86">
        <v>43726</v>
      </c>
      <c r="B57" s="87">
        <f t="shared" si="0"/>
        <v>4215</v>
      </c>
      <c r="C57" s="88" t="s">
        <v>10</v>
      </c>
      <c r="D57" s="89">
        <v>3556.8</v>
      </c>
      <c r="E57" s="103">
        <v>43727</v>
      </c>
      <c r="F57" s="96">
        <v>3556.8</v>
      </c>
      <c r="G57" s="93">
        <f t="shared" si="1"/>
        <v>0</v>
      </c>
      <c r="H57" s="2"/>
      <c r="K57" s="20"/>
      <c r="L57" s="58"/>
      <c r="M57" s="59"/>
      <c r="N57" s="25"/>
      <c r="O57" s="24"/>
      <c r="P57" s="25"/>
      <c r="Q57" s="60"/>
    </row>
    <row r="58" spans="1:17" ht="15.75" x14ac:dyDescent="0.25">
      <c r="A58" s="86">
        <v>43726</v>
      </c>
      <c r="B58" s="87">
        <f t="shared" si="0"/>
        <v>4216</v>
      </c>
      <c r="C58" s="88" t="s">
        <v>18</v>
      </c>
      <c r="D58" s="89">
        <v>3996</v>
      </c>
      <c r="E58" s="103">
        <v>43728</v>
      </c>
      <c r="F58" s="96">
        <v>3996</v>
      </c>
      <c r="G58" s="93">
        <f t="shared" si="1"/>
        <v>0</v>
      </c>
      <c r="H58" s="2"/>
      <c r="K58" s="20"/>
      <c r="L58" s="58"/>
      <c r="M58" s="59"/>
      <c r="N58" s="25"/>
      <c r="O58" s="24"/>
      <c r="P58" s="25"/>
      <c r="Q58" s="60"/>
    </row>
    <row r="59" spans="1:17" ht="30" x14ac:dyDescent="0.25">
      <c r="A59" s="86">
        <v>43726</v>
      </c>
      <c r="B59" s="87">
        <f t="shared" si="0"/>
        <v>4217</v>
      </c>
      <c r="C59" s="88" t="s">
        <v>13</v>
      </c>
      <c r="D59" s="89">
        <v>9594</v>
      </c>
      <c r="E59" s="103" t="s">
        <v>151</v>
      </c>
      <c r="F59" s="96">
        <f>5300+4294</f>
        <v>9594</v>
      </c>
      <c r="G59" s="93">
        <f t="shared" si="1"/>
        <v>0</v>
      </c>
      <c r="H59" s="2"/>
      <c r="K59" s="20"/>
      <c r="L59" s="58"/>
      <c r="M59" s="59"/>
      <c r="N59" s="25"/>
      <c r="O59" s="24"/>
      <c r="P59" s="25"/>
      <c r="Q59" s="60"/>
    </row>
    <row r="60" spans="1:17" ht="15.75" x14ac:dyDescent="0.25">
      <c r="A60" s="86">
        <v>43727</v>
      </c>
      <c r="B60" s="87">
        <f t="shared" si="0"/>
        <v>4218</v>
      </c>
      <c r="C60" s="88" t="s">
        <v>9</v>
      </c>
      <c r="D60" s="89">
        <v>2734.7</v>
      </c>
      <c r="E60" s="103">
        <v>43731</v>
      </c>
      <c r="F60" s="96">
        <v>2734.7</v>
      </c>
      <c r="G60" s="93">
        <f t="shared" si="1"/>
        <v>0</v>
      </c>
      <c r="H60" s="2"/>
      <c r="K60" s="20"/>
      <c r="L60" s="58"/>
      <c r="M60" s="59"/>
      <c r="N60" s="25"/>
      <c r="O60" s="24"/>
      <c r="P60" s="25"/>
      <c r="Q60" s="60"/>
    </row>
    <row r="61" spans="1:17" ht="15.75" x14ac:dyDescent="0.25">
      <c r="A61" s="86">
        <v>43727</v>
      </c>
      <c r="B61" s="87">
        <f t="shared" si="0"/>
        <v>4219</v>
      </c>
      <c r="C61" s="88" t="s">
        <v>10</v>
      </c>
      <c r="D61" s="89">
        <v>2232</v>
      </c>
      <c r="E61" s="103">
        <v>43728</v>
      </c>
      <c r="F61" s="96">
        <v>2232</v>
      </c>
      <c r="G61" s="93">
        <f t="shared" si="1"/>
        <v>0</v>
      </c>
      <c r="H61" s="2"/>
      <c r="K61" s="20"/>
      <c r="L61" s="58"/>
      <c r="M61" s="59"/>
      <c r="N61" s="25"/>
      <c r="O61" s="24"/>
      <c r="P61" s="25"/>
      <c r="Q61" s="60"/>
    </row>
    <row r="62" spans="1:17" ht="15.75" x14ac:dyDescent="0.25">
      <c r="A62" s="86">
        <v>43727</v>
      </c>
      <c r="B62" s="87">
        <f t="shared" si="0"/>
        <v>4220</v>
      </c>
      <c r="C62" s="88" t="s">
        <v>18</v>
      </c>
      <c r="D62" s="89">
        <v>3873.6</v>
      </c>
      <c r="E62" s="103">
        <v>43728</v>
      </c>
      <c r="F62" s="96">
        <v>3873.6</v>
      </c>
      <c r="G62" s="93">
        <f t="shared" si="1"/>
        <v>0</v>
      </c>
      <c r="H62" s="2"/>
      <c r="K62" s="20"/>
      <c r="L62" s="58"/>
      <c r="M62" s="59"/>
      <c r="N62" s="25"/>
      <c r="O62" s="24"/>
      <c r="P62" s="25"/>
      <c r="Q62" s="60"/>
    </row>
    <row r="63" spans="1:17" ht="30" x14ac:dyDescent="0.25">
      <c r="A63" s="86">
        <v>43727</v>
      </c>
      <c r="B63" s="87">
        <f t="shared" si="0"/>
        <v>4221</v>
      </c>
      <c r="C63" s="104" t="s">
        <v>44</v>
      </c>
      <c r="D63" s="118">
        <v>4480.8</v>
      </c>
      <c r="E63" s="112" t="s">
        <v>162</v>
      </c>
      <c r="F63" s="68">
        <f>3400+480.8+600</f>
        <v>4480.8</v>
      </c>
      <c r="G63" s="93">
        <f t="shared" si="1"/>
        <v>0</v>
      </c>
      <c r="H63" s="2"/>
      <c r="K63" s="20"/>
      <c r="L63" s="58"/>
      <c r="M63" s="59"/>
      <c r="N63" s="25"/>
      <c r="O63" s="24"/>
      <c r="P63" s="25"/>
      <c r="Q63" s="60"/>
    </row>
    <row r="64" spans="1:17" ht="15.75" x14ac:dyDescent="0.25">
      <c r="A64" s="86">
        <v>43727</v>
      </c>
      <c r="B64" s="87">
        <f t="shared" si="0"/>
        <v>4222</v>
      </c>
      <c r="C64" s="88" t="s">
        <v>11</v>
      </c>
      <c r="D64" s="89">
        <v>9102.2000000000007</v>
      </c>
      <c r="E64" s="103">
        <v>43729</v>
      </c>
      <c r="F64" s="96">
        <v>9102.2000000000007</v>
      </c>
      <c r="G64" s="93">
        <f t="shared" si="1"/>
        <v>0</v>
      </c>
      <c r="H64" s="2"/>
      <c r="K64" s="20"/>
      <c r="L64" s="58"/>
      <c r="M64" s="59"/>
      <c r="N64" s="25"/>
      <c r="O64" s="24"/>
      <c r="P64" s="25"/>
      <c r="Q64" s="60"/>
    </row>
    <row r="65" spans="1:17" ht="15.75" x14ac:dyDescent="0.25">
      <c r="A65" s="86">
        <v>43727</v>
      </c>
      <c r="B65" s="87">
        <f t="shared" si="0"/>
        <v>4223</v>
      </c>
      <c r="C65" s="88" t="s">
        <v>8</v>
      </c>
      <c r="D65" s="89">
        <v>6090</v>
      </c>
      <c r="E65" s="103">
        <v>43728</v>
      </c>
      <c r="F65" s="96">
        <v>6090</v>
      </c>
      <c r="G65" s="93">
        <f t="shared" si="1"/>
        <v>0</v>
      </c>
      <c r="H65" s="2"/>
      <c r="K65" s="20"/>
      <c r="L65" s="58"/>
      <c r="M65" s="59"/>
      <c r="N65" s="25"/>
      <c r="O65" s="24"/>
      <c r="P65" s="25"/>
      <c r="Q65" s="60"/>
    </row>
    <row r="66" spans="1:17" ht="15.75" x14ac:dyDescent="0.25">
      <c r="A66" s="86">
        <v>43728</v>
      </c>
      <c r="B66" s="87">
        <f t="shared" si="0"/>
        <v>4224</v>
      </c>
      <c r="C66" s="88" t="s">
        <v>8</v>
      </c>
      <c r="D66" s="89">
        <v>31430</v>
      </c>
      <c r="E66" s="103">
        <v>43729</v>
      </c>
      <c r="F66" s="96">
        <v>31430</v>
      </c>
      <c r="G66" s="93">
        <f t="shared" si="1"/>
        <v>0</v>
      </c>
      <c r="H66" s="2"/>
      <c r="K66" s="20"/>
      <c r="L66" s="58"/>
      <c r="M66" s="59"/>
      <c r="N66" s="25"/>
      <c r="O66" s="24"/>
      <c r="P66" s="25"/>
      <c r="Q66" s="60"/>
    </row>
    <row r="67" spans="1:17" ht="30" x14ac:dyDescent="0.25">
      <c r="A67" s="86">
        <v>43728</v>
      </c>
      <c r="B67" s="87">
        <f t="shared" si="0"/>
        <v>4225</v>
      </c>
      <c r="C67" s="88" t="s">
        <v>13</v>
      </c>
      <c r="D67" s="89">
        <v>11212</v>
      </c>
      <c r="E67" s="103" t="s">
        <v>152</v>
      </c>
      <c r="F67" s="96">
        <f>9000+2212</f>
        <v>11212</v>
      </c>
      <c r="G67" s="93">
        <f t="shared" si="1"/>
        <v>0</v>
      </c>
      <c r="H67" s="2"/>
      <c r="K67" s="20"/>
      <c r="L67" s="58"/>
      <c r="M67" s="59"/>
      <c r="N67" s="25"/>
      <c r="O67" s="24"/>
      <c r="P67" s="25"/>
      <c r="Q67" s="60"/>
    </row>
    <row r="68" spans="1:17" ht="15.75" x14ac:dyDescent="0.25">
      <c r="A68" s="86">
        <v>43728</v>
      </c>
      <c r="B68" s="87">
        <f t="shared" si="0"/>
        <v>4226</v>
      </c>
      <c r="C68" s="88" t="s">
        <v>10</v>
      </c>
      <c r="D68" s="89">
        <v>3261.6</v>
      </c>
      <c r="E68" s="103">
        <v>43729</v>
      </c>
      <c r="F68" s="96">
        <v>3261.6</v>
      </c>
      <c r="G68" s="93">
        <f t="shared" si="1"/>
        <v>0</v>
      </c>
      <c r="H68" s="2"/>
      <c r="K68" s="20"/>
      <c r="L68" s="58"/>
      <c r="M68" s="59"/>
      <c r="N68" s="25"/>
      <c r="O68" s="24"/>
      <c r="P68" s="25"/>
      <c r="Q68" s="60"/>
    </row>
    <row r="69" spans="1:17" ht="15.75" x14ac:dyDescent="0.25">
      <c r="A69" s="86">
        <v>43728</v>
      </c>
      <c r="B69" s="87">
        <f t="shared" ref="B69:B112" si="5">B68+1</f>
        <v>4227</v>
      </c>
      <c r="C69" s="88" t="s">
        <v>11</v>
      </c>
      <c r="D69" s="89">
        <v>9968.0400000000009</v>
      </c>
      <c r="E69" s="103">
        <v>43730</v>
      </c>
      <c r="F69" s="96">
        <v>9968.0400000000009</v>
      </c>
      <c r="G69" s="93">
        <f t="shared" si="1"/>
        <v>0</v>
      </c>
      <c r="H69" s="2"/>
      <c r="K69" s="20"/>
      <c r="L69" s="58"/>
      <c r="M69" s="59"/>
      <c r="N69" s="25"/>
      <c r="O69" s="24"/>
      <c r="P69" s="25"/>
      <c r="Q69" s="60"/>
    </row>
    <row r="70" spans="1:17" ht="15.75" x14ac:dyDescent="0.25">
      <c r="A70" s="86">
        <v>43729</v>
      </c>
      <c r="B70" s="87">
        <f t="shared" si="5"/>
        <v>4228</v>
      </c>
      <c r="C70" s="88" t="s">
        <v>7</v>
      </c>
      <c r="D70" s="89">
        <v>8740.7999999999993</v>
      </c>
      <c r="E70" s="103">
        <v>43729</v>
      </c>
      <c r="F70" s="96">
        <v>8740.7999999999993</v>
      </c>
      <c r="G70" s="93">
        <f t="shared" si="1"/>
        <v>0</v>
      </c>
      <c r="H70" s="2"/>
      <c r="K70" s="20"/>
      <c r="L70" s="58"/>
      <c r="M70" s="59"/>
      <c r="N70" s="25"/>
      <c r="O70" s="24"/>
      <c r="P70" s="25"/>
      <c r="Q70" s="60"/>
    </row>
    <row r="71" spans="1:17" ht="15.75" x14ac:dyDescent="0.25">
      <c r="A71" s="86">
        <v>43729</v>
      </c>
      <c r="B71" s="87">
        <f t="shared" si="5"/>
        <v>4229</v>
      </c>
      <c r="C71" s="88" t="s">
        <v>9</v>
      </c>
      <c r="D71" s="89">
        <v>32230.55</v>
      </c>
      <c r="E71" s="112" t="s">
        <v>167</v>
      </c>
      <c r="F71" s="68">
        <f>23530.55+8700</f>
        <v>32230.55</v>
      </c>
      <c r="G71" s="93">
        <f t="shared" si="1"/>
        <v>0</v>
      </c>
      <c r="H71" s="2"/>
      <c r="K71" s="20"/>
      <c r="L71" s="58"/>
      <c r="M71" s="59"/>
      <c r="N71" s="25"/>
      <c r="O71" s="24"/>
      <c r="P71" s="25"/>
      <c r="Q71" s="60"/>
    </row>
    <row r="72" spans="1:17" ht="30" x14ac:dyDescent="0.25">
      <c r="A72" s="86">
        <v>43729</v>
      </c>
      <c r="B72" s="87">
        <f t="shared" si="5"/>
        <v>4230</v>
      </c>
      <c r="C72" s="88" t="s">
        <v>11</v>
      </c>
      <c r="D72" s="89">
        <v>20419.560000000001</v>
      </c>
      <c r="E72" s="103" t="s">
        <v>154</v>
      </c>
      <c r="F72" s="96">
        <f>15000+5419.56</f>
        <v>20419.560000000001</v>
      </c>
      <c r="G72" s="93">
        <f t="shared" si="1"/>
        <v>0</v>
      </c>
      <c r="H72" s="2"/>
      <c r="K72" s="20"/>
      <c r="L72" s="58"/>
      <c r="M72" s="59"/>
      <c r="N72" s="25"/>
      <c r="O72" s="24"/>
      <c r="P72" s="25"/>
      <c r="Q72" s="60"/>
    </row>
    <row r="73" spans="1:17" ht="15.75" x14ac:dyDescent="0.25">
      <c r="A73" s="86">
        <v>43729</v>
      </c>
      <c r="B73" s="87">
        <f t="shared" si="5"/>
        <v>4231</v>
      </c>
      <c r="C73" s="88" t="s">
        <v>10</v>
      </c>
      <c r="D73" s="89">
        <v>1605.6</v>
      </c>
      <c r="E73" s="103">
        <v>43731</v>
      </c>
      <c r="F73" s="96">
        <v>1605.6</v>
      </c>
      <c r="G73" s="93">
        <f t="shared" si="1"/>
        <v>0</v>
      </c>
      <c r="H73" s="2"/>
      <c r="K73" s="20"/>
      <c r="L73" s="58"/>
      <c r="M73" s="59"/>
      <c r="N73" s="25"/>
      <c r="O73" s="24"/>
      <c r="P73" s="25"/>
      <c r="Q73" s="60"/>
    </row>
    <row r="74" spans="1:17" ht="15.75" x14ac:dyDescent="0.25">
      <c r="A74" s="86">
        <v>43729</v>
      </c>
      <c r="B74" s="87">
        <f t="shared" si="5"/>
        <v>4232</v>
      </c>
      <c r="C74" s="88" t="s">
        <v>12</v>
      </c>
      <c r="D74" s="89">
        <v>1576.2</v>
      </c>
      <c r="E74" s="103">
        <v>43732</v>
      </c>
      <c r="F74" s="96">
        <v>1576.2</v>
      </c>
      <c r="G74" s="93">
        <f t="shared" si="1"/>
        <v>0</v>
      </c>
      <c r="H74" s="2"/>
      <c r="K74" s="20"/>
      <c r="L74" s="58"/>
      <c r="M74" s="59"/>
      <c r="N74" s="25"/>
      <c r="O74" s="24"/>
      <c r="P74" s="25"/>
      <c r="Q74" s="60"/>
    </row>
    <row r="75" spans="1:17" ht="15.75" x14ac:dyDescent="0.25">
      <c r="A75" s="86">
        <v>43730</v>
      </c>
      <c r="B75" s="87">
        <f t="shared" si="5"/>
        <v>4233</v>
      </c>
      <c r="C75" s="88" t="s">
        <v>8</v>
      </c>
      <c r="D75" s="89">
        <v>10423</v>
      </c>
      <c r="E75" s="103">
        <v>43730</v>
      </c>
      <c r="F75" s="96">
        <v>10423</v>
      </c>
      <c r="G75" s="93">
        <f t="shared" si="1"/>
        <v>0</v>
      </c>
      <c r="H75" s="2"/>
      <c r="K75" s="20"/>
      <c r="L75" s="58"/>
      <c r="M75" s="59"/>
      <c r="N75" s="25"/>
      <c r="O75" s="24"/>
      <c r="P75" s="25"/>
      <c r="Q75" s="60"/>
    </row>
    <row r="76" spans="1:17" ht="15.75" x14ac:dyDescent="0.25">
      <c r="A76" s="86">
        <v>43730</v>
      </c>
      <c r="B76" s="87">
        <f t="shared" si="5"/>
        <v>4234</v>
      </c>
      <c r="C76" s="88" t="s">
        <v>11</v>
      </c>
      <c r="D76" s="89">
        <v>11319</v>
      </c>
      <c r="E76" s="112" t="s">
        <v>165</v>
      </c>
      <c r="F76" s="68">
        <f>4000+1319+6000</f>
        <v>11319</v>
      </c>
      <c r="G76" s="93">
        <f t="shared" si="1"/>
        <v>0</v>
      </c>
      <c r="H76" s="2"/>
      <c r="K76" s="20"/>
      <c r="L76" s="58"/>
      <c r="M76" s="59"/>
      <c r="N76" s="25"/>
      <c r="O76" s="24"/>
      <c r="P76" s="25"/>
      <c r="Q76" s="60"/>
    </row>
    <row r="77" spans="1:17" ht="15.75" x14ac:dyDescent="0.25">
      <c r="A77" s="86">
        <v>43730</v>
      </c>
      <c r="B77" s="87">
        <f t="shared" si="5"/>
        <v>4235</v>
      </c>
      <c r="C77" s="88" t="s">
        <v>10</v>
      </c>
      <c r="D77" s="89">
        <v>2512.8000000000002</v>
      </c>
      <c r="E77" s="103">
        <v>43731</v>
      </c>
      <c r="F77" s="96">
        <v>2512.8000000000002</v>
      </c>
      <c r="G77" s="93">
        <f t="shared" si="1"/>
        <v>0</v>
      </c>
      <c r="H77" s="2"/>
      <c r="K77" s="20"/>
      <c r="L77" s="58"/>
      <c r="M77" s="59"/>
      <c r="N77" s="25"/>
      <c r="O77" s="24"/>
      <c r="P77" s="25"/>
      <c r="Q77" s="60"/>
    </row>
    <row r="78" spans="1:17" ht="30" x14ac:dyDescent="0.25">
      <c r="A78" s="86">
        <v>43730</v>
      </c>
      <c r="B78" s="87">
        <f t="shared" si="5"/>
        <v>4236</v>
      </c>
      <c r="C78" s="88" t="s">
        <v>13</v>
      </c>
      <c r="D78" s="89">
        <v>10430.200000000001</v>
      </c>
      <c r="E78" s="103" t="s">
        <v>156</v>
      </c>
      <c r="F78" s="96">
        <f>9788+642.2</f>
        <v>10430.200000000001</v>
      </c>
      <c r="G78" s="93">
        <f t="shared" si="1"/>
        <v>0</v>
      </c>
      <c r="H78" s="2"/>
      <c r="K78" s="20"/>
      <c r="L78" s="58"/>
      <c r="M78" s="59"/>
      <c r="N78" s="25"/>
      <c r="O78" s="24"/>
      <c r="P78" s="25"/>
      <c r="Q78" s="60"/>
    </row>
    <row r="79" spans="1:17" ht="15.75" x14ac:dyDescent="0.25">
      <c r="A79" s="86">
        <v>43731</v>
      </c>
      <c r="B79" s="87">
        <f t="shared" si="5"/>
        <v>4237</v>
      </c>
      <c r="C79" s="88" t="s">
        <v>9</v>
      </c>
      <c r="D79" s="89">
        <v>8926</v>
      </c>
      <c r="E79" s="103">
        <v>43731</v>
      </c>
      <c r="F79" s="96">
        <v>8926</v>
      </c>
      <c r="G79" s="93">
        <f t="shared" si="1"/>
        <v>0</v>
      </c>
      <c r="H79" s="2"/>
      <c r="K79" s="20"/>
      <c r="L79" s="58"/>
      <c r="M79" s="59"/>
      <c r="N79" s="25"/>
      <c r="O79" s="24"/>
      <c r="P79" s="25"/>
      <c r="Q79" s="60"/>
    </row>
    <row r="80" spans="1:17" ht="15.75" x14ac:dyDescent="0.25">
      <c r="A80" s="86">
        <v>43731</v>
      </c>
      <c r="B80" s="87">
        <f t="shared" si="5"/>
        <v>4238</v>
      </c>
      <c r="C80" s="88" t="s">
        <v>8</v>
      </c>
      <c r="D80" s="89">
        <v>6484.8</v>
      </c>
      <c r="E80" s="103">
        <v>43732</v>
      </c>
      <c r="F80" s="96">
        <v>6484.8</v>
      </c>
      <c r="G80" s="93">
        <f t="shared" si="1"/>
        <v>0</v>
      </c>
      <c r="H80" s="2"/>
      <c r="K80" s="20"/>
      <c r="L80" s="58"/>
      <c r="M80" s="59"/>
      <c r="N80" s="25"/>
      <c r="O80" s="24"/>
      <c r="P80" s="25"/>
      <c r="Q80" s="60"/>
    </row>
    <row r="81" spans="1:17" ht="15.75" x14ac:dyDescent="0.25">
      <c r="A81" s="86">
        <v>43731</v>
      </c>
      <c r="B81" s="87">
        <f t="shared" si="5"/>
        <v>4239</v>
      </c>
      <c r="C81" s="88" t="s">
        <v>10</v>
      </c>
      <c r="D81" s="89">
        <v>3067.2</v>
      </c>
      <c r="E81" s="103">
        <v>43732</v>
      </c>
      <c r="F81" s="96">
        <v>3067.2</v>
      </c>
      <c r="G81" s="93">
        <f t="shared" si="1"/>
        <v>0</v>
      </c>
      <c r="H81" s="2"/>
      <c r="K81" s="20"/>
      <c r="L81" s="58"/>
      <c r="M81" s="59"/>
      <c r="N81" s="25"/>
      <c r="O81" s="24"/>
      <c r="P81" s="25"/>
      <c r="Q81" s="60"/>
    </row>
    <row r="82" spans="1:17" ht="15.75" x14ac:dyDescent="0.25">
      <c r="A82" s="86">
        <v>43731</v>
      </c>
      <c r="B82" s="87">
        <f t="shared" si="5"/>
        <v>4240</v>
      </c>
      <c r="C82" s="88" t="s">
        <v>12</v>
      </c>
      <c r="D82" s="89">
        <v>1857.4</v>
      </c>
      <c r="E82" s="103">
        <v>43735</v>
      </c>
      <c r="F82" s="96">
        <v>1857.4</v>
      </c>
      <c r="G82" s="93">
        <f t="shared" si="1"/>
        <v>0</v>
      </c>
      <c r="H82" s="2"/>
      <c r="K82" s="20"/>
      <c r="L82" s="58"/>
      <c r="M82" s="59"/>
      <c r="N82" s="25"/>
      <c r="O82" s="24"/>
      <c r="P82" s="25"/>
      <c r="Q82" s="60"/>
    </row>
    <row r="83" spans="1:17" ht="15.75" x14ac:dyDescent="0.25">
      <c r="A83" s="86">
        <v>43731</v>
      </c>
      <c r="B83" s="87">
        <f t="shared" si="5"/>
        <v>4241</v>
      </c>
      <c r="C83" s="88" t="s">
        <v>11</v>
      </c>
      <c r="D83" s="89">
        <v>12376.08</v>
      </c>
      <c r="E83" s="112" t="s">
        <v>168</v>
      </c>
      <c r="F83" s="68">
        <f>6000+6376.08</f>
        <v>12376.08</v>
      </c>
      <c r="G83" s="93">
        <f t="shared" si="1"/>
        <v>0</v>
      </c>
      <c r="H83" s="2"/>
      <c r="K83" s="20"/>
      <c r="L83" s="58"/>
      <c r="M83" s="59"/>
      <c r="N83" s="25"/>
      <c r="O83" s="24"/>
      <c r="P83" s="25"/>
      <c r="Q83" s="60"/>
    </row>
    <row r="84" spans="1:17" ht="15.75" x14ac:dyDescent="0.25">
      <c r="A84" s="86">
        <v>43732</v>
      </c>
      <c r="B84" s="87">
        <f t="shared" si="5"/>
        <v>4242</v>
      </c>
      <c r="C84" s="88" t="s">
        <v>10</v>
      </c>
      <c r="D84" s="89">
        <v>1735.2</v>
      </c>
      <c r="E84" s="103">
        <v>43733</v>
      </c>
      <c r="F84" s="96">
        <v>1735.2</v>
      </c>
      <c r="G84" s="93">
        <f t="shared" si="1"/>
        <v>0</v>
      </c>
      <c r="H84" s="2"/>
      <c r="K84" s="20"/>
      <c r="L84" s="58"/>
      <c r="M84" s="59"/>
      <c r="N84" s="25"/>
      <c r="O84" s="24"/>
      <c r="P84" s="25"/>
      <c r="Q84" s="60"/>
    </row>
    <row r="85" spans="1:17" ht="30" x14ac:dyDescent="0.25">
      <c r="A85" s="86">
        <v>43732</v>
      </c>
      <c r="B85" s="87">
        <f t="shared" si="5"/>
        <v>4243</v>
      </c>
      <c r="C85" s="88" t="s">
        <v>13</v>
      </c>
      <c r="D85" s="89">
        <v>10191.799999999999</v>
      </c>
      <c r="E85" s="103" t="s">
        <v>158</v>
      </c>
      <c r="F85" s="96">
        <f>8358+1833.8</f>
        <v>10191.799999999999</v>
      </c>
      <c r="G85" s="93">
        <f t="shared" si="1"/>
        <v>0</v>
      </c>
      <c r="H85" s="2"/>
      <c r="K85" s="20"/>
      <c r="L85" s="58"/>
      <c r="M85" s="59"/>
      <c r="N85" s="25"/>
      <c r="O85" s="24"/>
      <c r="P85" s="25"/>
      <c r="Q85" s="60"/>
    </row>
    <row r="86" spans="1:17" ht="15.75" x14ac:dyDescent="0.25">
      <c r="A86" s="86">
        <v>43732</v>
      </c>
      <c r="B86" s="87">
        <f t="shared" si="5"/>
        <v>4244</v>
      </c>
      <c r="C86" s="104" t="s">
        <v>12</v>
      </c>
      <c r="D86" s="118">
        <v>862.1</v>
      </c>
      <c r="E86" s="103">
        <v>43735</v>
      </c>
      <c r="F86" s="96">
        <v>862.1</v>
      </c>
      <c r="G86" s="93">
        <f t="shared" si="1"/>
        <v>0</v>
      </c>
      <c r="H86" s="2"/>
      <c r="K86" s="20"/>
      <c r="L86" s="58"/>
      <c r="M86" s="59"/>
      <c r="N86" s="25"/>
      <c r="O86" s="24"/>
      <c r="P86" s="25"/>
      <c r="Q86" s="60"/>
    </row>
    <row r="87" spans="1:17" ht="15.75" x14ac:dyDescent="0.25">
      <c r="A87" s="86">
        <v>43733</v>
      </c>
      <c r="B87" s="87">
        <f t="shared" si="5"/>
        <v>4245</v>
      </c>
      <c r="C87" s="88" t="s">
        <v>8</v>
      </c>
      <c r="D87" s="89">
        <v>4508</v>
      </c>
      <c r="E87" s="103">
        <v>43735</v>
      </c>
      <c r="F87" s="96">
        <v>4508</v>
      </c>
      <c r="G87" s="93">
        <f t="shared" si="1"/>
        <v>0</v>
      </c>
      <c r="H87" s="2"/>
      <c r="K87" s="20"/>
      <c r="L87" s="58"/>
      <c r="M87" s="59"/>
      <c r="N87" s="25"/>
      <c r="O87" s="24"/>
      <c r="P87" s="25"/>
      <c r="Q87" s="60"/>
    </row>
    <row r="88" spans="1:17" ht="15.75" x14ac:dyDescent="0.25">
      <c r="A88" s="86">
        <v>43733</v>
      </c>
      <c r="B88" s="87">
        <f t="shared" si="5"/>
        <v>4246</v>
      </c>
      <c r="C88" s="88" t="s">
        <v>10</v>
      </c>
      <c r="D88" s="89">
        <v>3276</v>
      </c>
      <c r="E88" s="103">
        <v>43734</v>
      </c>
      <c r="F88" s="96">
        <v>3276</v>
      </c>
      <c r="G88" s="93">
        <f t="shared" si="1"/>
        <v>0</v>
      </c>
      <c r="H88" s="2"/>
      <c r="K88" s="20"/>
      <c r="L88" s="58"/>
      <c r="M88" s="59"/>
      <c r="N88" s="25"/>
      <c r="O88" s="24"/>
      <c r="P88" s="25"/>
      <c r="Q88" s="60"/>
    </row>
    <row r="89" spans="1:17" ht="15.75" x14ac:dyDescent="0.25">
      <c r="A89" s="86">
        <v>43733</v>
      </c>
      <c r="B89" s="87">
        <f t="shared" si="5"/>
        <v>4247</v>
      </c>
      <c r="C89" s="88" t="s">
        <v>12</v>
      </c>
      <c r="D89" s="89">
        <v>2634.4</v>
      </c>
      <c r="E89" s="103">
        <v>43736</v>
      </c>
      <c r="F89" s="96">
        <v>2634.4</v>
      </c>
      <c r="G89" s="93">
        <f t="shared" si="1"/>
        <v>0</v>
      </c>
      <c r="H89" s="2"/>
      <c r="K89" s="20"/>
      <c r="L89" s="58"/>
      <c r="M89" s="59"/>
      <c r="N89" s="25"/>
      <c r="O89" s="24"/>
      <c r="P89" s="25"/>
      <c r="Q89" s="60"/>
    </row>
    <row r="90" spans="1:17" ht="15.75" x14ac:dyDescent="0.25">
      <c r="A90" s="86">
        <v>43734</v>
      </c>
      <c r="B90" s="87">
        <f t="shared" si="5"/>
        <v>4248</v>
      </c>
      <c r="C90" s="88" t="s">
        <v>8</v>
      </c>
      <c r="D90" s="89">
        <v>10262</v>
      </c>
      <c r="E90" s="103">
        <v>43735</v>
      </c>
      <c r="F90" s="96">
        <v>10262</v>
      </c>
      <c r="G90" s="93">
        <f t="shared" si="1"/>
        <v>0</v>
      </c>
      <c r="H90" s="2"/>
      <c r="K90" s="20"/>
      <c r="L90" s="58"/>
      <c r="M90" s="59"/>
      <c r="N90" s="25"/>
      <c r="O90" s="24"/>
      <c r="P90" s="25"/>
      <c r="Q90" s="60"/>
    </row>
    <row r="91" spans="1:17" ht="15.75" x14ac:dyDescent="0.25">
      <c r="A91" s="86">
        <v>43734</v>
      </c>
      <c r="B91" s="87">
        <f t="shared" si="5"/>
        <v>4249</v>
      </c>
      <c r="C91" s="88" t="s">
        <v>18</v>
      </c>
      <c r="D91" s="89">
        <v>5623.2</v>
      </c>
      <c r="E91" s="103">
        <v>43736</v>
      </c>
      <c r="F91" s="96">
        <v>5623.2</v>
      </c>
      <c r="G91" s="93">
        <f t="shared" si="1"/>
        <v>0</v>
      </c>
      <c r="H91" s="2"/>
      <c r="K91" s="20"/>
      <c r="L91" s="58"/>
      <c r="M91" s="59"/>
      <c r="N91" s="25"/>
      <c r="O91" s="24"/>
      <c r="P91" s="25"/>
      <c r="Q91" s="60"/>
    </row>
    <row r="92" spans="1:17" ht="15.75" x14ac:dyDescent="0.25">
      <c r="A92" s="86">
        <v>43734</v>
      </c>
      <c r="B92" s="87">
        <f t="shared" si="5"/>
        <v>4250</v>
      </c>
      <c r="C92" s="88" t="s">
        <v>12</v>
      </c>
      <c r="D92" s="89">
        <v>2545.6</v>
      </c>
      <c r="E92" s="103">
        <v>43736</v>
      </c>
      <c r="F92" s="96">
        <v>2545.6</v>
      </c>
      <c r="G92" s="93">
        <f t="shared" si="1"/>
        <v>0</v>
      </c>
      <c r="H92" s="2"/>
      <c r="K92" s="20"/>
      <c r="L92" s="58"/>
      <c r="M92" s="59"/>
      <c r="N92" s="25"/>
      <c r="O92" s="24"/>
      <c r="P92" s="25"/>
      <c r="Q92" s="60"/>
    </row>
    <row r="93" spans="1:17" ht="15.75" x14ac:dyDescent="0.25">
      <c r="A93" s="86">
        <v>43734</v>
      </c>
      <c r="B93" s="87">
        <f t="shared" si="5"/>
        <v>4251</v>
      </c>
      <c r="C93" s="88" t="s">
        <v>10</v>
      </c>
      <c r="D93" s="89">
        <v>2620.8000000000002</v>
      </c>
      <c r="E93" s="103">
        <v>43736</v>
      </c>
      <c r="F93" s="96">
        <v>2620.8000000000002</v>
      </c>
      <c r="G93" s="93">
        <f t="shared" si="1"/>
        <v>0</v>
      </c>
      <c r="H93" s="2"/>
      <c r="K93" s="20"/>
      <c r="L93" s="58"/>
      <c r="M93" s="59"/>
      <c r="N93" s="25"/>
      <c r="O93" s="24"/>
      <c r="P93" s="25"/>
      <c r="Q93" s="60"/>
    </row>
    <row r="94" spans="1:17" ht="15.75" x14ac:dyDescent="0.25">
      <c r="A94" s="86">
        <v>43734</v>
      </c>
      <c r="B94" s="87">
        <f t="shared" si="5"/>
        <v>4252</v>
      </c>
      <c r="C94" s="88" t="s">
        <v>8</v>
      </c>
      <c r="D94" s="89">
        <v>1642.6</v>
      </c>
      <c r="E94" s="103">
        <v>43737</v>
      </c>
      <c r="F94" s="96">
        <v>1642.6</v>
      </c>
      <c r="G94" s="93">
        <f t="shared" si="1"/>
        <v>0</v>
      </c>
      <c r="H94" s="2"/>
      <c r="K94" s="20"/>
      <c r="L94" s="58"/>
      <c r="M94" s="59"/>
      <c r="N94" s="25"/>
      <c r="O94" s="24"/>
      <c r="P94" s="25"/>
      <c r="Q94" s="60"/>
    </row>
    <row r="95" spans="1:17" ht="15.75" x14ac:dyDescent="0.25">
      <c r="A95" s="86">
        <v>43735</v>
      </c>
      <c r="B95" s="87">
        <f t="shared" si="5"/>
        <v>4253</v>
      </c>
      <c r="C95" s="88" t="s">
        <v>157</v>
      </c>
      <c r="D95" s="89">
        <v>975.5</v>
      </c>
      <c r="E95" s="103">
        <v>43735</v>
      </c>
      <c r="F95" s="96">
        <v>975.5</v>
      </c>
      <c r="G95" s="93">
        <f t="shared" si="1"/>
        <v>0</v>
      </c>
      <c r="H95" s="2"/>
      <c r="K95" s="20"/>
      <c r="L95" s="58"/>
      <c r="M95" s="59"/>
      <c r="N95" s="25"/>
      <c r="O95" s="24"/>
      <c r="P95" s="25"/>
      <c r="Q95" s="60"/>
    </row>
    <row r="96" spans="1:17" ht="15.75" x14ac:dyDescent="0.25">
      <c r="A96" s="86">
        <v>43735</v>
      </c>
      <c r="B96" s="87">
        <f t="shared" si="5"/>
        <v>4254</v>
      </c>
      <c r="C96" s="88" t="s">
        <v>12</v>
      </c>
      <c r="D96" s="89">
        <v>3611.2</v>
      </c>
      <c r="E96" s="112">
        <v>43741</v>
      </c>
      <c r="F96" s="68">
        <v>3611.2</v>
      </c>
      <c r="G96" s="93">
        <f t="shared" si="1"/>
        <v>0</v>
      </c>
      <c r="H96" s="2"/>
      <c r="K96" s="20"/>
      <c r="L96" s="58"/>
      <c r="M96" s="59"/>
      <c r="N96" s="25"/>
      <c r="O96" s="24"/>
      <c r="P96" s="25"/>
      <c r="Q96" s="60"/>
    </row>
    <row r="97" spans="1:17" ht="15.75" x14ac:dyDescent="0.25">
      <c r="A97" s="86">
        <v>43735</v>
      </c>
      <c r="B97" s="87">
        <f t="shared" si="5"/>
        <v>4255</v>
      </c>
      <c r="C97" s="88" t="s">
        <v>8</v>
      </c>
      <c r="D97" s="89">
        <v>9513</v>
      </c>
      <c r="E97" s="103">
        <v>43736</v>
      </c>
      <c r="F97" s="96">
        <v>9513</v>
      </c>
      <c r="G97" s="93">
        <f t="shared" si="1"/>
        <v>0</v>
      </c>
      <c r="H97" s="2"/>
      <c r="K97" s="20"/>
      <c r="L97" s="58"/>
      <c r="M97" s="59"/>
      <c r="N97" s="25"/>
      <c r="O97" s="24"/>
      <c r="P97" s="25"/>
      <c r="Q97" s="60"/>
    </row>
    <row r="98" spans="1:17" ht="15.75" x14ac:dyDescent="0.25">
      <c r="A98" s="86">
        <v>43735</v>
      </c>
      <c r="B98" s="87">
        <f t="shared" si="5"/>
        <v>4256</v>
      </c>
      <c r="C98" s="88" t="s">
        <v>8</v>
      </c>
      <c r="D98" s="89">
        <v>3556.8</v>
      </c>
      <c r="E98" s="103">
        <v>43737</v>
      </c>
      <c r="F98" s="96">
        <v>3556.8</v>
      </c>
      <c r="G98" s="93">
        <f t="shared" si="1"/>
        <v>0</v>
      </c>
      <c r="H98" s="2"/>
      <c r="K98" s="20"/>
      <c r="L98" s="58"/>
      <c r="M98" s="59"/>
      <c r="N98" s="25"/>
      <c r="O98" s="24"/>
      <c r="P98" s="25"/>
      <c r="Q98" s="60"/>
    </row>
    <row r="99" spans="1:17" ht="15.75" x14ac:dyDescent="0.25">
      <c r="A99" s="86">
        <v>43735</v>
      </c>
      <c r="B99" s="87">
        <f t="shared" si="5"/>
        <v>4257</v>
      </c>
      <c r="C99" s="88" t="s">
        <v>10</v>
      </c>
      <c r="D99" s="89">
        <v>2728.8</v>
      </c>
      <c r="E99" s="103">
        <v>43736</v>
      </c>
      <c r="F99" s="96">
        <v>2728.8</v>
      </c>
      <c r="G99" s="93">
        <f t="shared" si="1"/>
        <v>0</v>
      </c>
      <c r="H99" s="2"/>
      <c r="K99" s="20"/>
      <c r="L99" s="58"/>
      <c r="M99" s="59"/>
      <c r="N99" s="25"/>
      <c r="O99" s="24"/>
      <c r="P99" s="25"/>
      <c r="Q99" s="60"/>
    </row>
    <row r="100" spans="1:17" ht="15.75" x14ac:dyDescent="0.25">
      <c r="A100" s="86">
        <v>43736</v>
      </c>
      <c r="B100" s="87">
        <f t="shared" si="5"/>
        <v>4258</v>
      </c>
      <c r="C100" s="88" t="s">
        <v>7</v>
      </c>
      <c r="D100" s="89">
        <v>6472.8</v>
      </c>
      <c r="E100" s="103">
        <v>43736</v>
      </c>
      <c r="F100" s="96">
        <v>6472.8</v>
      </c>
      <c r="G100" s="93">
        <f t="shared" si="1"/>
        <v>0</v>
      </c>
      <c r="H100" s="2"/>
      <c r="K100" s="20"/>
      <c r="L100" s="58"/>
      <c r="M100" s="59"/>
      <c r="N100" s="25"/>
      <c r="O100" s="24"/>
      <c r="P100" s="25"/>
      <c r="Q100" s="60"/>
    </row>
    <row r="101" spans="1:17" ht="15.75" x14ac:dyDescent="0.25">
      <c r="A101" s="86">
        <v>43736</v>
      </c>
      <c r="B101" s="87">
        <f t="shared" si="5"/>
        <v>4259</v>
      </c>
      <c r="C101" s="88" t="s">
        <v>8</v>
      </c>
      <c r="D101" s="89">
        <v>11179</v>
      </c>
      <c r="E101" s="103">
        <v>43737</v>
      </c>
      <c r="F101" s="96">
        <v>11179</v>
      </c>
      <c r="G101" s="93">
        <f t="shared" si="1"/>
        <v>0</v>
      </c>
      <c r="H101" s="2"/>
      <c r="K101" s="20"/>
      <c r="L101" s="58"/>
      <c r="M101" s="59"/>
      <c r="N101" s="25"/>
      <c r="O101" s="24"/>
      <c r="P101" s="25"/>
      <c r="Q101" s="60"/>
    </row>
    <row r="102" spans="1:17" ht="30" x14ac:dyDescent="0.25">
      <c r="A102" s="86">
        <v>43736</v>
      </c>
      <c r="B102" s="87">
        <f t="shared" si="5"/>
        <v>4260</v>
      </c>
      <c r="C102" s="88" t="s">
        <v>9</v>
      </c>
      <c r="D102" s="89">
        <v>36019.4</v>
      </c>
      <c r="E102" s="112" t="s">
        <v>172</v>
      </c>
      <c r="F102" s="68">
        <f>27320+699.4+8000</f>
        <v>36019.4</v>
      </c>
      <c r="G102" s="93">
        <f t="shared" si="1"/>
        <v>0</v>
      </c>
      <c r="H102" s="2"/>
      <c r="K102" s="20"/>
      <c r="L102" s="58"/>
      <c r="M102" s="59"/>
      <c r="N102" s="25"/>
      <c r="O102" s="24"/>
      <c r="P102" s="25"/>
      <c r="Q102" s="60"/>
    </row>
    <row r="103" spans="1:17" ht="30" x14ac:dyDescent="0.25">
      <c r="A103" s="86">
        <v>43736</v>
      </c>
      <c r="B103" s="87">
        <f t="shared" si="5"/>
        <v>4261</v>
      </c>
      <c r="C103" s="88" t="s">
        <v>12</v>
      </c>
      <c r="D103" s="89">
        <v>3818.4</v>
      </c>
      <c r="E103" s="112" t="s">
        <v>163</v>
      </c>
      <c r="F103" s="68">
        <f>1389+2429.4</f>
        <v>3818.4</v>
      </c>
      <c r="G103" s="93">
        <f t="shared" si="1"/>
        <v>0</v>
      </c>
      <c r="H103" s="2"/>
      <c r="K103" s="20"/>
      <c r="L103" s="58"/>
      <c r="M103" s="59"/>
      <c r="N103" s="25"/>
      <c r="O103" s="24"/>
      <c r="P103" s="25"/>
      <c r="Q103" s="60"/>
    </row>
    <row r="104" spans="1:17" ht="30" x14ac:dyDescent="0.25">
      <c r="A104" s="86">
        <v>43736</v>
      </c>
      <c r="B104" s="87">
        <f t="shared" si="5"/>
        <v>4262</v>
      </c>
      <c r="C104" s="104" t="s">
        <v>13</v>
      </c>
      <c r="D104" s="118">
        <v>10173.6</v>
      </c>
      <c r="E104" s="112" t="s">
        <v>164</v>
      </c>
      <c r="F104" s="68">
        <f>3166+6707.6+300</f>
        <v>10173.6</v>
      </c>
      <c r="G104" s="93">
        <f t="shared" si="1"/>
        <v>0</v>
      </c>
      <c r="H104" s="2"/>
      <c r="K104" s="20"/>
      <c r="L104" s="58"/>
      <c r="M104" s="59"/>
      <c r="N104" s="25"/>
      <c r="O104" s="24"/>
      <c r="P104" s="25"/>
      <c r="Q104" s="60"/>
    </row>
    <row r="105" spans="1:17" ht="15.75" x14ac:dyDescent="0.25">
      <c r="A105" s="86">
        <v>43736</v>
      </c>
      <c r="B105" s="87">
        <f t="shared" si="5"/>
        <v>4263</v>
      </c>
      <c r="C105" s="88" t="s">
        <v>10</v>
      </c>
      <c r="D105" s="89">
        <v>3542.4</v>
      </c>
      <c r="E105" s="103">
        <v>43737</v>
      </c>
      <c r="F105" s="96">
        <v>3542.4</v>
      </c>
      <c r="G105" s="93">
        <f t="shared" si="1"/>
        <v>0</v>
      </c>
      <c r="H105" s="2"/>
      <c r="K105" s="20"/>
      <c r="L105" s="58"/>
      <c r="M105" s="59"/>
      <c r="N105" s="25"/>
      <c r="O105" s="24"/>
      <c r="P105" s="25"/>
      <c r="Q105" s="60"/>
    </row>
    <row r="106" spans="1:17" ht="15.75" x14ac:dyDescent="0.25">
      <c r="A106" s="86">
        <v>43737</v>
      </c>
      <c r="B106" s="87">
        <f t="shared" si="5"/>
        <v>4264</v>
      </c>
      <c r="C106" s="88" t="s">
        <v>8</v>
      </c>
      <c r="D106" s="89">
        <v>9786</v>
      </c>
      <c r="E106" s="103">
        <v>43738</v>
      </c>
      <c r="F106" s="96">
        <v>9786</v>
      </c>
      <c r="G106" s="93">
        <f t="shared" si="1"/>
        <v>0</v>
      </c>
      <c r="H106" s="2"/>
      <c r="K106" s="20"/>
      <c r="L106" s="58"/>
      <c r="M106" s="59"/>
      <c r="N106" s="25"/>
      <c r="O106" s="24"/>
      <c r="P106" s="25"/>
      <c r="Q106" s="60"/>
    </row>
    <row r="107" spans="1:17" ht="15.75" x14ac:dyDescent="0.25">
      <c r="A107" s="86">
        <v>43737</v>
      </c>
      <c r="B107" s="87">
        <f t="shared" si="5"/>
        <v>4265</v>
      </c>
      <c r="C107" s="88" t="s">
        <v>10</v>
      </c>
      <c r="D107" s="89">
        <v>2318.4</v>
      </c>
      <c r="E107" s="103">
        <v>43738</v>
      </c>
      <c r="F107" s="96">
        <v>2318.4</v>
      </c>
      <c r="G107" s="93">
        <f t="shared" si="1"/>
        <v>0</v>
      </c>
      <c r="H107" s="2"/>
      <c r="K107" s="20"/>
      <c r="L107" s="58"/>
      <c r="M107" s="59"/>
      <c r="N107" s="25"/>
      <c r="O107" s="24"/>
      <c r="P107" s="25"/>
      <c r="Q107" s="60"/>
    </row>
    <row r="108" spans="1:17" ht="15.75" x14ac:dyDescent="0.25">
      <c r="A108" s="86">
        <v>43737</v>
      </c>
      <c r="B108" s="87">
        <f t="shared" si="5"/>
        <v>4266</v>
      </c>
      <c r="C108" s="88" t="s">
        <v>8</v>
      </c>
      <c r="D108" s="89">
        <v>8379</v>
      </c>
      <c r="E108" s="103">
        <v>43738</v>
      </c>
      <c r="F108" s="96">
        <v>8379</v>
      </c>
      <c r="G108" s="93">
        <f t="shared" si="1"/>
        <v>0</v>
      </c>
      <c r="H108" s="2"/>
      <c r="K108" s="20"/>
      <c r="L108" s="58"/>
      <c r="M108" s="59"/>
      <c r="N108" s="25"/>
      <c r="O108" s="24"/>
      <c r="P108" s="25"/>
      <c r="Q108" s="60"/>
    </row>
    <row r="109" spans="1:17" ht="15.75" x14ac:dyDescent="0.25">
      <c r="A109" s="86">
        <v>43738</v>
      </c>
      <c r="B109" s="87">
        <f t="shared" si="5"/>
        <v>4267</v>
      </c>
      <c r="C109" s="88" t="s">
        <v>8</v>
      </c>
      <c r="D109" s="89">
        <v>6594</v>
      </c>
      <c r="E109" s="103">
        <v>43740</v>
      </c>
      <c r="F109" s="96">
        <v>6594</v>
      </c>
      <c r="G109" s="93">
        <f t="shared" si="1"/>
        <v>0</v>
      </c>
      <c r="H109" s="2"/>
      <c r="K109" s="20"/>
      <c r="L109" s="58"/>
      <c r="M109" s="59"/>
      <c r="N109" s="25"/>
      <c r="O109" s="24"/>
      <c r="P109" s="25"/>
      <c r="Q109" s="60"/>
    </row>
    <row r="110" spans="1:17" ht="15.75" x14ac:dyDescent="0.25">
      <c r="A110" s="86">
        <v>43738</v>
      </c>
      <c r="B110" s="87">
        <f t="shared" si="5"/>
        <v>4268</v>
      </c>
      <c r="C110" s="88" t="s">
        <v>10</v>
      </c>
      <c r="D110" s="89">
        <v>3384</v>
      </c>
      <c r="E110" s="103">
        <v>43739</v>
      </c>
      <c r="F110" s="96">
        <v>3384</v>
      </c>
      <c r="G110" s="93">
        <f t="shared" si="1"/>
        <v>0</v>
      </c>
      <c r="H110" s="2"/>
      <c r="K110" s="20"/>
      <c r="L110" s="58"/>
      <c r="M110" s="59"/>
      <c r="N110" s="25"/>
      <c r="O110" s="24"/>
      <c r="P110" s="25"/>
      <c r="Q110" s="60"/>
    </row>
    <row r="111" spans="1:17" ht="15.75" x14ac:dyDescent="0.25">
      <c r="A111" s="86">
        <v>43739</v>
      </c>
      <c r="B111" s="87">
        <f t="shared" si="5"/>
        <v>4269</v>
      </c>
      <c r="C111" s="88" t="s">
        <v>13</v>
      </c>
      <c r="D111" s="89">
        <v>8647.2000000000007</v>
      </c>
      <c r="E111" s="112">
        <v>43742</v>
      </c>
      <c r="F111" s="68">
        <v>8647.2000000000007</v>
      </c>
      <c r="G111" s="93">
        <f t="shared" si="1"/>
        <v>0</v>
      </c>
      <c r="H111" s="2"/>
      <c r="K111" s="20"/>
      <c r="L111" s="58"/>
      <c r="M111" s="59"/>
      <c r="N111" s="25"/>
      <c r="O111" s="24"/>
      <c r="P111" s="25"/>
      <c r="Q111" s="60"/>
    </row>
    <row r="112" spans="1:17" ht="21" customHeight="1" x14ac:dyDescent="0.25">
      <c r="A112" s="86">
        <v>43740</v>
      </c>
      <c r="B112" s="87">
        <f t="shared" si="5"/>
        <v>4270</v>
      </c>
      <c r="C112" s="88" t="s">
        <v>10</v>
      </c>
      <c r="D112" s="89">
        <v>2188.8000000000002</v>
      </c>
      <c r="E112" s="112">
        <v>43741</v>
      </c>
      <c r="F112" s="68">
        <v>2188.8000000000002</v>
      </c>
      <c r="G112" s="93">
        <f t="shared" si="1"/>
        <v>0</v>
      </c>
      <c r="H112" s="2"/>
      <c r="K112" s="20"/>
      <c r="L112" s="58"/>
      <c r="M112" s="59"/>
      <c r="N112" s="25"/>
      <c r="O112" s="24"/>
      <c r="P112" s="25"/>
      <c r="Q112" s="60"/>
    </row>
    <row r="113" spans="1:17" ht="15.75" x14ac:dyDescent="0.25">
      <c r="A113" s="86"/>
      <c r="B113" s="87"/>
      <c r="C113" s="88"/>
      <c r="D113" s="89"/>
      <c r="E113" s="103"/>
      <c r="F113" s="96"/>
      <c r="G113" s="93">
        <f t="shared" si="1"/>
        <v>0</v>
      </c>
      <c r="H113" s="2"/>
      <c r="K113" s="20"/>
      <c r="L113" s="58"/>
      <c r="M113" s="59"/>
      <c r="N113" s="25"/>
      <c r="O113" s="24"/>
      <c r="P113" s="25"/>
      <c r="Q113" s="60"/>
    </row>
    <row r="114" spans="1:17" ht="15.75" thickBot="1" x14ac:dyDescent="0.3">
      <c r="A114" s="43"/>
      <c r="B114" s="44"/>
      <c r="C114" s="45"/>
      <c r="D114" s="46"/>
      <c r="E114" s="109"/>
      <c r="F114" s="46"/>
      <c r="G114" s="93">
        <f t="shared" si="1"/>
        <v>0</v>
      </c>
      <c r="H114" s="2"/>
    </row>
    <row r="115" spans="1:17" ht="16.5" thickTop="1" x14ac:dyDescent="0.25">
      <c r="A115" s="49"/>
      <c r="B115" s="50"/>
      <c r="C115" s="2"/>
      <c r="D115" s="51">
        <f>SUM(D4:D114)</f>
        <v>791813.69</v>
      </c>
      <c r="E115" s="110"/>
      <c r="F115" s="51">
        <f>SUM(F4:F114)</f>
        <v>791813.69</v>
      </c>
      <c r="G115" s="125"/>
      <c r="H115" s="2"/>
    </row>
    <row r="116" spans="1:17" x14ac:dyDescent="0.25">
      <c r="A116" s="49"/>
      <c r="B116" s="50"/>
      <c r="C116" s="2"/>
      <c r="D116" s="53"/>
      <c r="E116" s="110"/>
      <c r="F116" s="53"/>
      <c r="G116" s="125"/>
      <c r="H116" s="2"/>
    </row>
    <row r="117" spans="1:17" ht="30" x14ac:dyDescent="0.25">
      <c r="A117" s="49"/>
      <c r="B117" s="50"/>
      <c r="C117" s="2"/>
      <c r="D117" s="56" t="s">
        <v>15</v>
      </c>
      <c r="E117" s="110"/>
      <c r="F117" s="57" t="s">
        <v>16</v>
      </c>
      <c r="G117" s="125"/>
      <c r="H117" s="2"/>
    </row>
    <row r="118" spans="1:17" ht="15.75" thickBot="1" x14ac:dyDescent="0.3">
      <c r="A118" s="49"/>
      <c r="B118" s="50"/>
      <c r="C118" s="2"/>
      <c r="D118" s="56"/>
      <c r="E118" s="110"/>
      <c r="F118" s="57"/>
      <c r="G118" s="125"/>
      <c r="H118" s="2"/>
    </row>
    <row r="119" spans="1:17" ht="21.75" thickBot="1" x14ac:dyDescent="0.4">
      <c r="A119" s="49"/>
      <c r="B119" s="50"/>
      <c r="C119" s="2"/>
      <c r="D119" s="126">
        <f>D115-F115</f>
        <v>0</v>
      </c>
      <c r="E119" s="127"/>
      <c r="F119" s="128"/>
      <c r="H119" s="2"/>
    </row>
    <row r="120" spans="1:17" x14ac:dyDescent="0.25">
      <c r="A120" s="49"/>
      <c r="B120" s="50"/>
      <c r="C120" s="2"/>
      <c r="D120" s="53"/>
      <c r="E120" s="110"/>
      <c r="F120" s="53"/>
      <c r="H120" s="2"/>
      <c r="K120" s="49"/>
      <c r="L120" s="50"/>
      <c r="M120" s="2"/>
      <c r="N120" s="53"/>
      <c r="O120" s="52"/>
      <c r="P120" s="53"/>
    </row>
    <row r="121" spans="1:17" ht="18.75" x14ac:dyDescent="0.3">
      <c r="A121" s="49"/>
      <c r="B121" s="50"/>
      <c r="C121" s="2"/>
      <c r="D121" s="129" t="s">
        <v>17</v>
      </c>
      <c r="E121" s="129"/>
      <c r="F121" s="129"/>
      <c r="H121" s="2"/>
      <c r="K121" s="49"/>
      <c r="L121" s="50"/>
      <c r="M121" s="2"/>
    </row>
    <row r="122" spans="1:17" x14ac:dyDescent="0.25">
      <c r="A122" s="49"/>
      <c r="B122" s="50"/>
      <c r="C122" s="2"/>
      <c r="D122" s="53"/>
      <c r="E122" s="110"/>
      <c r="F122" s="53"/>
      <c r="H122" s="2"/>
      <c r="K122" s="49"/>
      <c r="L122" s="50"/>
      <c r="M122" s="2"/>
      <c r="N122" s="53"/>
      <c r="O122" s="52"/>
      <c r="P122" s="53"/>
    </row>
    <row r="123" spans="1:17" x14ac:dyDescent="0.25">
      <c r="A123" s="49"/>
      <c r="B123" s="50"/>
      <c r="C123" s="2"/>
      <c r="D123" s="53"/>
      <c r="E123" s="110"/>
      <c r="F123" s="53"/>
      <c r="H123" s="2"/>
      <c r="K123" s="49"/>
      <c r="L123" s="50"/>
      <c r="M123" s="2"/>
      <c r="N123" s="53"/>
      <c r="O123" s="52"/>
      <c r="P123" s="53"/>
    </row>
    <row r="124" spans="1:17" x14ac:dyDescent="0.25">
      <c r="A124" s="49"/>
      <c r="B124" s="50"/>
      <c r="C124" s="2"/>
      <c r="D124" s="53"/>
      <c r="E124" s="110"/>
      <c r="F124" s="53"/>
      <c r="H124" s="2"/>
      <c r="K124" s="49"/>
      <c r="L124" s="50"/>
      <c r="M124" s="2"/>
      <c r="N124" s="53"/>
      <c r="O124" s="52"/>
      <c r="P124" s="53"/>
    </row>
    <row r="125" spans="1:17" x14ac:dyDescent="0.25">
      <c r="A125" s="49"/>
      <c r="B125" s="50"/>
      <c r="C125" s="2"/>
      <c r="D125" s="53"/>
      <c r="E125" s="110"/>
      <c r="F125" s="53"/>
      <c r="H125" s="2"/>
      <c r="K125" s="49"/>
      <c r="L125" s="50"/>
      <c r="M125" s="2"/>
      <c r="N125" s="53"/>
      <c r="O125" s="52"/>
      <c r="P125" s="53"/>
    </row>
    <row r="126" spans="1:17" x14ac:dyDescent="0.25">
      <c r="A126" s="49"/>
      <c r="B126" s="50"/>
      <c r="C126" s="2"/>
      <c r="D126" s="53"/>
      <c r="E126" s="110"/>
      <c r="F126" s="53"/>
      <c r="H126" s="2"/>
      <c r="K126" s="49"/>
      <c r="L126" s="50"/>
      <c r="M126" s="2"/>
      <c r="N126" s="53"/>
      <c r="O126" s="52"/>
      <c r="P126" s="53"/>
    </row>
    <row r="127" spans="1:17" x14ac:dyDescent="0.25">
      <c r="A127" s="49"/>
      <c r="B127" s="50"/>
      <c r="C127" s="2"/>
      <c r="D127" s="53"/>
      <c r="E127" s="110"/>
      <c r="F127" s="53"/>
      <c r="H127" s="2"/>
      <c r="K127" s="49"/>
      <c r="L127" s="50"/>
      <c r="M127" s="2"/>
      <c r="N127" s="53"/>
      <c r="O127" s="52"/>
      <c r="P127" s="53"/>
    </row>
    <row r="128" spans="1:17" x14ac:dyDescent="0.25">
      <c r="A128" s="49"/>
      <c r="B128" s="50"/>
      <c r="C128" s="2"/>
      <c r="D128" s="53"/>
      <c r="E128" s="110"/>
      <c r="F128" s="53"/>
      <c r="H128" s="2"/>
      <c r="K128" s="49"/>
      <c r="L128" s="50"/>
      <c r="M128" s="2"/>
      <c r="N128" s="53"/>
      <c r="O128" s="52"/>
      <c r="P128" s="53"/>
    </row>
    <row r="129" spans="1:16" x14ac:dyDescent="0.25">
      <c r="A129" s="49"/>
      <c r="B129" s="50"/>
      <c r="C129" s="2"/>
      <c r="D129" s="53"/>
      <c r="E129" s="110"/>
      <c r="F129" s="53"/>
      <c r="H129" s="2"/>
      <c r="K129" s="49"/>
      <c r="L129" s="50"/>
      <c r="M129" s="2"/>
      <c r="N129" s="53"/>
      <c r="O129" s="52"/>
      <c r="P129" s="53"/>
    </row>
    <row r="130" spans="1:16" x14ac:dyDescent="0.25">
      <c r="A130" s="49"/>
      <c r="B130" s="50"/>
      <c r="C130" s="2"/>
      <c r="D130" s="53"/>
      <c r="E130" s="110"/>
      <c r="F130" s="53"/>
      <c r="H130" s="2"/>
      <c r="K130" s="49"/>
      <c r="L130" s="50"/>
      <c r="M130" s="2"/>
      <c r="N130" s="53"/>
      <c r="O130" s="52"/>
      <c r="P130" s="53"/>
    </row>
    <row r="131" spans="1:16" x14ac:dyDescent="0.25">
      <c r="A131" s="49"/>
      <c r="B131" s="50"/>
      <c r="C131" s="2"/>
      <c r="D131" s="53"/>
      <c r="E131" s="110"/>
      <c r="F131" s="53"/>
      <c r="H131" s="2"/>
      <c r="K131" s="49"/>
      <c r="L131" s="50"/>
      <c r="M131" s="2"/>
      <c r="N131" s="53"/>
      <c r="O131" s="52"/>
      <c r="P131" s="53"/>
    </row>
    <row r="132" spans="1:16" x14ac:dyDescent="0.25">
      <c r="A132" s="49"/>
      <c r="B132" s="50"/>
      <c r="C132" s="2"/>
      <c r="D132" s="53"/>
      <c r="E132" s="110"/>
      <c r="F132" s="53"/>
      <c r="H132" s="2"/>
      <c r="K132" s="49"/>
      <c r="L132" s="50"/>
      <c r="M132" s="2"/>
      <c r="N132" s="53"/>
      <c r="O132" s="52"/>
      <c r="P132" s="53"/>
    </row>
  </sheetData>
  <mergeCells count="10">
    <mergeCell ref="N45:P45"/>
    <mergeCell ref="N47:P47"/>
    <mergeCell ref="D119:F119"/>
    <mergeCell ref="D121:F121"/>
    <mergeCell ref="B1:F1"/>
    <mergeCell ref="L1:P1"/>
    <mergeCell ref="B2:C2"/>
    <mergeCell ref="L2:M2"/>
    <mergeCell ref="N41:N42"/>
    <mergeCell ref="P41:P4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2019   </vt:lpstr>
      <vt:lpstr>FEBRERO    2019   </vt:lpstr>
      <vt:lpstr>M A R Z O    2019      </vt:lpstr>
      <vt:lpstr>A B R I L    2019   </vt:lpstr>
      <vt:lpstr>M A Y O   2019    </vt:lpstr>
      <vt:lpstr>J U N I O     2019   </vt:lpstr>
      <vt:lpstr>J U L I O     2019   </vt:lpstr>
      <vt:lpstr>A GO S T O   2019     </vt:lpstr>
      <vt:lpstr>SEPTIEMBRE   2019    </vt:lpstr>
      <vt:lpstr>OCTUBRE    2019     </vt:lpstr>
      <vt:lpstr>Hoja1</vt:lpstr>
      <vt:lpstr>Hoja2</vt:lpstr>
      <vt:lpstr>Hoja4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dcterms:created xsi:type="dcterms:W3CDTF">2019-01-21T18:42:10Z</dcterms:created>
  <dcterms:modified xsi:type="dcterms:W3CDTF">2019-11-06T16:52:15Z</dcterms:modified>
</cp:coreProperties>
</file>