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1 DOCUEMENTOS\CENTRAL  # 05  MAYO  2020\"/>
    </mc:Choice>
  </mc:AlternateContent>
  <xr:revisionPtr revIDLastSave="0" documentId="13_ncr:1_{6F27D836-C392-414A-9950-2ACDC032972F}" xr6:coauthVersionLast="45" xr6:coauthVersionMax="45" xr10:uidLastSave="{00000000-0000-0000-0000-000000000000}"/>
  <bookViews>
    <workbookView xWindow="-120" yWindow="-120" windowWidth="24240" windowHeight="13140" firstSheet="8" activeTab="8" xr2:uid="{7F1B62A0-E866-4CCE-B5A0-56860D31642D}"/>
  </bookViews>
  <sheets>
    <sheet name="4 CARNES  ENERO 2020" sheetId="1" r:id="rId1"/>
    <sheet name="REMISIONES  ENERO  2020" sheetId="2" r:id="rId2"/>
    <sheet name="4 CARNES  FEBRERO   2020   " sheetId="3" r:id="rId3"/>
    <sheet name="REMISIONES  FEBRERO   2020    " sheetId="4" r:id="rId4"/>
    <sheet name="4 CARNES   MARZO   2020   " sheetId="5" r:id="rId5"/>
    <sheet name="REMISIONES  MARZO   2020   " sheetId="6" r:id="rId6"/>
    <sheet name="4 CARNES   ABRIL   2020   " sheetId="7" r:id="rId7"/>
    <sheet name="REMISIONES   ABRIL   2020  " sheetId="8" r:id="rId8"/>
    <sheet name="4  CARNES   MAYO   2020    " sheetId="11" r:id="rId9"/>
    <sheet name="REMISIONES    MAYO   2020   " sheetId="12" r:id="rId10"/>
    <sheet name="Hoja1" sheetId="14" r:id="rId11"/>
    <sheet name="Hoja3" sheetId="13" r:id="rId12"/>
    <sheet name="CANCELACIONES" sheetId="9" r:id="rId13"/>
    <sheet name="Hoja10" sheetId="10" r:id="rId1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2" i="11" l="1"/>
  <c r="L66" i="11" l="1"/>
  <c r="L57" i="11"/>
  <c r="F42" i="11"/>
  <c r="L42" i="11"/>
  <c r="K44" i="11" s="1"/>
  <c r="I42" i="11"/>
  <c r="L28" i="11"/>
  <c r="P50" i="11" l="1"/>
  <c r="Q39" i="7"/>
  <c r="P39" i="7"/>
  <c r="Q44" i="1"/>
  <c r="P44" i="1"/>
  <c r="P41" i="3"/>
  <c r="Q39" i="5"/>
  <c r="P39" i="5"/>
  <c r="P51" i="11" l="1"/>
  <c r="P49" i="11"/>
  <c r="Q5" i="11"/>
  <c r="Q7" i="11"/>
  <c r="P5" i="11"/>
  <c r="P23" i="11"/>
  <c r="Q23" i="11" s="1"/>
  <c r="M43" i="11" l="1"/>
  <c r="C51" i="12"/>
  <c r="M31" i="11" l="1"/>
  <c r="P29" i="11"/>
  <c r="P28" i="11" l="1"/>
  <c r="L15" i="11" l="1"/>
  <c r="P22" i="11" l="1"/>
  <c r="P21" i="11"/>
  <c r="L14" i="11"/>
  <c r="P20" i="11"/>
  <c r="P19" i="11" l="1"/>
  <c r="M19" i="11"/>
  <c r="P32" i="11"/>
  <c r="P26" i="11"/>
  <c r="P15" i="11" l="1"/>
  <c r="P14" i="11"/>
  <c r="L13" i="11"/>
  <c r="P13" i="11"/>
  <c r="N39" i="11" l="1"/>
  <c r="M39" i="11"/>
  <c r="P8" i="11"/>
  <c r="P7" i="11"/>
  <c r="L12" i="11"/>
  <c r="P6" i="11"/>
  <c r="Q8" i="11" l="1"/>
  <c r="E51" i="12"/>
  <c r="F3" i="12"/>
  <c r="F4" i="12" s="1"/>
  <c r="F5" i="12" s="1"/>
  <c r="F6" i="12" s="1"/>
  <c r="F7" i="12" s="1"/>
  <c r="F8" i="12" s="1"/>
  <c r="F9" i="12" s="1"/>
  <c r="F10" i="12" s="1"/>
  <c r="F11" i="12" s="1"/>
  <c r="F12" i="12" s="1"/>
  <c r="F13" i="12" s="1"/>
  <c r="F14" i="12" s="1"/>
  <c r="F15" i="12" s="1"/>
  <c r="F16" i="12" s="1"/>
  <c r="F17" i="12" s="1"/>
  <c r="F18" i="12" s="1"/>
  <c r="F19" i="12" s="1"/>
  <c r="F20" i="12" s="1"/>
  <c r="F21" i="12" s="1"/>
  <c r="F22" i="12" s="1"/>
  <c r="F23" i="12" s="1"/>
  <c r="F24" i="12" s="1"/>
  <c r="F25" i="12" s="1"/>
  <c r="F26" i="12" s="1"/>
  <c r="F27" i="12" s="1"/>
  <c r="F28" i="12" s="1"/>
  <c r="F29" i="12" s="1"/>
  <c r="F30" i="12" s="1"/>
  <c r="F31" i="12" s="1"/>
  <c r="F32" i="12" s="1"/>
  <c r="F33" i="12" s="1"/>
  <c r="F34" i="12" s="1"/>
  <c r="F35" i="12" s="1"/>
  <c r="F36" i="12" s="1"/>
  <c r="F37" i="12" s="1"/>
  <c r="F38" i="12" s="1"/>
  <c r="F39" i="12" s="1"/>
  <c r="F40" i="12" s="1"/>
  <c r="F41" i="12" s="1"/>
  <c r="F42" i="12" s="1"/>
  <c r="F43" i="12" s="1"/>
  <c r="F44" i="12" s="1"/>
  <c r="F45" i="12" s="1"/>
  <c r="F46" i="12" s="1"/>
  <c r="F47" i="12" s="1"/>
  <c r="F48" i="12" s="1"/>
  <c r="F49" i="12" s="1"/>
  <c r="F50" i="12" s="1"/>
  <c r="F51" i="12" s="1"/>
  <c r="X48" i="11"/>
  <c r="K48" i="11"/>
  <c r="P48" i="11"/>
  <c r="P38" i="11"/>
  <c r="Q38" i="11" s="1"/>
  <c r="P37" i="11"/>
  <c r="Q37" i="11" s="1"/>
  <c r="P36" i="11"/>
  <c r="Q36" i="11" s="1"/>
  <c r="P35" i="11"/>
  <c r="Q35" i="11" s="1"/>
  <c r="P34" i="11"/>
  <c r="P33" i="11"/>
  <c r="Q33" i="11" s="1"/>
  <c r="Q32" i="11"/>
  <c r="P31" i="11"/>
  <c r="Q31" i="11" s="1"/>
  <c r="P30" i="11"/>
  <c r="Q30" i="11" s="1"/>
  <c r="Q28" i="11"/>
  <c r="Q26" i="11"/>
  <c r="P25" i="11"/>
  <c r="Q25" i="11" s="1"/>
  <c r="P24" i="11"/>
  <c r="Q24" i="11" s="1"/>
  <c r="Q21" i="11"/>
  <c r="Q20" i="11"/>
  <c r="Q19" i="11"/>
  <c r="S18" i="11"/>
  <c r="P18" i="11"/>
  <c r="Q18" i="11" s="1"/>
  <c r="P17" i="11"/>
  <c r="Q17" i="11" s="1"/>
  <c r="P16" i="11"/>
  <c r="Q16" i="11" s="1"/>
  <c r="Q14" i="11"/>
  <c r="Q13" i="11"/>
  <c r="Q15" i="11"/>
  <c r="P12" i="11"/>
  <c r="Q12" i="11" s="1"/>
  <c r="P11" i="11"/>
  <c r="Q11" i="11" s="1"/>
  <c r="P10" i="11"/>
  <c r="Q10" i="11" s="1"/>
  <c r="P9" i="11"/>
  <c r="Q9" i="11" s="1"/>
  <c r="Q6" i="11"/>
  <c r="Q34" i="11" l="1"/>
  <c r="Q39" i="11" s="1"/>
  <c r="P39" i="11"/>
  <c r="Q29" i="11"/>
  <c r="P46" i="11"/>
  <c r="P53" i="11" s="1"/>
  <c r="Q22" i="11"/>
  <c r="F45" i="11"/>
  <c r="F48" i="11" s="1"/>
  <c r="F51" i="11" s="1"/>
  <c r="K46" i="11" s="1"/>
  <c r="K50" i="11" s="1"/>
  <c r="P27" i="11"/>
  <c r="Q27" i="11" s="1"/>
  <c r="I40" i="7"/>
  <c r="C40" i="7"/>
  <c r="F40" i="7"/>
  <c r="P13" i="7"/>
  <c r="P51" i="7" l="1"/>
  <c r="L40" i="7"/>
  <c r="P5" i="7"/>
  <c r="E51" i="8" l="1"/>
  <c r="C51" i="8"/>
  <c r="P38" i="7" l="1"/>
  <c r="P37" i="7"/>
  <c r="P36" i="7"/>
  <c r="M32" i="7" l="1"/>
  <c r="Q29" i="7" l="1"/>
  <c r="L16" i="7"/>
  <c r="P28" i="7" l="1"/>
  <c r="M26" i="7" l="1"/>
  <c r="P23" i="7" l="1"/>
  <c r="P20" i="7"/>
  <c r="P22" i="7"/>
  <c r="Q22" i="7"/>
  <c r="M24" i="7" l="1"/>
  <c r="Q23" i="7"/>
  <c r="L14" i="7" l="1"/>
  <c r="P14" i="7" l="1"/>
  <c r="P15" i="7"/>
  <c r="P17" i="7"/>
  <c r="L13" i="7"/>
  <c r="M14" i="7"/>
  <c r="P12" i="7" l="1"/>
  <c r="M12" i="7"/>
  <c r="P8" i="7"/>
  <c r="Q8" i="7" s="1"/>
  <c r="L12" i="7"/>
  <c r="P6" i="7"/>
  <c r="P33" i="7"/>
  <c r="P27" i="7"/>
  <c r="Q27" i="7" s="1"/>
  <c r="F3" i="8" l="1"/>
  <c r="F4" i="8" s="1"/>
  <c r="F5" i="8" s="1"/>
  <c r="F6" i="8" s="1"/>
  <c r="F7" i="8" s="1"/>
  <c r="F8" i="8" s="1"/>
  <c r="F9" i="8" s="1"/>
  <c r="F10" i="8" s="1"/>
  <c r="F11" i="8" s="1"/>
  <c r="F12" i="8" s="1"/>
  <c r="F13" i="8" s="1"/>
  <c r="F14" i="8" s="1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F37" i="8" s="1"/>
  <c r="F38" i="8" s="1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X46" i="7"/>
  <c r="K46" i="7"/>
  <c r="N39" i="7"/>
  <c r="Q38" i="7"/>
  <c r="Q37" i="7"/>
  <c r="Q36" i="7"/>
  <c r="P35" i="7"/>
  <c r="Q35" i="7" s="1"/>
  <c r="Q33" i="7"/>
  <c r="P32" i="7"/>
  <c r="Q32" i="7" s="1"/>
  <c r="P31" i="7"/>
  <c r="Q31" i="7" s="1"/>
  <c r="P30" i="7"/>
  <c r="Q30" i="7" s="1"/>
  <c r="P29" i="7"/>
  <c r="Q28" i="7"/>
  <c r="P26" i="7"/>
  <c r="Q26" i="7" s="1"/>
  <c r="P25" i="7"/>
  <c r="Q25" i="7" s="1"/>
  <c r="P24" i="7"/>
  <c r="Q24" i="7" s="1"/>
  <c r="P21" i="7"/>
  <c r="Q21" i="7" s="1"/>
  <c r="P19" i="7"/>
  <c r="Q19" i="7" s="1"/>
  <c r="S18" i="7"/>
  <c r="P18" i="7"/>
  <c r="Q18" i="7" s="1"/>
  <c r="Q17" i="7"/>
  <c r="P34" i="7"/>
  <c r="Q34" i="7" s="1"/>
  <c r="P16" i="7"/>
  <c r="Q16" i="7" s="1"/>
  <c r="Q15" i="7"/>
  <c r="Q14" i="7"/>
  <c r="Q13" i="7"/>
  <c r="Q12" i="7"/>
  <c r="P11" i="7"/>
  <c r="Q11" i="7" s="1"/>
  <c r="P10" i="7"/>
  <c r="Q10" i="7" s="1"/>
  <c r="M39" i="7"/>
  <c r="P9" i="7"/>
  <c r="Q9" i="7" s="1"/>
  <c r="P7" i="7"/>
  <c r="Q7" i="7" s="1"/>
  <c r="Q6" i="7"/>
  <c r="Q5" i="7"/>
  <c r="K42" i="7" l="1"/>
  <c r="F43" i="7" s="1"/>
  <c r="F46" i="7" s="1"/>
  <c r="F49" i="7" s="1"/>
  <c r="K44" i="7" s="1"/>
  <c r="K48" i="7" s="1"/>
  <c r="M41" i="7"/>
  <c r="Q20" i="7"/>
  <c r="F3" i="6" l="1"/>
  <c r="F4" i="6" s="1"/>
  <c r="F5" i="6" s="1"/>
  <c r="F6" i="6" s="1"/>
  <c r="F7" i="6" s="1"/>
  <c r="F8" i="6" s="1"/>
  <c r="F9" i="6" s="1"/>
  <c r="F10" i="6" s="1"/>
  <c r="F11" i="6" s="1"/>
  <c r="F12" i="6" s="1"/>
  <c r="F13" i="6" s="1"/>
  <c r="F14" i="6" s="1"/>
  <c r="F15" i="6" s="1"/>
  <c r="F16" i="6" s="1"/>
  <c r="F17" i="6" s="1"/>
  <c r="F18" i="6" s="1"/>
  <c r="F19" i="6" s="1"/>
  <c r="F20" i="6" s="1"/>
  <c r="F21" i="6" s="1"/>
  <c r="F22" i="6" s="1"/>
  <c r="F23" i="6" s="1"/>
  <c r="F24" i="6" s="1"/>
  <c r="F25" i="6" s="1"/>
  <c r="F26" i="6" s="1"/>
  <c r="F27" i="6" s="1"/>
  <c r="F28" i="6" s="1"/>
  <c r="F29" i="6" s="1"/>
  <c r="F30" i="6" s="1"/>
  <c r="F31" i="6" s="1"/>
  <c r="F32" i="6" s="1"/>
  <c r="F33" i="6" s="1"/>
  <c r="F34" i="6" s="1"/>
  <c r="F35" i="6" s="1"/>
  <c r="F36" i="6" s="1"/>
  <c r="F37" i="6" s="1"/>
  <c r="F38" i="6" s="1"/>
  <c r="F39" i="6" s="1"/>
  <c r="F40" i="6" s="1"/>
  <c r="F41" i="6" s="1"/>
  <c r="F42" i="6" s="1"/>
  <c r="F43" i="6" s="1"/>
  <c r="F44" i="6" s="1"/>
  <c r="F45" i="6" s="1"/>
  <c r="F46" i="6" s="1"/>
  <c r="F47" i="6" s="1"/>
  <c r="F48" i="6" s="1"/>
  <c r="F49" i="6" s="1"/>
  <c r="F50" i="6" s="1"/>
  <c r="F51" i="6" s="1"/>
  <c r="C51" i="6"/>
  <c r="E51" i="6"/>
  <c r="Q27" i="5" l="1"/>
  <c r="P27" i="5"/>
  <c r="L16" i="5"/>
  <c r="P35" i="5" l="1"/>
  <c r="Q35" i="5" s="1"/>
  <c r="P30" i="5"/>
  <c r="P33" i="5"/>
  <c r="Q33" i="5" s="1"/>
  <c r="P36" i="5"/>
  <c r="Q36" i="5" s="1"/>
  <c r="P37" i="5"/>
  <c r="Q37" i="5" s="1"/>
  <c r="P38" i="5"/>
  <c r="Q38" i="5" s="1"/>
  <c r="L17" i="5"/>
  <c r="P34" i="5" s="1"/>
  <c r="Q34" i="5" s="1"/>
  <c r="P29" i="5" l="1"/>
  <c r="Q29" i="5" s="1"/>
  <c r="M26" i="5"/>
  <c r="M25" i="5"/>
  <c r="P22" i="5" l="1"/>
  <c r="L15" i="5" l="1"/>
  <c r="P20" i="5" s="1"/>
  <c r="P15" i="5" l="1"/>
  <c r="S13" i="5"/>
  <c r="S12" i="5"/>
  <c r="L14" i="5"/>
  <c r="P13" i="5" s="1"/>
  <c r="M10" i="5" l="1"/>
  <c r="L13" i="5" l="1"/>
  <c r="P6" i="5" s="1"/>
  <c r="P5" i="5" l="1"/>
  <c r="X46" i="5" l="1"/>
  <c r="K46" i="5"/>
  <c r="I40" i="5"/>
  <c r="F40" i="5"/>
  <c r="C40" i="5"/>
  <c r="N39" i="5"/>
  <c r="P32" i="5"/>
  <c r="Q32" i="5" s="1"/>
  <c r="P31" i="5"/>
  <c r="Q31" i="5" s="1"/>
  <c r="Q30" i="5"/>
  <c r="P28" i="5"/>
  <c r="Q28" i="5" s="1"/>
  <c r="P26" i="5"/>
  <c r="Q26" i="5" s="1"/>
  <c r="P25" i="5"/>
  <c r="Q25" i="5" s="1"/>
  <c r="P24" i="5"/>
  <c r="Q24" i="5" s="1"/>
  <c r="P23" i="5"/>
  <c r="Q22" i="5"/>
  <c r="P21" i="5"/>
  <c r="Q21" i="5" s="1"/>
  <c r="P19" i="5"/>
  <c r="Q19" i="5" s="1"/>
  <c r="S18" i="5"/>
  <c r="P18" i="5"/>
  <c r="Q18" i="5" s="1"/>
  <c r="P17" i="5"/>
  <c r="Q17" i="5" s="1"/>
  <c r="P16" i="5"/>
  <c r="Q16" i="5" s="1"/>
  <c r="Q15" i="5"/>
  <c r="P14" i="5"/>
  <c r="Q14" i="5" s="1"/>
  <c r="Q13" i="5"/>
  <c r="P12" i="5"/>
  <c r="Q12" i="5" s="1"/>
  <c r="L40" i="5"/>
  <c r="P11" i="5"/>
  <c r="Q11" i="5" s="1"/>
  <c r="P10" i="5"/>
  <c r="Q10" i="5" s="1"/>
  <c r="P9" i="5"/>
  <c r="Q9" i="5" s="1"/>
  <c r="M39" i="5"/>
  <c r="P7" i="5"/>
  <c r="Q7" i="5" s="1"/>
  <c r="Q6" i="5"/>
  <c r="Q5" i="5"/>
  <c r="K42" i="5" l="1"/>
  <c r="F43" i="5" s="1"/>
  <c r="F46" i="5" s="1"/>
  <c r="F49" i="5" s="1"/>
  <c r="K44" i="5" s="1"/>
  <c r="K48" i="5" s="1"/>
  <c r="M41" i="5"/>
  <c r="Q20" i="5"/>
  <c r="P8" i="5"/>
  <c r="Q8" i="5" s="1"/>
  <c r="Q41" i="3" l="1"/>
  <c r="P5" i="3"/>
  <c r="Q6" i="3"/>
  <c r="Q14" i="3"/>
  <c r="Q12" i="3"/>
  <c r="P12" i="3"/>
  <c r="P11" i="3"/>
  <c r="Q13" i="3"/>
  <c r="L42" i="3" l="1"/>
  <c r="P19" i="3" l="1"/>
  <c r="P26" i="3"/>
  <c r="P25" i="3"/>
  <c r="P22" i="3"/>
  <c r="P28" i="3"/>
  <c r="M27" i="3"/>
  <c r="L15" i="3"/>
  <c r="M24" i="3"/>
  <c r="P24" i="3" s="1"/>
  <c r="P27" i="3" l="1"/>
  <c r="P16" i="3" l="1"/>
  <c r="L14" i="3"/>
  <c r="P20" i="3" s="1"/>
  <c r="M18" i="3"/>
  <c r="P18" i="3" s="1"/>
  <c r="Q18" i="3" s="1"/>
  <c r="P17" i="3" l="1"/>
  <c r="P7" i="3" l="1"/>
  <c r="P15" i="3"/>
  <c r="M13" i="3"/>
  <c r="L13" i="3"/>
  <c r="P13" i="3" l="1"/>
  <c r="M10" i="3"/>
  <c r="P10" i="3" s="1"/>
  <c r="M8" i="3" l="1"/>
  <c r="L12" i="3" l="1"/>
  <c r="P6" i="3" s="1"/>
  <c r="P8" i="3"/>
  <c r="E51" i="4" l="1"/>
  <c r="C51" i="4"/>
  <c r="F3" i="4"/>
  <c r="F4" i="4" s="1"/>
  <c r="F5" i="4" s="1"/>
  <c r="F6" i="4" s="1"/>
  <c r="F7" i="4" s="1"/>
  <c r="F8" i="4" s="1"/>
  <c r="F9" i="4" s="1"/>
  <c r="F10" i="4" s="1"/>
  <c r="F11" i="4" s="1"/>
  <c r="F12" i="4" s="1"/>
  <c r="F13" i="4" s="1"/>
  <c r="F14" i="4" s="1"/>
  <c r="F15" i="4" s="1"/>
  <c r="F16" i="4" s="1"/>
  <c r="F17" i="4" s="1"/>
  <c r="F18" i="4" s="1"/>
  <c r="F19" i="4" s="1"/>
  <c r="F20" i="4" s="1"/>
  <c r="F21" i="4" s="1"/>
  <c r="F22" i="4" s="1"/>
  <c r="F23" i="4" s="1"/>
  <c r="F24" i="4" s="1"/>
  <c r="F25" i="4" s="1"/>
  <c r="F26" i="4" s="1"/>
  <c r="F27" i="4" s="1"/>
  <c r="F28" i="4" s="1"/>
  <c r="F29" i="4" s="1"/>
  <c r="F30" i="4" s="1"/>
  <c r="F31" i="4" s="1"/>
  <c r="F32" i="4" s="1"/>
  <c r="F33" i="4" s="1"/>
  <c r="F34" i="4" s="1"/>
  <c r="F35" i="4" s="1"/>
  <c r="F36" i="4" s="1"/>
  <c r="F37" i="4" s="1"/>
  <c r="F38" i="4" s="1"/>
  <c r="F39" i="4" s="1"/>
  <c r="F40" i="4" s="1"/>
  <c r="F41" i="4" s="1"/>
  <c r="F42" i="4" s="1"/>
  <c r="F43" i="4" s="1"/>
  <c r="F44" i="4" s="1"/>
  <c r="F45" i="4" s="1"/>
  <c r="F46" i="4" s="1"/>
  <c r="F47" i="4" s="1"/>
  <c r="F48" i="4" s="1"/>
  <c r="F49" i="4" s="1"/>
  <c r="F50" i="4" s="1"/>
  <c r="F51" i="4" s="1"/>
  <c r="K48" i="3"/>
  <c r="I42" i="3"/>
  <c r="F42" i="3"/>
  <c r="C42" i="3"/>
  <c r="N41" i="3"/>
  <c r="P32" i="3"/>
  <c r="P31" i="3"/>
  <c r="Q31" i="3" s="1"/>
  <c r="P30" i="3"/>
  <c r="Q30" i="3" s="1"/>
  <c r="P29" i="3"/>
  <c r="Q29" i="3" s="1"/>
  <c r="Q28" i="3"/>
  <c r="Q27" i="3"/>
  <c r="Q26" i="3"/>
  <c r="Q25" i="3"/>
  <c r="Q24" i="3"/>
  <c r="P23" i="3"/>
  <c r="Q22" i="3"/>
  <c r="P21" i="3"/>
  <c r="Q21" i="3" s="1"/>
  <c r="Q20" i="3"/>
  <c r="Q19" i="3"/>
  <c r="S18" i="3"/>
  <c r="Q17" i="3"/>
  <c r="X48" i="3"/>
  <c r="Q16" i="3"/>
  <c r="P14" i="3"/>
  <c r="Q15" i="3"/>
  <c r="Q11" i="3"/>
  <c r="Q10" i="3"/>
  <c r="P9" i="3"/>
  <c r="Q9" i="3" s="1"/>
  <c r="Q8" i="3"/>
  <c r="Q7" i="3"/>
  <c r="Q5" i="3"/>
  <c r="K44" i="3" l="1"/>
  <c r="F45" i="3" s="1"/>
  <c r="F48" i="3" s="1"/>
  <c r="F51" i="3" s="1"/>
  <c r="K46" i="3" s="1"/>
  <c r="K50" i="3" s="1"/>
  <c r="M41" i="3"/>
  <c r="M43" i="3" s="1"/>
  <c r="P12" i="1"/>
  <c r="K51" i="1" l="1"/>
  <c r="P5" i="1"/>
  <c r="Q5" i="1"/>
  <c r="P29" i="1" l="1"/>
  <c r="Q22" i="1"/>
  <c r="P22" i="1"/>
  <c r="L15" i="1"/>
  <c r="P18" i="1"/>
  <c r="Q18" i="1" s="1"/>
  <c r="P15" i="1"/>
  <c r="P19" i="1"/>
  <c r="Q19" i="1" s="1"/>
  <c r="Q20" i="1"/>
  <c r="P30" i="1" l="1"/>
  <c r="Q30" i="1" s="1"/>
  <c r="P31" i="1"/>
  <c r="P32" i="1"/>
  <c r="M29" i="1"/>
  <c r="L16" i="1"/>
  <c r="P28" i="1"/>
  <c r="P33" i="1"/>
  <c r="P27" i="1"/>
  <c r="Q27" i="1" s="1"/>
  <c r="M26" i="1"/>
  <c r="M22" i="1"/>
  <c r="M21" i="1"/>
  <c r="P21" i="1" s="1"/>
  <c r="M18" i="1" l="1"/>
  <c r="M16" i="1" l="1"/>
  <c r="P16" i="1" s="1"/>
  <c r="L13" i="1" l="1"/>
  <c r="M14" i="1"/>
  <c r="P14" i="1" s="1"/>
  <c r="M13" i="1"/>
  <c r="M12" i="1"/>
  <c r="M11" i="1"/>
  <c r="M10" i="1"/>
  <c r="M8" i="1"/>
  <c r="P8" i="1" s="1"/>
  <c r="L12" i="1"/>
  <c r="M7" i="1"/>
  <c r="M6" i="1" l="1"/>
  <c r="E51" i="2" l="1"/>
  <c r="C51" i="2"/>
  <c r="F3" i="2"/>
  <c r="F4" i="2" s="1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I45" i="1" l="1"/>
  <c r="F45" i="1"/>
  <c r="C45" i="1"/>
  <c r="N44" i="1"/>
  <c r="P35" i="1"/>
  <c r="Q35" i="1" s="1"/>
  <c r="P34" i="1"/>
  <c r="Q34" i="1" s="1"/>
  <c r="Q33" i="1"/>
  <c r="Q31" i="1"/>
  <c r="Q29" i="1"/>
  <c r="Q28" i="1"/>
  <c r="P26" i="1"/>
  <c r="Q26" i="1" s="1"/>
  <c r="P25" i="1"/>
  <c r="Q25" i="1" s="1"/>
  <c r="P24" i="1"/>
  <c r="Q24" i="1" s="1"/>
  <c r="P23" i="1"/>
  <c r="Q21" i="1"/>
  <c r="P20" i="1"/>
  <c r="S18" i="1"/>
  <c r="P17" i="1"/>
  <c r="Q17" i="1" s="1"/>
  <c r="W16" i="1"/>
  <c r="Q16" i="1"/>
  <c r="Q15" i="1"/>
  <c r="Q14" i="1"/>
  <c r="L45" i="1"/>
  <c r="P13" i="1"/>
  <c r="Q13" i="1" s="1"/>
  <c r="Q12" i="1"/>
  <c r="P11" i="1"/>
  <c r="Q11" i="1" s="1"/>
  <c r="P10" i="1"/>
  <c r="Q10" i="1" s="1"/>
  <c r="P9" i="1"/>
  <c r="Q9" i="1" s="1"/>
  <c r="Q8" i="1"/>
  <c r="P7" i="1"/>
  <c r="Q7" i="1" s="1"/>
  <c r="M44" i="1"/>
  <c r="M46" i="1" l="1"/>
  <c r="K47" i="1"/>
  <c r="F48" i="1" s="1"/>
  <c r="P6" i="1"/>
  <c r="Q6" i="1" s="1"/>
  <c r="F51" i="1" l="1"/>
  <c r="F54" i="1" s="1"/>
  <c r="K49" i="1" s="1"/>
  <c r="K5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ROUSS</author>
  </authors>
  <commentList>
    <comment ref="Z4" authorId="0" shapeId="0" xr:uid="{F2E1BC74-6D8A-412F-AE2A-E19DC3043482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Z8" authorId="0" shapeId="0" xr:uid="{0D06ED1B-67FD-4DC7-A19E-E5E09A37FBFA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Z11" authorId="0" shapeId="0" xr:uid="{1BD736DF-21AB-44BA-A109-AACADB8E9214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3" authorId="0" shapeId="0" xr:uid="{33D33624-97F6-490F-B5CA-7D795BC24E35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 xr:uid="{1CD55216-B33C-4E9F-890F-7D075743B03F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ROUSS</author>
  </authors>
  <commentList>
    <comment ref="AA4" authorId="0" shapeId="0" xr:uid="{2167A61B-EC12-42DF-958C-8A1F071CBB7B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A8" authorId="0" shapeId="0" xr:uid="{1BEE02C4-3C1E-487F-A513-8886842B97F9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A11" authorId="0" shapeId="0" xr:uid="{5646CA1A-5BED-4D75-820F-B34E1DB44D21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3" authorId="0" shapeId="0" xr:uid="{9025D3EF-0E3C-43FD-8AF1-FFDAFE723F00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 xr:uid="{F742376E-CC76-4F43-AF3D-5AAB81C18F15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ROUSS</author>
  </authors>
  <commentList>
    <comment ref="AA4" authorId="0" shapeId="0" xr:uid="{D6E2F614-9569-40C0-A3D2-ACF819698A4A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A8" authorId="0" shapeId="0" xr:uid="{788C4AE8-8DDA-4742-BFA7-F690177AF13C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A11" authorId="0" shapeId="0" xr:uid="{A7F7F39B-1F98-4D94-86C7-0C54A2334CE4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3" authorId="0" shapeId="0" xr:uid="{1A69AA89-EF4C-46F4-9923-0A20E56B2BED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 xr:uid="{EB538A6D-D2D0-4D21-B109-241E62D4CFFE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ROUSS</author>
  </authors>
  <commentList>
    <comment ref="AA4" authorId="0" shapeId="0" xr:uid="{D4D922E9-E8B1-4FDC-BE54-78F7ECB062CB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A8" authorId="0" shapeId="0" xr:uid="{7D331EB4-3164-46C0-BF81-E3BF5D6B632C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A11" authorId="0" shapeId="0" xr:uid="{455A1B0E-3999-4F90-BA63-E45039416651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3" authorId="0" shapeId="0" xr:uid="{C5DFFFE8-9DC6-4138-B4A0-C296EEE789BC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 xr:uid="{A63463C3-D541-4582-B7DD-4B3C8E06D3C5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ROUSS</author>
  </authors>
  <commentList>
    <comment ref="AA4" authorId="0" shapeId="0" xr:uid="{0DB0764B-7D94-44E0-9C7E-DC403A60A2AD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A8" authorId="0" shapeId="0" xr:uid="{768ECDA5-4808-4ABC-A7BB-00340FCDF6FE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A11" authorId="0" shapeId="0" xr:uid="{84C30779-28B7-4569-B145-4538478130E6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3" authorId="0" shapeId="0" xr:uid="{F5983A61-208D-4346-B6D4-E5715B87FDEC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 xr:uid="{CE27EED1-9E8E-4815-A8DD-734B600568C3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<sst xmlns="http://schemas.openxmlformats.org/spreadsheetml/2006/main" count="1099" uniqueCount="318">
  <si>
    <t>MORRALLA EN CAJA DE 11 SUR   2,800.00  +  $ 1,200.00 Total    $  4,000.00</t>
  </si>
  <si>
    <t>COMPRAS</t>
  </si>
  <si>
    <t>REPOSICION</t>
  </si>
  <si>
    <r>
      <t xml:space="preserve">con fecha 07 Enero  </t>
    </r>
    <r>
      <rPr>
        <b/>
        <sz val="12"/>
        <color rgb="FF0000FF"/>
        <rFont val="Calibri"/>
        <family val="2"/>
        <scheme val="minor"/>
      </rPr>
      <t xml:space="preserve"> de  2019</t>
    </r>
  </si>
  <si>
    <t>RETIROS DE 4 CARNES</t>
  </si>
  <si>
    <t>INVENTARIO INICIAL</t>
  </si>
  <si>
    <t xml:space="preserve">VENTAS  </t>
  </si>
  <si>
    <t>GASTOS</t>
  </si>
  <si>
    <t>BANCO</t>
  </si>
  <si>
    <t>TARJETAS</t>
  </si>
  <si>
    <t>PEPE</t>
  </si>
  <si>
    <t>ELIAS</t>
  </si>
  <si>
    <t xml:space="preserve"> </t>
  </si>
  <si>
    <t>TELMEX</t>
  </si>
  <si>
    <t xml:space="preserve">LUZ  </t>
  </si>
  <si>
    <t>RENTA</t>
  </si>
  <si>
    <t>TOTAL</t>
  </si>
  <si>
    <t>.</t>
  </si>
  <si>
    <t>GRAN TOTAL GASTOS</t>
  </si>
  <si>
    <t>VENTAS NETAS</t>
  </si>
  <si>
    <t>PROVEEDOREES</t>
  </si>
  <si>
    <t>SUB TOTAL</t>
  </si>
  <si>
    <t>Sub Total 1</t>
  </si>
  <si>
    <t>INVENTARIO  INICIAL</t>
  </si>
  <si>
    <t>MAS</t>
  </si>
  <si>
    <t>CREDITOS</t>
  </si>
  <si>
    <t>INVENTARIO FINAL</t>
  </si>
  <si>
    <t xml:space="preserve">Sub Total 2 </t>
  </si>
  <si>
    <t>NOMINA 02</t>
  </si>
  <si>
    <t>NOMINA 03</t>
  </si>
  <si>
    <t>NOMINA 04</t>
  </si>
  <si>
    <t>NOMINA 05</t>
  </si>
  <si>
    <t>NOMINA 06</t>
  </si>
  <si>
    <t>NOMINA 07</t>
  </si>
  <si>
    <t>CANCELACION DE TIKETS</t>
  </si>
  <si>
    <t xml:space="preserve">Cambio x </t>
  </si>
  <si>
    <t xml:space="preserve">#  </t>
  </si>
  <si>
    <t>FECHA</t>
  </si>
  <si>
    <t>#</t>
  </si>
  <si>
    <t>IMPORTE</t>
  </si>
  <si>
    <t xml:space="preserve">Fecha </t>
  </si>
  <si>
    <t>PAGOS</t>
  </si>
  <si>
    <t>BALANCE      ABASTO 4 CARNES   E N E R O     2 0 2 0</t>
  </si>
  <si>
    <t>COBROS DE CONTADOR   2 0 2 0</t>
  </si>
  <si>
    <t xml:space="preserve">GASOLINA </t>
  </si>
  <si>
    <t>VALES 4 CARNES   Manuel Atlatenco</t>
  </si>
  <si>
    <t>QUESO-CHORIZO-TOSTADAS</t>
  </si>
  <si>
    <t>RES-POLLO</t>
  </si>
  <si>
    <t>POLLO-CHORIZO</t>
  </si>
  <si>
    <t>SEMANA 01</t>
  </si>
  <si>
    <t>SEMANA 02</t>
  </si>
  <si>
    <t>SEMANA 03</t>
  </si>
  <si>
    <t>SEMANA 04</t>
  </si>
  <si>
    <t>SEMANA 05</t>
  </si>
  <si>
    <t>SEMANA 06</t>
  </si>
  <si>
    <t>SEMANA 07</t>
  </si>
  <si>
    <t>SEMANA 08</t>
  </si>
  <si>
    <t>SEMANA 09</t>
  </si>
  <si>
    <t>SEMANA 10</t>
  </si>
  <si>
    <t>SEMANA 11</t>
  </si>
  <si>
    <t>SEMANA 12</t>
  </si>
  <si>
    <t>SEMANA 13</t>
  </si>
  <si>
    <t>SEMANA 14</t>
  </si>
  <si>
    <t>SEMANA 15</t>
  </si>
  <si>
    <t>SEMANA 16</t>
  </si>
  <si>
    <t>SEMANA 17</t>
  </si>
  <si>
    <t>SEMANA 18</t>
  </si>
  <si>
    <t>SEMANA 19</t>
  </si>
  <si>
    <t xml:space="preserve">POLLO  </t>
  </si>
  <si>
    <t>POLLO-QUESOS</t>
  </si>
  <si>
    <t>RES-POLLO-TOCINETA-QUESOS</t>
  </si>
  <si>
    <t>POLLO-CHORIZO--</t>
  </si>
  <si>
    <t>POLLO</t>
  </si>
  <si>
    <t>POLLO-TOSTADAS</t>
  </si>
  <si>
    <t>Multas Moto</t>
  </si>
  <si>
    <t>RES-POLLO-MAIZ</t>
  </si>
  <si>
    <t>POLLO-CHORIZO-QUESOS</t>
  </si>
  <si>
    <t>MAIZ</t>
  </si>
  <si>
    <t>POLLO-QUESOS-SALSAS</t>
  </si>
  <si>
    <t>SAT  S.H.C.P</t>
  </si>
  <si>
    <t>RES</t>
  </si>
  <si>
    <t>POLLO-QUESOS-TOCINETA</t>
  </si>
  <si>
    <t>CHORIZO</t>
  </si>
  <si>
    <t>POLLO-MAIZ</t>
  </si>
  <si>
    <t>POLLO-CHORIZO-TOSTADAS-SALSAS</t>
  </si>
  <si>
    <t>POLLO-QUESOS-CHORIZO</t>
  </si>
  <si>
    <t>,00564</t>
  </si>
  <si>
    <t>,00675</t>
  </si>
  <si>
    <t>,00783</t>
  </si>
  <si>
    <t>,00879</t>
  </si>
  <si>
    <t>,01025</t>
  </si>
  <si>
    <t>,01027</t>
  </si>
  <si>
    <t>,01125</t>
  </si>
  <si>
    <t>,01145</t>
  </si>
  <si>
    <t>,01175</t>
  </si>
  <si>
    <t>,01316</t>
  </si>
  <si>
    <t>,01402</t>
  </si>
  <si>
    <t>,01538</t>
  </si>
  <si>
    <t>,01540</t>
  </si>
  <si>
    <t>,01561</t>
  </si>
  <si>
    <t>,01630</t>
  </si>
  <si>
    <t>,01700</t>
  </si>
  <si>
    <t>,01773</t>
  </si>
  <si>
    <t>,01839</t>
  </si>
  <si>
    <t>,01936</t>
  </si>
  <si>
    <t>,01941</t>
  </si>
  <si>
    <t>,01979</t>
  </si>
  <si>
    <t>,02167</t>
  </si>
  <si>
    <t>,02190</t>
  </si>
  <si>
    <t>,02046</t>
  </si>
  <si>
    <t>,02375</t>
  </si>
  <si>
    <t>,02497</t>
  </si>
  <si>
    <t>,02611</t>
  </si>
  <si>
    <t>,02678</t>
  </si>
  <si>
    <t>,02709</t>
  </si>
  <si>
    <t>,02829</t>
  </si>
  <si>
    <t>,02899</t>
  </si>
  <si>
    <t>,03037</t>
  </si>
  <si>
    <t>,03240</t>
  </si>
  <si>
    <t>,03241</t>
  </si>
  <si>
    <t>POLLO-VERDURAS</t>
  </si>
  <si>
    <t>POLLO-MAIZ-TOSTADAS</t>
  </si>
  <si>
    <t>,03285</t>
  </si>
  <si>
    <t>,03378</t>
  </si>
  <si>
    <t>,03459</t>
  </si>
  <si>
    <t>,03548</t>
  </si>
  <si>
    <t>,03813</t>
  </si>
  <si>
    <t>,03877</t>
  </si>
  <si>
    <t>,03878</t>
  </si>
  <si>
    <t xml:space="preserve">GANANCIA </t>
  </si>
  <si>
    <t xml:space="preserve">COMISIONES BANCARIAS </t>
  </si>
  <si>
    <t>ENERO.,2020</t>
  </si>
  <si>
    <t>CELULARES  5</t>
  </si>
  <si>
    <t>GASOLINERA</t>
  </si>
  <si>
    <t>Impuestos Federales</t>
  </si>
  <si>
    <t>ADT</t>
  </si>
  <si>
    <t>BALANCE      ABASTO 4 CARNES   FEBRERO      2 0 2 0</t>
  </si>
  <si>
    <t>NOMINA 08</t>
  </si>
  <si>
    <t>NOMINA 09</t>
  </si>
  <si>
    <t>NOMINA 10</t>
  </si>
  <si>
    <t xml:space="preserve">NOMINA </t>
  </si>
  <si>
    <t>NOMINA 11</t>
  </si>
  <si>
    <t>QUESOS</t>
  </si>
  <si>
    <t>SEMANA 20</t>
  </si>
  <si>
    <t>SEMANA 21</t>
  </si>
  <si>
    <t>SEMANA 22</t>
  </si>
  <si>
    <t>SEMANA 23</t>
  </si>
  <si>
    <t>SEMANA 24</t>
  </si>
  <si>
    <t>SEMANA 25</t>
  </si>
  <si>
    <t>SEMANA 26</t>
  </si>
  <si>
    <t>SEMANA 27</t>
  </si>
  <si>
    <t>SEMANA 28</t>
  </si>
  <si>
    <t>SEMANA 29</t>
  </si>
  <si>
    <t>SEMANA 30</t>
  </si>
  <si>
    <t>SEMANA 34</t>
  </si>
  <si>
    <t>SEMANA 35</t>
  </si>
  <si>
    <t>SEMANA 36</t>
  </si>
  <si>
    <t>SEMANA 37</t>
  </si>
  <si>
    <t>SEMANA 38</t>
  </si>
  <si>
    <t>SEMANA 39</t>
  </si>
  <si>
    <t>SEMANA 40</t>
  </si>
  <si>
    <t>SEMANA 41</t>
  </si>
  <si>
    <t>SEMANA 42</t>
  </si>
  <si>
    <t>SEMANA 43</t>
  </si>
  <si>
    <t>SEMANA 44</t>
  </si>
  <si>
    <t>SEMANA 45</t>
  </si>
  <si>
    <t>SEMANA 46</t>
  </si>
  <si>
    <t>SEMANA 47</t>
  </si>
  <si>
    <t>POLLO--ZASONADOR</t>
  </si>
  <si>
    <t>POLLO-QUESOS-CHORIZO-SALSAS</t>
  </si>
  <si>
    <t>#  05  xxxxx</t>
  </si>
  <si>
    <t xml:space="preserve">POLLO-QUESOS  </t>
  </si>
  <si>
    <t>POLLO-CHORIZOS</t>
  </si>
  <si>
    <t>POLLO-QUESOS--MAIZ</t>
  </si>
  <si>
    <t>POLLO--MAIZ</t>
  </si>
  <si>
    <t>POLLO--TOCINETA-QUESOS</t>
  </si>
  <si>
    <t>POLLO-TOSTADAS---QUESOS</t>
  </si>
  <si>
    <t>POLLO-SALSAS, JUGO</t>
  </si>
  <si>
    <t>POLLO--CHORIZO-BONAFINA</t>
  </si>
  <si>
    <t>POLLO-CHORIZOS-QUESOS-</t>
  </si>
  <si>
    <t>POLLO-JUGO</t>
  </si>
  <si>
    <t xml:space="preserve">CAMARAS </t>
  </si>
  <si>
    <t>REFRIGERACION</t>
  </si>
  <si>
    <t>Vigilancia</t>
  </si>
  <si>
    <t>FEBRE.,2020</t>
  </si>
  <si>
    <t>Prod de limpieza</t>
  </si>
  <si>
    <t xml:space="preserve">CELULARES  </t>
  </si>
  <si>
    <t>FAMSA  Delantales</t>
  </si>
  <si>
    <t>tablas para carne</t>
  </si>
  <si>
    <t>IMSS --FINANZAS</t>
  </si>
  <si>
    <t>MANUEL ATLATENCO</t>
  </si>
  <si>
    <t>con fecha 07 Enero   de  2019</t>
  </si>
  <si>
    <t>REMISIONES  ABASTO 4 CARNES       2 0 2 0</t>
  </si>
  <si>
    <t>NOMINA 12</t>
  </si>
  <si>
    <t>NOMINA 13</t>
  </si>
  <si>
    <t>NOMINA 14</t>
  </si>
  <si>
    <t>SAT</t>
  </si>
  <si>
    <t>NOMINA  14</t>
  </si>
  <si>
    <t>RES--POLLO</t>
  </si>
  <si>
    <t>RES-POLLO-SALSAS-CHORIZO</t>
  </si>
  <si>
    <t>CHORIZO--MAIZ</t>
  </si>
  <si>
    <t>POLLO-QUESO-</t>
  </si>
  <si>
    <t>RES-POLLO-VINAGRE</t>
  </si>
  <si>
    <t>POLLO--QUESOS-TOCINETA</t>
  </si>
  <si>
    <t>POLLO-MAIZ-CHORIZO</t>
  </si>
  <si>
    <t>RES-POLLO-CHORIZO</t>
  </si>
  <si>
    <t xml:space="preserve">POLLO-MAIZ   </t>
  </si>
  <si>
    <t>POLLO-QUESOS-</t>
  </si>
  <si>
    <t>RES-QUESOS-VERDURAS</t>
  </si>
  <si>
    <t>POLLO--TOSTADAS</t>
  </si>
  <si>
    <t>POLLO--CHORIZO</t>
  </si>
  <si>
    <t>POLLO-QUESOS CONDIMENTOS</t>
  </si>
  <si>
    <t>CHISTORRA-QUESO -POLLO</t>
  </si>
  <si>
    <t>POLLO-MAIZ-QUESOS VERDURA</t>
  </si>
  <si>
    <t>SEMANA 12 Y 13</t>
  </si>
  <si>
    <t>SEMANA 31</t>
  </si>
  <si>
    <t>SEMANA 32</t>
  </si>
  <si>
    <t>SEMANA 33</t>
  </si>
  <si>
    <t>RES-POLLO--CHORIZO</t>
  </si>
  <si>
    <t>RES-POLLO-TOSTADAS</t>
  </si>
  <si>
    <t>Transfer</t>
  </si>
  <si>
    <t>QUESOS--POLLO-MAIZ</t>
  </si>
  <si>
    <t>RES-SALSAS</t>
  </si>
  <si>
    <t>MARZO.,2020</t>
  </si>
  <si>
    <t>GASOLINA</t>
  </si>
  <si>
    <t>MATERIAL LIMPIEZA</t>
  </si>
  <si>
    <t>VIGILANTE</t>
  </si>
  <si>
    <t>OFFICE DEPOT cintas</t>
  </si>
  <si>
    <t>COMISIONES BANCARIAS</t>
  </si>
  <si>
    <t>CELULARES 4  equipos</t>
  </si>
  <si>
    <t>CAMARAS Tienda</t>
  </si>
  <si>
    <t>IMSS--INFONAVIT-</t>
  </si>
  <si>
    <t>Seguro Anual  Moto</t>
  </si>
  <si>
    <t>Seguro Resp civil</t>
  </si>
  <si>
    <t>Bolsas y desechables</t>
  </si>
  <si>
    <t>SIN LUZ</t>
  </si>
  <si>
    <t>BALANCE      ABASTO 4 CARNES   ABRIL       2 0 2 0</t>
  </si>
  <si>
    <t>BALANCE      ABASTO 4 CARNES   MARZO      2 0 2 0</t>
  </si>
  <si>
    <t>NOMINA 15</t>
  </si>
  <si>
    <t>NOMINA 16</t>
  </si>
  <si>
    <t>NOMINA 17</t>
  </si>
  <si>
    <t>NOMINA 18</t>
  </si>
  <si>
    <t>NOMINA 19</t>
  </si>
  <si>
    <t>FUMIGACION</t>
  </si>
  <si>
    <t>RES-QUESOS-CHISTORRA-SALSAS-POLLO-TOSTADAS</t>
  </si>
  <si>
    <t>NO ABRIO</t>
  </si>
  <si>
    <t>POLLO--RES</t>
  </si>
  <si>
    <t>CHORIZO-JUGO</t>
  </si>
  <si>
    <t>Tranfer y Dep</t>
  </si>
  <si>
    <t>POLLO--MAIZ-QUESO</t>
  </si>
  <si>
    <t xml:space="preserve">Transfer </t>
  </si>
  <si>
    <t>RES-POLLO-CHORIZO-JUGO</t>
  </si>
  <si>
    <t>POLLO-QUESOS-VERDURA</t>
  </si>
  <si>
    <t>RES-MAIZ</t>
  </si>
  <si>
    <t>NOMINA  19</t>
  </si>
  <si>
    <t>TOSTADAS--SALSAS</t>
  </si>
  <si>
    <t>PATA-POLLO</t>
  </si>
  <si>
    <t>RES-QUESOS-POLLO</t>
  </si>
  <si>
    <t>RES-VERDURAS</t>
  </si>
  <si>
    <t>TOCINETA-QUESOS-POLLO-TOSTADAS-CHORIZO</t>
  </si>
  <si>
    <t>RES-POLLO-SALSAS</t>
  </si>
  <si>
    <t>RES--POLLO--VINAGRE</t>
  </si>
  <si>
    <t>OBRADOR</t>
  </si>
  <si>
    <t>QUESOS-MAIZ</t>
  </si>
  <si>
    <t>ABRIL.,2020</t>
  </si>
  <si>
    <t>IMPUESTOS FED</t>
  </si>
  <si>
    <t>POLICIA AUX</t>
  </si>
  <si>
    <t>Art de limpieza</t>
  </si>
  <si>
    <t xml:space="preserve">PAPELERIA </t>
  </si>
  <si>
    <t>BOMBA P/Fumigar</t>
  </si>
  <si>
    <t>Tenencia MOTO</t>
  </si>
  <si>
    <t xml:space="preserve">VIGILANCIA </t>
  </si>
  <si>
    <t>LLANTA MOTO</t>
  </si>
  <si>
    <t>FONACOT</t>
  </si>
  <si>
    <t>CELULARES-INTERNET</t>
  </si>
  <si>
    <t>ADT-SECURITY</t>
  </si>
  <si>
    <t>Material empaques</t>
  </si>
  <si>
    <t>Motores Vitrinas</t>
  </si>
  <si>
    <t>COMISIONES BANCO</t>
  </si>
  <si>
    <t>I.M.S.S  MARZO</t>
  </si>
  <si>
    <t>BALANCE      ABASTO 4 CARNES   MAYO       2 0 2 0</t>
  </si>
  <si>
    <t>NOMINA 20</t>
  </si>
  <si>
    <t>NOMINA 21</t>
  </si>
  <si>
    <t>NOMINA  22</t>
  </si>
  <si>
    <t xml:space="preserve">NOMINA  </t>
  </si>
  <si>
    <t>NOMINA 22</t>
  </si>
  <si>
    <t>CREDITOS ANT</t>
  </si>
  <si>
    <t>Caja de Rollos</t>
  </si>
  <si>
    <t>MAIZ-POLLO-JUGO</t>
  </si>
  <si>
    <t>POLLO-QUESOS-CHORIZO-VERDURAS</t>
  </si>
  <si>
    <t>SAT--S.H.C.P</t>
  </si>
  <si>
    <t>TOCINETA</t>
  </si>
  <si>
    <t>56.00obrad</t>
  </si>
  <si>
    <t>PROTECCION CIVIL</t>
  </si>
  <si>
    <t>QUESOS --POLLO-MAIZ-TOSTADAS</t>
  </si>
  <si>
    <t>POLLO-QUESOS-MAIZ-TOSTADAS</t>
  </si>
  <si>
    <t>MAIZ-QUESO-JUGO</t>
  </si>
  <si>
    <t>QUESOS--POLLO</t>
  </si>
  <si>
    <t>POLLO-SALSAS-TOSTADAS</t>
  </si>
  <si>
    <t>#  154713</t>
  </si>
  <si>
    <t>#  154716</t>
  </si>
  <si>
    <t>#  154764</t>
  </si>
  <si>
    <t>POLLO-CHORIZO-SAZONADOR</t>
  </si>
  <si>
    <t>gastos</t>
  </si>
  <si>
    <t>compras</t>
  </si>
  <si>
    <t>gastos 1</t>
  </si>
  <si>
    <t>TOTAL 1</t>
  </si>
  <si>
    <t>TOTAL  2</t>
  </si>
  <si>
    <t>bancos</t>
  </si>
  <si>
    <t>May.,2020</t>
  </si>
  <si>
    <t>VIGILANCIA</t>
  </si>
  <si>
    <t>CELULARES</t>
  </si>
  <si>
    <t>COMISIONES</t>
  </si>
  <si>
    <t>DESECHABLES</t>
  </si>
  <si>
    <t>IMSS-INFONAVIT</t>
  </si>
  <si>
    <t>Manto BASCULA Torrey</t>
  </si>
  <si>
    <t>ARQUITECTO Pisos</t>
  </si>
  <si>
    <t>RES  Facturado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</si>
</sst>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"/>
    <numFmt numFmtId="168" formatCode="[$$-80A]#,##0.00;\-[$$-80A]#,##0.00"/>
    <numFmt numFmtId="169" formatCode="[$-C0A]d\-mmm\-yyyy;@"/>
  </numFmts>
  <fonts count="4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8"/>
      <color rgb="FF0000FF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sz val="11"/>
      <color rgb="FF0000FF"/>
      <name val="Calibri Light"/>
      <family val="1"/>
      <scheme val="major"/>
    </font>
    <font>
      <b/>
      <sz val="11"/>
      <color indexed="8"/>
      <name val="Calibri"/>
      <family val="2"/>
    </font>
    <font>
      <b/>
      <sz val="14"/>
      <color indexed="8"/>
      <name val="Calibri"/>
      <family val="2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rgb="FF00B0F0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990099"/>
      <name val="Calibri"/>
      <family val="2"/>
      <scheme val="minor"/>
    </font>
    <font>
      <b/>
      <sz val="8"/>
      <color rgb="FF990099"/>
      <name val="Calibri"/>
      <family val="2"/>
      <scheme val="minor"/>
    </font>
    <font>
      <b/>
      <sz val="12"/>
      <color rgb="FF990099"/>
      <name val="Calibri"/>
      <family val="2"/>
      <scheme val="minor"/>
    </font>
    <font>
      <b/>
      <sz val="14"/>
      <color rgb="FF990099"/>
      <name val="Calibri"/>
      <family val="2"/>
      <scheme val="minor"/>
    </font>
    <font>
      <sz val="10"/>
      <color rgb="FF0000FF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0" tint="-0.14999847407452621"/>
        <bgColor indexed="64"/>
      </patternFill>
    </fill>
  </fills>
  <borders count="84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mediumDashed">
        <color indexed="64"/>
      </left>
      <right/>
      <top/>
      <bottom/>
      <diagonal/>
    </border>
    <border>
      <left style="double">
        <color indexed="64"/>
      </left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Dashed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double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98">
    <xf numFmtId="0" fontId="0" fillId="0" borderId="0" xfId="0"/>
    <xf numFmtId="164" fontId="0" fillId="0" borderId="0" xfId="0" applyNumberFormat="1" applyAlignment="1">
      <alignment horizontal="center"/>
    </xf>
    <xf numFmtId="0" fontId="4" fillId="0" borderId="0" xfId="0" applyFont="1"/>
    <xf numFmtId="44" fontId="1" fillId="0" borderId="0" xfId="1" applyFill="1"/>
    <xf numFmtId="44" fontId="2" fillId="0" borderId="0" xfId="1" applyFont="1"/>
    <xf numFmtId="44" fontId="2" fillId="0" borderId="0" xfId="1" applyFont="1" applyFill="1"/>
    <xf numFmtId="44" fontId="1" fillId="0" borderId="0" xfId="1" applyFont="1" applyFill="1"/>
    <xf numFmtId="164" fontId="0" fillId="0" borderId="0" xfId="0" applyNumberFormat="1"/>
    <xf numFmtId="44" fontId="0" fillId="0" borderId="0" xfId="1" applyFont="1"/>
    <xf numFmtId="0" fontId="2" fillId="0" borderId="0" xfId="0" applyFont="1" applyAlignment="1">
      <alignment horizontal="center"/>
    </xf>
    <xf numFmtId="44" fontId="2" fillId="0" borderId="0" xfId="1" applyFont="1" applyAlignment="1">
      <alignment horizontal="center"/>
    </xf>
    <xf numFmtId="0" fontId="5" fillId="2" borderId="0" xfId="0" applyFont="1" applyFill="1"/>
    <xf numFmtId="44" fontId="1" fillId="2" borderId="0" xfId="1" applyFill="1"/>
    <xf numFmtId="0" fontId="0" fillId="2" borderId="0" xfId="0" applyFill="1"/>
    <xf numFmtId="44" fontId="2" fillId="2" borderId="0" xfId="1" applyFont="1" applyFill="1"/>
    <xf numFmtId="0" fontId="7" fillId="0" borderId="0" xfId="0" applyFont="1" applyAlignment="1">
      <alignment horizontal="center"/>
    </xf>
    <xf numFmtId="44" fontId="1" fillId="0" borderId="0" xfId="1"/>
    <xf numFmtId="44" fontId="8" fillId="2" borderId="0" xfId="1" applyFont="1" applyFill="1"/>
    <xf numFmtId="0" fontId="8" fillId="2" borderId="0" xfId="0" applyFont="1" applyFill="1"/>
    <xf numFmtId="164" fontId="2" fillId="0" borderId="4" xfId="0" applyNumberFormat="1" applyFont="1" applyBorder="1" applyAlignment="1">
      <alignment horizontal="center"/>
    </xf>
    <xf numFmtId="0" fontId="2" fillId="0" borderId="5" xfId="0" applyFont="1" applyBorder="1"/>
    <xf numFmtId="44" fontId="2" fillId="0" borderId="6" xfId="1" applyFont="1" applyBorder="1" applyAlignment="1">
      <alignment horizontal="right"/>
    </xf>
    <xf numFmtId="0" fontId="10" fillId="0" borderId="7" xfId="0" applyFont="1" applyBorder="1"/>
    <xf numFmtId="164" fontId="11" fillId="0" borderId="8" xfId="0" applyNumberFormat="1" applyFont="1" applyBorder="1" applyAlignment="1">
      <alignment horizontal="center"/>
    </xf>
    <xf numFmtId="0" fontId="14" fillId="0" borderId="13" xfId="0" applyFont="1" applyBorder="1"/>
    <xf numFmtId="44" fontId="15" fillId="4" borderId="0" xfId="1" applyFont="1" applyFill="1" applyAlignment="1">
      <alignment horizontal="center"/>
    </xf>
    <xf numFmtId="44" fontId="15" fillId="4" borderId="14" xfId="1" applyFont="1" applyFill="1" applyBorder="1" applyAlignment="1">
      <alignment horizontal="center"/>
    </xf>
    <xf numFmtId="44" fontId="2" fillId="0" borderId="0" xfId="1" applyFont="1" applyFill="1" applyBorder="1" applyAlignment="1">
      <alignment horizontal="center"/>
    </xf>
    <xf numFmtId="44" fontId="2" fillId="0" borderId="0" xfId="1" applyFont="1" applyFill="1" applyAlignment="1">
      <alignment horizontal="center"/>
    </xf>
    <xf numFmtId="165" fontId="2" fillId="0" borderId="0" xfId="0" applyNumberFormat="1" applyFont="1"/>
    <xf numFmtId="16" fontId="0" fillId="0" borderId="0" xfId="0" applyNumberFormat="1"/>
    <xf numFmtId="44" fontId="2" fillId="0" borderId="1" xfId="1" applyFont="1" applyFill="1" applyBorder="1"/>
    <xf numFmtId="44" fontId="2" fillId="0" borderId="18" xfId="1" applyFont="1" applyFill="1" applyBorder="1"/>
    <xf numFmtId="44" fontId="2" fillId="0" borderId="20" xfId="1" applyFont="1" applyFill="1" applyBorder="1"/>
    <xf numFmtId="44" fontId="2" fillId="0" borderId="21" xfId="1" applyFont="1" applyFill="1" applyBorder="1"/>
    <xf numFmtId="44" fontId="2" fillId="0" borderId="22" xfId="1" applyFont="1" applyFill="1" applyBorder="1"/>
    <xf numFmtId="44" fontId="2" fillId="0" borderId="0" xfId="1" applyFont="1" applyFill="1" applyBorder="1"/>
    <xf numFmtId="44" fontId="0" fillId="0" borderId="0" xfId="0" applyNumberFormat="1"/>
    <xf numFmtId="0" fontId="2" fillId="0" borderId="23" xfId="0" applyFont="1" applyBorder="1"/>
    <xf numFmtId="44" fontId="2" fillId="0" borderId="24" xfId="1" applyFont="1" applyFill="1" applyBorder="1"/>
    <xf numFmtId="16" fontId="18" fillId="0" borderId="0" xfId="1" applyNumberFormat="1" applyFont="1" applyFill="1" applyAlignment="1">
      <alignment horizontal="center"/>
    </xf>
    <xf numFmtId="0" fontId="0" fillId="0" borderId="5" xfId="0" applyBorder="1"/>
    <xf numFmtId="44" fontId="2" fillId="0" borderId="25" xfId="1" applyFont="1" applyBorder="1"/>
    <xf numFmtId="165" fontId="2" fillId="0" borderId="0" xfId="0" applyNumberFormat="1" applyFont="1" applyAlignment="1">
      <alignment wrapText="1"/>
    </xf>
    <xf numFmtId="0" fontId="12" fillId="0" borderId="23" xfId="0" applyFont="1" applyBorder="1"/>
    <xf numFmtId="15" fontId="2" fillId="0" borderId="0" xfId="1" applyNumberFormat="1" applyFont="1" applyFill="1"/>
    <xf numFmtId="0" fontId="8" fillId="0" borderId="5" xfId="0" applyFont="1" applyBorder="1" applyAlignment="1">
      <alignment horizontal="center"/>
    </xf>
    <xf numFmtId="166" fontId="2" fillId="0" borderId="25" xfId="0" applyNumberFormat="1" applyFont="1" applyBorder="1"/>
    <xf numFmtId="165" fontId="2" fillId="0" borderId="0" xfId="1" applyNumberFormat="1" applyFont="1"/>
    <xf numFmtId="0" fontId="2" fillId="5" borderId="0" xfId="0" applyFont="1" applyFill="1"/>
    <xf numFmtId="166" fontId="2" fillId="0" borderId="0" xfId="0" applyNumberFormat="1" applyFont="1"/>
    <xf numFmtId="15" fontId="9" fillId="0" borderId="0" xfId="1" applyNumberFormat="1" applyFont="1" applyFill="1"/>
    <xf numFmtId="166" fontId="2" fillId="6" borderId="25" xfId="0" applyNumberFormat="1" applyFont="1" applyFill="1" applyBorder="1"/>
    <xf numFmtId="16" fontId="13" fillId="0" borderId="0" xfId="1" applyNumberFormat="1" applyFont="1" applyFill="1" applyAlignment="1">
      <alignment horizontal="left"/>
    </xf>
    <xf numFmtId="0" fontId="8" fillId="0" borderId="5" xfId="0" applyFont="1" applyBorder="1"/>
    <xf numFmtId="44" fontId="2" fillId="0" borderId="25" xfId="1" applyFont="1" applyFill="1" applyBorder="1"/>
    <xf numFmtId="16" fontId="19" fillId="0" borderId="0" xfId="1" applyNumberFormat="1" applyFont="1" applyFill="1" applyAlignment="1">
      <alignment horizontal="center"/>
    </xf>
    <xf numFmtId="16" fontId="13" fillId="0" borderId="5" xfId="0" applyNumberFormat="1" applyFont="1" applyBorder="1"/>
    <xf numFmtId="44" fontId="2" fillId="3" borderId="26" xfId="1" applyFont="1" applyFill="1" applyBorder="1"/>
    <xf numFmtId="0" fontId="2" fillId="0" borderId="0" xfId="0" applyFont="1"/>
    <xf numFmtId="165" fontId="12" fillId="0" borderId="0" xfId="1" applyNumberFormat="1" applyFont="1" applyFill="1" applyAlignment="1">
      <alignment horizontal="center"/>
    </xf>
    <xf numFmtId="0" fontId="12" fillId="0" borderId="0" xfId="0" applyFont="1"/>
    <xf numFmtId="44" fontId="2" fillId="0" borderId="5" xfId="1" applyFont="1" applyBorder="1" applyAlignment="1">
      <alignment horizontal="right"/>
    </xf>
    <xf numFmtId="164" fontId="2" fillId="0" borderId="0" xfId="0" applyNumberFormat="1" applyFont="1" applyAlignment="1">
      <alignment horizontal="center"/>
    </xf>
    <xf numFmtId="44" fontId="2" fillId="0" borderId="5" xfId="1" applyFont="1" applyBorder="1"/>
    <xf numFmtId="44" fontId="8" fillId="0" borderId="0" xfId="1" applyFont="1" applyAlignment="1">
      <alignment horizontal="right"/>
    </xf>
    <xf numFmtId="44" fontId="5" fillId="0" borderId="14" xfId="1" applyFont="1" applyBorder="1" applyAlignment="1">
      <alignment horizontal="right"/>
    </xf>
    <xf numFmtId="165" fontId="12" fillId="0" borderId="0" xfId="1" applyNumberFormat="1" applyFont="1" applyAlignment="1">
      <alignment horizontal="center"/>
    </xf>
    <xf numFmtId="44" fontId="2" fillId="0" borderId="25" xfId="1" applyFont="1" applyFill="1" applyBorder="1" applyAlignment="1">
      <alignment horizontal="right"/>
    </xf>
    <xf numFmtId="0" fontId="20" fillId="0" borderId="0" xfId="0" applyFont="1"/>
    <xf numFmtId="44" fontId="2" fillId="0" borderId="0" xfId="1" applyFont="1" applyAlignment="1">
      <alignment horizontal="right"/>
    </xf>
    <xf numFmtId="16" fontId="2" fillId="0" borderId="4" xfId="0" applyNumberFormat="1" applyFont="1" applyBorder="1"/>
    <xf numFmtId="0" fontId="2" fillId="0" borderId="28" xfId="0" applyFont="1" applyBorder="1"/>
    <xf numFmtId="44" fontId="2" fillId="0" borderId="29" xfId="1" applyFont="1" applyFill="1" applyBorder="1"/>
    <xf numFmtId="16" fontId="8" fillId="0" borderId="4" xfId="0" applyNumberFormat="1" applyFont="1" applyBorder="1"/>
    <xf numFmtId="44" fontId="2" fillId="3" borderId="27" xfId="1" applyFont="1" applyFill="1" applyBorder="1" applyAlignment="1">
      <alignment horizontal="right"/>
    </xf>
    <xf numFmtId="165" fontId="2" fillId="0" borderId="0" xfId="1" applyNumberFormat="1" applyFont="1" applyAlignment="1">
      <alignment horizontal="center"/>
    </xf>
    <xf numFmtId="44" fontId="2" fillId="0" borderId="29" xfId="1" applyFont="1" applyFill="1" applyBorder="1" applyAlignment="1">
      <alignment horizontal="right"/>
    </xf>
    <xf numFmtId="44" fontId="2" fillId="3" borderId="5" xfId="1" applyFont="1" applyFill="1" applyBorder="1" applyAlignment="1">
      <alignment horizontal="right"/>
    </xf>
    <xf numFmtId="165" fontId="2" fillId="0" borderId="19" xfId="1" applyNumberFormat="1" applyFont="1" applyBorder="1" applyAlignment="1">
      <alignment horizontal="center"/>
    </xf>
    <xf numFmtId="165" fontId="2" fillId="0" borderId="7" xfId="0" applyNumberFormat="1" applyFont="1" applyBorder="1" applyAlignment="1">
      <alignment horizontal="center"/>
    </xf>
    <xf numFmtId="0" fontId="12" fillId="0" borderId="4" xfId="0" applyFont="1" applyBorder="1"/>
    <xf numFmtId="44" fontId="2" fillId="0" borderId="16" xfId="1" applyFont="1" applyFill="1" applyBorder="1" applyAlignment="1">
      <alignment horizontal="right"/>
    </xf>
    <xf numFmtId="165" fontId="13" fillId="0" borderId="19" xfId="1" applyNumberFormat="1" applyFont="1" applyBorder="1" applyAlignment="1">
      <alignment horizontal="left"/>
    </xf>
    <xf numFmtId="0" fontId="16" fillId="0" borderId="5" xfId="0" applyFont="1" applyBorder="1"/>
    <xf numFmtId="16" fontId="2" fillId="0" borderId="4" xfId="0" applyNumberFormat="1" applyFont="1" applyBorder="1" applyAlignment="1">
      <alignment horizontal="center"/>
    </xf>
    <xf numFmtId="44" fontId="2" fillId="0" borderId="0" xfId="1" applyFont="1" applyFill="1" applyAlignment="1"/>
    <xf numFmtId="165" fontId="13" fillId="0" borderId="0" xfId="1" applyNumberFormat="1" applyFont="1" applyBorder="1" applyAlignment="1">
      <alignment horizontal="left"/>
    </xf>
    <xf numFmtId="0" fontId="16" fillId="0" borderId="27" xfId="0" applyFont="1" applyBorder="1"/>
    <xf numFmtId="16" fontId="0" fillId="0" borderId="5" xfId="0" applyNumberFormat="1" applyBorder="1"/>
    <xf numFmtId="0" fontId="16" fillId="0" borderId="5" xfId="0" applyFont="1" applyBorder="1" applyAlignment="1">
      <alignment horizontal="right"/>
    </xf>
    <xf numFmtId="44" fontId="2" fillId="0" borderId="32" xfId="1" applyFont="1" applyFill="1" applyBorder="1"/>
    <xf numFmtId="44" fontId="2" fillId="0" borderId="8" xfId="1" applyFont="1" applyFill="1" applyBorder="1"/>
    <xf numFmtId="44" fontId="2" fillId="0" borderId="0" xfId="1" applyFont="1" applyBorder="1"/>
    <xf numFmtId="15" fontId="2" fillId="0" borderId="34" xfId="0" applyNumberFormat="1" applyFont="1" applyBorder="1"/>
    <xf numFmtId="44" fontId="2" fillId="0" borderId="35" xfId="1" applyFont="1" applyFill="1" applyBorder="1"/>
    <xf numFmtId="0" fontId="0" fillId="0" borderId="33" xfId="0" applyBorder="1"/>
    <xf numFmtId="44" fontId="2" fillId="0" borderId="36" xfId="1" applyFont="1" applyFill="1" applyBorder="1"/>
    <xf numFmtId="15" fontId="2" fillId="0" borderId="0" xfId="0" applyNumberFormat="1" applyFont="1"/>
    <xf numFmtId="44" fontId="2" fillId="0" borderId="37" xfId="1" applyFont="1" applyFill="1" applyBorder="1"/>
    <xf numFmtId="44" fontId="0" fillId="0" borderId="0" xfId="1" applyFont="1" applyBorder="1"/>
    <xf numFmtId="165" fontId="9" fillId="0" borderId="5" xfId="1" applyNumberFormat="1" applyFont="1" applyFill="1" applyBorder="1" applyAlignment="1">
      <alignment horizontal="left"/>
    </xf>
    <xf numFmtId="44" fontId="12" fillId="0" borderId="5" xfId="1" applyFont="1" applyFill="1" applyBorder="1" applyAlignment="1">
      <alignment horizontal="right"/>
    </xf>
    <xf numFmtId="165" fontId="9" fillId="0" borderId="39" xfId="1" applyNumberFormat="1" applyFont="1" applyFill="1" applyBorder="1" applyAlignment="1">
      <alignment horizontal="left"/>
    </xf>
    <xf numFmtId="44" fontId="2" fillId="0" borderId="30" xfId="1" applyFont="1" applyFill="1" applyBorder="1"/>
    <xf numFmtId="0" fontId="13" fillId="0" borderId="0" xfId="0" applyFont="1"/>
    <xf numFmtId="164" fontId="2" fillId="0" borderId="40" xfId="0" applyNumberFormat="1" applyFont="1" applyBorder="1" applyAlignment="1">
      <alignment horizontal="center"/>
    </xf>
    <xf numFmtId="44" fontId="2" fillId="0" borderId="41" xfId="1" applyFont="1" applyBorder="1"/>
    <xf numFmtId="15" fontId="2" fillId="0" borderId="41" xfId="0" applyNumberFormat="1" applyFont="1" applyBorder="1"/>
    <xf numFmtId="44" fontId="1" fillId="0" borderId="41" xfId="1" applyBorder="1"/>
    <xf numFmtId="0" fontId="0" fillId="0" borderId="41" xfId="0" applyBorder="1"/>
    <xf numFmtId="44" fontId="1" fillId="0" borderId="30" xfId="1" applyBorder="1"/>
    <xf numFmtId="44" fontId="8" fillId="7" borderId="42" xfId="1" applyFont="1" applyFill="1" applyBorder="1" applyAlignment="1">
      <alignment horizontal="center"/>
    </xf>
    <xf numFmtId="44" fontId="8" fillId="7" borderId="32" xfId="1" applyFont="1" applyFill="1" applyBorder="1" applyAlignment="1">
      <alignment horizontal="center"/>
    </xf>
    <xf numFmtId="44" fontId="8" fillId="0" borderId="0" xfId="1" applyFont="1" applyFill="1" applyBorder="1" applyAlignment="1">
      <alignment horizontal="center"/>
    </xf>
    <xf numFmtId="164" fontId="12" fillId="0" borderId="43" xfId="0" applyNumberFormat="1" applyFont="1" applyBorder="1" applyAlignment="1">
      <alignment horizontal="center"/>
    </xf>
    <xf numFmtId="44" fontId="9" fillId="0" borderId="44" xfId="1" applyFont="1" applyBorder="1"/>
    <xf numFmtId="0" fontId="0" fillId="0" borderId="45" xfId="0" applyBorder="1"/>
    <xf numFmtId="0" fontId="21" fillId="0" borderId="45" xfId="0" applyFont="1" applyBorder="1" applyAlignment="1">
      <alignment horizontal="center"/>
    </xf>
    <xf numFmtId="44" fontId="22" fillId="0" borderId="45" xfId="1" applyFont="1" applyBorder="1"/>
    <xf numFmtId="0" fontId="2" fillId="0" borderId="45" xfId="0" applyFont="1" applyBorder="1" applyAlignment="1">
      <alignment horizontal="center"/>
    </xf>
    <xf numFmtId="44" fontId="2" fillId="0" borderId="46" xfId="1" applyFont="1" applyBorder="1"/>
    <xf numFmtId="166" fontId="2" fillId="0" borderId="42" xfId="0" applyNumberFormat="1" applyFont="1" applyBorder="1" applyAlignment="1">
      <alignment horizontal="center"/>
    </xf>
    <xf numFmtId="166" fontId="8" fillId="0" borderId="32" xfId="0" applyNumberFormat="1" applyFont="1" applyBorder="1"/>
    <xf numFmtId="168" fontId="5" fillId="0" borderId="0" xfId="1" applyNumberFormat="1" applyFont="1" applyFill="1" applyBorder="1" applyAlignment="1">
      <alignment horizontal="center" vertical="center" wrapText="1"/>
    </xf>
    <xf numFmtId="164" fontId="18" fillId="0" borderId="0" xfId="0" applyNumberFormat="1" applyFont="1" applyAlignment="1">
      <alignment horizontal="center"/>
    </xf>
    <xf numFmtId="166" fontId="9" fillId="0" borderId="48" xfId="0" applyNumberFormat="1" applyFont="1" applyBorder="1" applyAlignment="1">
      <alignment horizontal="center" vertical="center" wrapText="1"/>
    </xf>
    <xf numFmtId="44" fontId="2" fillId="0" borderId="0" xfId="1" applyFont="1" applyFill="1" applyBorder="1" applyAlignment="1">
      <alignment horizontal="right"/>
    </xf>
    <xf numFmtId="44" fontId="2" fillId="0" borderId="0" xfId="0" applyNumberFormat="1" applyFont="1"/>
    <xf numFmtId="44" fontId="8" fillId="0" borderId="5" xfId="1" applyFont="1" applyBorder="1"/>
    <xf numFmtId="44" fontId="9" fillId="0" borderId="0" xfId="1" applyFont="1" applyAlignment="1">
      <alignment horizontal="center" vertical="center" wrapText="1"/>
    </xf>
    <xf numFmtId="44" fontId="8" fillId="0" borderId="0" xfId="1" applyFont="1"/>
    <xf numFmtId="0" fontId="23" fillId="0" borderId="30" xfId="0" applyFont="1" applyBorder="1"/>
    <xf numFmtId="0" fontId="24" fillId="0" borderId="30" xfId="0" applyFont="1" applyBorder="1" applyAlignment="1">
      <alignment horizontal="right"/>
    </xf>
    <xf numFmtId="44" fontId="2" fillId="0" borderId="30" xfId="1" applyFont="1" applyBorder="1"/>
    <xf numFmtId="0" fontId="8" fillId="0" borderId="0" xfId="0" applyFont="1" applyAlignment="1">
      <alignment vertical="center"/>
    </xf>
    <xf numFmtId="166" fontId="14" fillId="0" borderId="0" xfId="0" applyNumberFormat="1" applyFont="1"/>
    <xf numFmtId="0" fontId="2" fillId="0" borderId="25" xfId="0" applyFont="1" applyBorder="1" applyAlignment="1">
      <alignment horizontal="left"/>
    </xf>
    <xf numFmtId="0" fontId="8" fillId="0" borderId="39" xfId="0" applyFont="1" applyBorder="1" applyAlignment="1">
      <alignment vertical="center"/>
    </xf>
    <xf numFmtId="0" fontId="2" fillId="0" borderId="0" xfId="0" applyFont="1" applyAlignment="1">
      <alignment horizontal="right"/>
    </xf>
    <xf numFmtId="44" fontId="8" fillId="0" borderId="5" xfId="1" applyFont="1" applyFill="1" applyBorder="1"/>
    <xf numFmtId="165" fontId="25" fillId="0" borderId="25" xfId="1" applyNumberFormat="1" applyFont="1" applyBorder="1"/>
    <xf numFmtId="44" fontId="26" fillId="0" borderId="41" xfId="1" applyFont="1" applyBorder="1"/>
    <xf numFmtId="44" fontId="21" fillId="0" borderId="0" xfId="1" applyFont="1"/>
    <xf numFmtId="0" fontId="21" fillId="0" borderId="0" xfId="0" applyFont="1" applyAlignment="1">
      <alignment horizontal="center"/>
    </xf>
    <xf numFmtId="44" fontId="27" fillId="0" borderId="0" xfId="1" applyFont="1"/>
    <xf numFmtId="44" fontId="5" fillId="0" borderId="0" xfId="1" applyFont="1"/>
    <xf numFmtId="44" fontId="4" fillId="0" borderId="0" xfId="1" applyFont="1"/>
    <xf numFmtId="44" fontId="1" fillId="0" borderId="0" xfId="1" applyBorder="1"/>
    <xf numFmtId="164" fontId="2" fillId="0" borderId="4" xfId="0" applyNumberFormat="1" applyFont="1" applyFill="1" applyBorder="1" applyAlignment="1">
      <alignment horizontal="center"/>
    </xf>
    <xf numFmtId="166" fontId="16" fillId="0" borderId="0" xfId="0" applyNumberFormat="1" applyFont="1" applyFill="1" applyAlignment="1">
      <alignment horizontal="left"/>
    </xf>
    <xf numFmtId="15" fontId="2" fillId="0" borderId="17" xfId="0" applyNumberFormat="1" applyFont="1" applyFill="1" applyBorder="1"/>
    <xf numFmtId="0" fontId="0" fillId="0" borderId="0" xfId="0" applyFill="1"/>
    <xf numFmtId="15" fontId="2" fillId="0" borderId="19" xfId="0" applyNumberFormat="1" applyFont="1" applyFill="1" applyBorder="1"/>
    <xf numFmtId="166" fontId="17" fillId="0" borderId="0" xfId="0" applyNumberFormat="1" applyFont="1" applyFill="1"/>
    <xf numFmtId="166" fontId="19" fillId="0" borderId="0" xfId="0" applyNumberFormat="1" applyFont="1" applyFill="1"/>
    <xf numFmtId="166" fontId="16" fillId="0" borderId="0" xfId="0" applyNumberFormat="1" applyFont="1" applyFill="1"/>
    <xf numFmtId="166" fontId="12" fillId="0" borderId="0" xfId="0" applyNumberFormat="1" applyFont="1" applyFill="1"/>
    <xf numFmtId="44" fontId="2" fillId="0" borderId="31" xfId="1" applyFont="1" applyFill="1" applyBorder="1"/>
    <xf numFmtId="165" fontId="8" fillId="0" borderId="5" xfId="1" applyNumberFormat="1" applyFont="1" applyFill="1" applyBorder="1" applyAlignment="1">
      <alignment horizontal="left"/>
    </xf>
    <xf numFmtId="0" fontId="2" fillId="0" borderId="5" xfId="0" applyFont="1" applyFill="1" applyBorder="1" applyAlignment="1">
      <alignment horizontal="center"/>
    </xf>
    <xf numFmtId="44" fontId="2" fillId="0" borderId="5" xfId="1" applyFont="1" applyFill="1" applyBorder="1" applyAlignment="1">
      <alignment horizontal="right"/>
    </xf>
    <xf numFmtId="166" fontId="2" fillId="0" borderId="0" xfId="0" applyNumberFormat="1" applyFont="1" applyFill="1"/>
    <xf numFmtId="0" fontId="12" fillId="0" borderId="5" xfId="0" applyFont="1" applyFill="1" applyBorder="1" applyAlignment="1">
      <alignment horizontal="left"/>
    </xf>
    <xf numFmtId="0" fontId="19" fillId="0" borderId="5" xfId="0" applyFont="1" applyFill="1" applyBorder="1" applyAlignment="1">
      <alignment horizontal="left"/>
    </xf>
    <xf numFmtId="0" fontId="16" fillId="0" borderId="5" xfId="0" applyFont="1" applyFill="1" applyBorder="1" applyAlignment="1">
      <alignment horizontal="left"/>
    </xf>
    <xf numFmtId="44" fontId="18" fillId="0" borderId="4" xfId="1" applyFont="1" applyFill="1" applyBorder="1" applyAlignment="1">
      <alignment horizontal="left"/>
    </xf>
    <xf numFmtId="165" fontId="2" fillId="0" borderId="5" xfId="0" applyNumberFormat="1" applyFont="1" applyBorder="1"/>
    <xf numFmtId="44" fontId="12" fillId="0" borderId="5" xfId="1" applyFont="1" applyBorder="1"/>
    <xf numFmtId="0" fontId="8" fillId="0" borderId="41" xfId="0" applyFont="1" applyBorder="1" applyAlignment="1">
      <alignment horizontal="center"/>
    </xf>
    <xf numFmtId="44" fontId="8" fillId="0" borderId="41" xfId="1" applyFont="1" applyBorder="1" applyAlignment="1">
      <alignment horizontal="center"/>
    </xf>
    <xf numFmtId="164" fontId="31" fillId="0" borderId="38" xfId="0" applyNumberFormat="1" applyFont="1" applyBorder="1" applyAlignment="1">
      <alignment horizontal="center"/>
    </xf>
    <xf numFmtId="1" fontId="32" fillId="0" borderId="38" xfId="0" applyNumberFormat="1" applyFont="1" applyBorder="1" applyAlignment="1">
      <alignment horizontal="center"/>
    </xf>
    <xf numFmtId="44" fontId="33" fillId="0" borderId="50" xfId="1" applyFont="1" applyBorder="1"/>
    <xf numFmtId="164" fontId="31" fillId="0" borderId="5" xfId="0" applyNumberFormat="1" applyFont="1" applyBorder="1" applyAlignment="1">
      <alignment horizontal="center"/>
    </xf>
    <xf numFmtId="1" fontId="32" fillId="0" borderId="5" xfId="0" applyNumberFormat="1" applyFont="1" applyBorder="1" applyAlignment="1">
      <alignment horizontal="center"/>
    </xf>
    <xf numFmtId="44" fontId="2" fillId="0" borderId="5" xfId="1" applyFont="1" applyFill="1" applyBorder="1"/>
    <xf numFmtId="164" fontId="2" fillId="0" borderId="5" xfId="0" applyNumberFormat="1" applyFont="1" applyBorder="1" applyAlignment="1">
      <alignment horizontal="center"/>
    </xf>
    <xf numFmtId="164" fontId="31" fillId="0" borderId="51" xfId="0" applyNumberFormat="1" applyFont="1" applyBorder="1" applyAlignment="1">
      <alignment horizontal="center"/>
    </xf>
    <xf numFmtId="1" fontId="32" fillId="0" borderId="51" xfId="0" applyNumberFormat="1" applyFont="1" applyBorder="1" applyAlignment="1">
      <alignment horizontal="center"/>
    </xf>
    <xf numFmtId="164" fontId="2" fillId="0" borderId="30" xfId="0" applyNumberFormat="1" applyFont="1" applyBorder="1" applyAlignment="1">
      <alignment horizontal="center"/>
    </xf>
    <xf numFmtId="44" fontId="34" fillId="3" borderId="50" xfId="1" applyFont="1" applyFill="1" applyBorder="1"/>
    <xf numFmtId="44" fontId="1" fillId="8" borderId="0" xfId="1" applyFill="1"/>
    <xf numFmtId="0" fontId="0" fillId="8" borderId="0" xfId="0" applyFill="1"/>
    <xf numFmtId="164" fontId="2" fillId="8" borderId="0" xfId="0" applyNumberFormat="1" applyFont="1" applyFill="1" applyAlignment="1">
      <alignment horizontal="center"/>
    </xf>
    <xf numFmtId="0" fontId="35" fillId="8" borderId="0" xfId="0" applyFont="1" applyFill="1"/>
    <xf numFmtId="0" fontId="2" fillId="0" borderId="0" xfId="0" applyFont="1" applyFill="1"/>
    <xf numFmtId="44" fontId="2" fillId="3" borderId="52" xfId="1" applyFont="1" applyFill="1" applyBorder="1"/>
    <xf numFmtId="0" fontId="12" fillId="0" borderId="30" xfId="0" applyFont="1" applyBorder="1"/>
    <xf numFmtId="0" fontId="2" fillId="0" borderId="0" xfId="0" applyFont="1" applyBorder="1"/>
    <xf numFmtId="167" fontId="2" fillId="0" borderId="0" xfId="0" applyNumberFormat="1" applyFont="1" applyBorder="1"/>
    <xf numFmtId="0" fontId="2" fillId="0" borderId="0" xfId="0" applyFont="1" applyFill="1" applyBorder="1"/>
    <xf numFmtId="0" fontId="0" fillId="0" borderId="0" xfId="0" applyFill="1" applyBorder="1"/>
    <xf numFmtId="0" fontId="0" fillId="0" borderId="55" xfId="0" applyBorder="1"/>
    <xf numFmtId="0" fontId="2" fillId="0" borderId="27" xfId="0" applyFont="1" applyBorder="1"/>
    <xf numFmtId="0" fontId="8" fillId="0" borderId="0" xfId="0" applyFont="1" applyAlignment="1">
      <alignment horizontal="center"/>
    </xf>
    <xf numFmtId="44" fontId="2" fillId="3" borderId="25" xfId="1" applyFont="1" applyFill="1" applyBorder="1" applyAlignment="1">
      <alignment horizontal="right"/>
    </xf>
    <xf numFmtId="165" fontId="0" fillId="0" borderId="5" xfId="0" applyNumberFormat="1" applyBorder="1"/>
    <xf numFmtId="44" fontId="2" fillId="5" borderId="0" xfId="1" applyFont="1" applyFill="1"/>
    <xf numFmtId="0" fontId="12" fillId="0" borderId="15" xfId="0" applyFont="1" applyBorder="1"/>
    <xf numFmtId="16" fontId="2" fillId="0" borderId="5" xfId="0" applyNumberFormat="1" applyFont="1" applyBorder="1"/>
    <xf numFmtId="44" fontId="2" fillId="3" borderId="0" xfId="1" applyFont="1" applyFill="1"/>
    <xf numFmtId="165" fontId="2" fillId="3" borderId="4" xfId="0" applyNumberFormat="1" applyFont="1" applyFill="1" applyBorder="1" applyAlignment="1">
      <alignment horizontal="left"/>
    </xf>
    <xf numFmtId="16" fontId="8" fillId="0" borderId="0" xfId="1" applyNumberFormat="1" applyFont="1" applyFill="1" applyAlignment="1">
      <alignment horizontal="center"/>
    </xf>
    <xf numFmtId="166" fontId="36" fillId="0" borderId="41" xfId="0" applyNumberFormat="1" applyFont="1" applyBorder="1"/>
    <xf numFmtId="164" fontId="2" fillId="0" borderId="58" xfId="0" applyNumberFormat="1" applyFont="1" applyBorder="1" applyAlignment="1">
      <alignment horizontal="center"/>
    </xf>
    <xf numFmtId="44" fontId="2" fillId="0" borderId="59" xfId="1" applyFont="1" applyFill="1" applyBorder="1"/>
    <xf numFmtId="166" fontId="17" fillId="0" borderId="0" xfId="0" applyNumberFormat="1" applyFont="1" applyBorder="1"/>
    <xf numFmtId="164" fontId="2" fillId="0" borderId="60" xfId="0" applyNumberFormat="1" applyFont="1" applyBorder="1" applyAlignment="1">
      <alignment horizontal="center"/>
    </xf>
    <xf numFmtId="166" fontId="9" fillId="0" borderId="1" xfId="0" applyNumberFormat="1" applyFont="1" applyBorder="1"/>
    <xf numFmtId="166" fontId="9" fillId="0" borderId="6" xfId="0" applyNumberFormat="1" applyFont="1" applyBorder="1"/>
    <xf numFmtId="164" fontId="2" fillId="0" borderId="62" xfId="0" applyNumberFormat="1" applyFont="1" applyBorder="1" applyAlignment="1">
      <alignment horizontal="center"/>
    </xf>
    <xf numFmtId="44" fontId="2" fillId="0" borderId="63" xfId="1" applyFont="1" applyFill="1" applyBorder="1"/>
    <xf numFmtId="166" fontId="9" fillId="0" borderId="64" xfId="0" applyNumberFormat="1" applyFont="1" applyBorder="1"/>
    <xf numFmtId="164" fontId="37" fillId="0" borderId="0" xfId="1" applyNumberFormat="1" applyFont="1" applyAlignment="1">
      <alignment horizontal="left"/>
    </xf>
    <xf numFmtId="165" fontId="2" fillId="3" borderId="0" xfId="0" applyNumberFormat="1" applyFont="1" applyFill="1" applyAlignment="1">
      <alignment horizontal="left"/>
    </xf>
    <xf numFmtId="44" fontId="9" fillId="0" borderId="3" xfId="1" applyFont="1" applyBorder="1"/>
    <xf numFmtId="165" fontId="19" fillId="0" borderId="5" xfId="1" applyNumberFormat="1" applyFont="1" applyFill="1" applyBorder="1" applyAlignment="1">
      <alignment horizontal="left"/>
    </xf>
    <xf numFmtId="0" fontId="17" fillId="0" borderId="38" xfId="0" applyFont="1" applyFill="1" applyBorder="1" applyAlignment="1">
      <alignment horizontal="left"/>
    </xf>
    <xf numFmtId="166" fontId="9" fillId="0" borderId="48" xfId="0" applyNumberFormat="1" applyFont="1" applyBorder="1" applyAlignment="1">
      <alignment horizontal="center" vertical="center" wrapText="1"/>
    </xf>
    <xf numFmtId="165" fontId="2" fillId="0" borderId="4" xfId="0" applyNumberFormat="1" applyFont="1" applyFill="1" applyBorder="1" applyAlignment="1">
      <alignment horizontal="left"/>
    </xf>
    <xf numFmtId="0" fontId="12" fillId="0" borderId="0" xfId="0" applyFont="1" applyBorder="1"/>
    <xf numFmtId="165" fontId="0" fillId="0" borderId="0" xfId="0" applyNumberFormat="1"/>
    <xf numFmtId="0" fontId="20" fillId="11" borderId="0" xfId="0" applyFont="1" applyFill="1" applyAlignment="1">
      <alignment horizontal="center"/>
    </xf>
    <xf numFmtId="44" fontId="2" fillId="12" borderId="0" xfId="1" applyFont="1" applyFill="1"/>
    <xf numFmtId="16" fontId="8" fillId="0" borderId="0" xfId="0" applyNumberFormat="1" applyFont="1"/>
    <xf numFmtId="44" fontId="2" fillId="3" borderId="5" xfId="1" applyFont="1" applyFill="1" applyBorder="1"/>
    <xf numFmtId="44" fontId="2" fillId="3" borderId="61" xfId="1" applyFont="1" applyFill="1" applyBorder="1"/>
    <xf numFmtId="165" fontId="13" fillId="0" borderId="5" xfId="1" applyNumberFormat="1" applyFont="1" applyFill="1" applyBorder="1" applyAlignment="1">
      <alignment horizontal="left"/>
    </xf>
    <xf numFmtId="0" fontId="12" fillId="0" borderId="65" xfId="0" applyFont="1" applyFill="1" applyBorder="1" applyAlignment="1">
      <alignment horizontal="left"/>
    </xf>
    <xf numFmtId="0" fontId="12" fillId="0" borderId="5" xfId="0" applyFont="1" applyFill="1" applyBorder="1" applyAlignment="1">
      <alignment horizontal="center"/>
    </xf>
    <xf numFmtId="169" fontId="25" fillId="0" borderId="25" xfId="1" applyNumberFormat="1" applyFont="1" applyBorder="1"/>
    <xf numFmtId="166" fontId="9" fillId="0" borderId="48" xfId="0" applyNumberFormat="1" applyFont="1" applyBorder="1" applyAlignment="1">
      <alignment horizontal="center" vertical="center" wrapText="1"/>
    </xf>
    <xf numFmtId="0" fontId="5" fillId="0" borderId="0" xfId="0" applyFont="1" applyFill="1"/>
    <xf numFmtId="44" fontId="8" fillId="14" borderId="0" xfId="1" applyFont="1" applyFill="1"/>
    <xf numFmtId="44" fontId="1" fillId="14" borderId="0" xfId="1" applyFill="1"/>
    <xf numFmtId="0" fontId="8" fillId="14" borderId="0" xfId="0" applyFont="1" applyFill="1"/>
    <xf numFmtId="44" fontId="2" fillId="0" borderId="66" xfId="1" applyFont="1" applyFill="1" applyBorder="1"/>
    <xf numFmtId="44" fontId="2" fillId="0" borderId="67" xfId="1" applyFont="1" applyFill="1" applyBorder="1"/>
    <xf numFmtId="15" fontId="2" fillId="0" borderId="47" xfId="0" applyNumberFormat="1" applyFont="1" applyFill="1" applyBorder="1"/>
    <xf numFmtId="15" fontId="2" fillId="0" borderId="8" xfId="0" applyNumberFormat="1" applyFont="1" applyFill="1" applyBorder="1"/>
    <xf numFmtId="166" fontId="17" fillId="0" borderId="69" xfId="0" applyNumberFormat="1" applyFont="1" applyFill="1" applyBorder="1"/>
    <xf numFmtId="44" fontId="2" fillId="0" borderId="70" xfId="1" applyFont="1" applyFill="1" applyBorder="1"/>
    <xf numFmtId="166" fontId="17" fillId="0" borderId="71" xfId="0" applyNumberFormat="1" applyFont="1" applyFill="1" applyBorder="1"/>
    <xf numFmtId="44" fontId="2" fillId="0" borderId="72" xfId="1" applyFont="1" applyFill="1" applyBorder="1"/>
    <xf numFmtId="17" fontId="0" fillId="0" borderId="0" xfId="0" applyNumberFormat="1"/>
    <xf numFmtId="44" fontId="39" fillId="0" borderId="0" xfId="1" applyFont="1" applyFill="1"/>
    <xf numFmtId="44" fontId="2" fillId="15" borderId="0" xfId="1" applyFont="1" applyFill="1"/>
    <xf numFmtId="44" fontId="2" fillId="16" borderId="1" xfId="1" applyFont="1" applyFill="1" applyBorder="1"/>
    <xf numFmtId="44" fontId="2" fillId="16" borderId="18" xfId="1" applyFont="1" applyFill="1" applyBorder="1"/>
    <xf numFmtId="44" fontId="2" fillId="16" borderId="24" xfId="1" applyFont="1" applyFill="1" applyBorder="1"/>
    <xf numFmtId="44" fontId="2" fillId="16" borderId="21" xfId="1" applyFont="1" applyFill="1" applyBorder="1"/>
    <xf numFmtId="44" fontId="2" fillId="16" borderId="22" xfId="1" applyFont="1" applyFill="1" applyBorder="1"/>
    <xf numFmtId="44" fontId="2" fillId="16" borderId="0" xfId="1" applyFont="1" applyFill="1" applyBorder="1"/>
    <xf numFmtId="166" fontId="19" fillId="0" borderId="71" xfId="0" applyNumberFormat="1" applyFont="1" applyFill="1" applyBorder="1"/>
    <xf numFmtId="166" fontId="16" fillId="0" borderId="71" xfId="0" applyNumberFormat="1" applyFont="1" applyFill="1" applyBorder="1"/>
    <xf numFmtId="44" fontId="40" fillId="0" borderId="0" xfId="1" applyFont="1" applyFill="1" applyBorder="1"/>
    <xf numFmtId="44" fontId="40" fillId="0" borderId="0" xfId="1" applyFont="1" applyFill="1" applyBorder="1" applyAlignment="1">
      <alignment horizontal="center"/>
    </xf>
    <xf numFmtId="44" fontId="40" fillId="0" borderId="21" xfId="1" applyFont="1" applyFill="1" applyBorder="1"/>
    <xf numFmtId="166" fontId="12" fillId="0" borderId="71" xfId="0" applyNumberFormat="1" applyFont="1" applyFill="1" applyBorder="1"/>
    <xf numFmtId="0" fontId="19" fillId="0" borderId="38" xfId="0" applyFont="1" applyFill="1" applyBorder="1" applyAlignment="1">
      <alignment horizontal="left"/>
    </xf>
    <xf numFmtId="44" fontId="2" fillId="17" borderId="5" xfId="1" applyFont="1" applyFill="1" applyBorder="1"/>
    <xf numFmtId="44" fontId="2" fillId="17" borderId="63" xfId="1" applyFont="1" applyFill="1" applyBorder="1"/>
    <xf numFmtId="165" fontId="8" fillId="3" borderId="0" xfId="0" applyNumberFormat="1" applyFont="1" applyFill="1" applyAlignment="1">
      <alignment horizontal="left"/>
    </xf>
    <xf numFmtId="1" fontId="32" fillId="17" borderId="5" xfId="0" applyNumberFormat="1" applyFont="1" applyFill="1" applyBorder="1" applyAlignment="1">
      <alignment horizontal="center"/>
    </xf>
    <xf numFmtId="0" fontId="19" fillId="0" borderId="65" xfId="0" applyFont="1" applyFill="1" applyBorder="1" applyAlignment="1">
      <alignment horizontal="left"/>
    </xf>
    <xf numFmtId="166" fontId="9" fillId="11" borderId="0" xfId="0" applyNumberFormat="1" applyFont="1" applyFill="1"/>
    <xf numFmtId="164" fontId="2" fillId="3" borderId="4" xfId="0" applyNumberFormat="1" applyFont="1" applyFill="1" applyBorder="1" applyAlignment="1">
      <alignment horizontal="center"/>
    </xf>
    <xf numFmtId="44" fontId="2" fillId="3" borderId="68" xfId="1" applyFont="1" applyFill="1" applyBorder="1"/>
    <xf numFmtId="166" fontId="9" fillId="0" borderId="48" xfId="0" applyNumberFormat="1" applyFont="1" applyBorder="1" applyAlignment="1">
      <alignment horizontal="center" vertical="center" wrapText="1"/>
    </xf>
    <xf numFmtId="164" fontId="2" fillId="0" borderId="0" xfId="0" applyNumberFormat="1" applyFont="1" applyFill="1" applyAlignment="1">
      <alignment horizontal="center"/>
    </xf>
    <xf numFmtId="164" fontId="31" fillId="0" borderId="5" xfId="0" applyNumberFormat="1" applyFont="1" applyFill="1" applyBorder="1" applyAlignment="1">
      <alignment horizontal="center"/>
    </xf>
    <xf numFmtId="1" fontId="32" fillId="0" borderId="5" xfId="0" applyNumberFormat="1" applyFont="1" applyFill="1" applyBorder="1" applyAlignment="1">
      <alignment horizontal="center"/>
    </xf>
    <xf numFmtId="164" fontId="2" fillId="0" borderId="5" xfId="0" applyNumberFormat="1" applyFont="1" applyFill="1" applyBorder="1" applyAlignment="1">
      <alignment horizontal="center"/>
    </xf>
    <xf numFmtId="44" fontId="2" fillId="0" borderId="68" xfId="1" applyFont="1" applyFill="1" applyBorder="1"/>
    <xf numFmtId="166" fontId="19" fillId="16" borderId="0" xfId="0" applyNumberFormat="1" applyFont="1" applyFill="1"/>
    <xf numFmtId="44" fontId="40" fillId="0" borderId="0" xfId="1" applyFont="1" applyFill="1" applyBorder="1" applyAlignment="1">
      <alignment horizontal="right"/>
    </xf>
    <xf numFmtId="44" fontId="42" fillId="0" borderId="0" xfId="1" applyFont="1" applyFill="1" applyBorder="1" applyAlignment="1">
      <alignment horizontal="right"/>
    </xf>
    <xf numFmtId="44" fontId="40" fillId="0" borderId="0" xfId="1" applyFont="1" applyFill="1" applyAlignment="1">
      <alignment horizontal="right"/>
    </xf>
    <xf numFmtId="168" fontId="43" fillId="0" borderId="0" xfId="1" applyNumberFormat="1" applyFont="1" applyFill="1" applyBorder="1" applyAlignment="1">
      <alignment horizontal="right" vertical="center" wrapText="1"/>
    </xf>
    <xf numFmtId="44" fontId="39" fillId="10" borderId="0" xfId="1" applyFont="1" applyFill="1"/>
    <xf numFmtId="44" fontId="2" fillId="10" borderId="0" xfId="1" applyFont="1" applyFill="1"/>
    <xf numFmtId="166" fontId="44" fillId="0" borderId="0" xfId="0" applyNumberFormat="1" applyFont="1" applyFill="1"/>
    <xf numFmtId="44" fontId="2" fillId="17" borderId="0" xfId="1" applyFont="1" applyFill="1"/>
    <xf numFmtId="165" fontId="12" fillId="0" borderId="19" xfId="1" applyNumberFormat="1" applyFont="1" applyBorder="1" applyAlignment="1">
      <alignment horizontal="center"/>
    </xf>
    <xf numFmtId="44" fontId="12" fillId="0" borderId="25" xfId="1" applyFont="1" applyFill="1" applyBorder="1" applyAlignment="1">
      <alignment horizontal="right"/>
    </xf>
    <xf numFmtId="165" fontId="12" fillId="0" borderId="7" xfId="0" applyNumberFormat="1" applyFont="1" applyBorder="1" applyAlignment="1">
      <alignment horizontal="center"/>
    </xf>
    <xf numFmtId="165" fontId="19" fillId="0" borderId="19" xfId="1" applyNumberFormat="1" applyFont="1" applyBorder="1" applyAlignment="1">
      <alignment horizontal="left"/>
    </xf>
    <xf numFmtId="44" fontId="12" fillId="0" borderId="29" xfId="1" applyFont="1" applyFill="1" applyBorder="1" applyAlignment="1">
      <alignment horizontal="right"/>
    </xf>
    <xf numFmtId="0" fontId="39" fillId="0" borderId="4" xfId="0" applyFont="1" applyFill="1" applyBorder="1" applyAlignment="1">
      <alignment horizontal="left"/>
    </xf>
    <xf numFmtId="0" fontId="19" fillId="0" borderId="4" xfId="0" applyFont="1" applyFill="1" applyBorder="1" applyAlignment="1">
      <alignment horizontal="left"/>
    </xf>
    <xf numFmtId="44" fontId="12" fillId="0" borderId="16" xfId="1" applyFont="1" applyBorder="1" applyAlignment="1">
      <alignment horizontal="right"/>
    </xf>
    <xf numFmtId="166" fontId="12" fillId="0" borderId="5" xfId="0" applyNumberFormat="1" applyFont="1" applyFill="1" applyBorder="1"/>
    <xf numFmtId="44" fontId="12" fillId="0" borderId="0" xfId="1" applyFont="1" applyFill="1" applyBorder="1"/>
    <xf numFmtId="44" fontId="16" fillId="0" borderId="5" xfId="1" applyFont="1" applyFill="1" applyBorder="1" applyAlignment="1">
      <alignment horizontal="left" vertical="center"/>
    </xf>
    <xf numFmtId="0" fontId="19" fillId="0" borderId="5" xfId="0" applyFont="1" applyBorder="1" applyAlignment="1">
      <alignment horizontal="left"/>
    </xf>
    <xf numFmtId="16" fontId="12" fillId="0" borderId="38" xfId="0" applyNumberFormat="1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44" fontId="41" fillId="0" borderId="0" xfId="1" applyFont="1" applyFill="1" applyBorder="1" applyAlignment="1">
      <alignment horizontal="center"/>
    </xf>
    <xf numFmtId="44" fontId="2" fillId="0" borderId="26" xfId="1" applyFont="1" applyFill="1" applyBorder="1" applyAlignment="1">
      <alignment horizontal="right"/>
    </xf>
    <xf numFmtId="44" fontId="2" fillId="0" borderId="73" xfId="1" applyFont="1" applyFill="1" applyBorder="1" applyAlignment="1">
      <alignment horizontal="right"/>
    </xf>
    <xf numFmtId="44" fontId="2" fillId="0" borderId="73" xfId="1" applyFont="1" applyFill="1" applyBorder="1"/>
    <xf numFmtId="44" fontId="2" fillId="0" borderId="74" xfId="1" applyFont="1" applyFill="1" applyBorder="1"/>
    <xf numFmtId="0" fontId="40" fillId="0" borderId="45" xfId="0" applyFont="1" applyBorder="1" applyAlignment="1">
      <alignment horizontal="center"/>
    </xf>
    <xf numFmtId="44" fontId="42" fillId="0" borderId="45" xfId="1" applyFont="1" applyBorder="1"/>
    <xf numFmtId="168" fontId="2" fillId="0" borderId="26" xfId="1" applyNumberFormat="1" applyFont="1" applyFill="1" applyBorder="1" applyAlignment="1">
      <alignment horizontal="right"/>
    </xf>
    <xf numFmtId="166" fontId="2" fillId="0" borderId="73" xfId="1" applyNumberFormat="1" applyFont="1" applyFill="1" applyBorder="1" applyAlignment="1">
      <alignment horizontal="right"/>
    </xf>
    <xf numFmtId="44" fontId="9" fillId="0" borderId="13" xfId="1" applyFont="1" applyBorder="1"/>
    <xf numFmtId="165" fontId="8" fillId="3" borderId="75" xfId="0" applyNumberFormat="1" applyFont="1" applyFill="1" applyBorder="1" applyAlignment="1">
      <alignment horizontal="left"/>
    </xf>
    <xf numFmtId="166" fontId="16" fillId="0" borderId="75" xfId="0" applyNumberFormat="1" applyFont="1" applyFill="1" applyBorder="1" applyAlignment="1">
      <alignment horizontal="left"/>
    </xf>
    <xf numFmtId="166" fontId="17" fillId="0" borderId="75" xfId="0" applyNumberFormat="1" applyFont="1" applyFill="1" applyBorder="1"/>
    <xf numFmtId="166" fontId="19" fillId="0" borderId="75" xfId="0" applyNumberFormat="1" applyFont="1" applyFill="1" applyBorder="1"/>
    <xf numFmtId="166" fontId="16" fillId="0" borderId="75" xfId="0" applyNumberFormat="1" applyFont="1" applyFill="1" applyBorder="1"/>
    <xf numFmtId="166" fontId="12" fillId="0" borderId="75" xfId="0" applyNumberFormat="1" applyFont="1" applyFill="1" applyBorder="1"/>
    <xf numFmtId="166" fontId="44" fillId="0" borderId="75" xfId="0" applyNumberFormat="1" applyFont="1" applyFill="1" applyBorder="1"/>
    <xf numFmtId="166" fontId="17" fillId="0" borderId="76" xfId="0" applyNumberFormat="1" applyFont="1" applyFill="1" applyBorder="1"/>
    <xf numFmtId="164" fontId="2" fillId="0" borderId="78" xfId="0" applyNumberFormat="1" applyFont="1" applyFill="1" applyBorder="1" applyAlignment="1">
      <alignment horizontal="center"/>
    </xf>
    <xf numFmtId="44" fontId="2" fillId="0" borderId="79" xfId="1" applyFont="1" applyFill="1" applyBorder="1"/>
    <xf numFmtId="44" fontId="2" fillId="0" borderId="77" xfId="1" applyFont="1" applyFill="1" applyBorder="1"/>
    <xf numFmtId="165" fontId="1" fillId="0" borderId="0" xfId="1" applyNumberFormat="1" applyFill="1"/>
    <xf numFmtId="165" fontId="1" fillId="14" borderId="0" xfId="1" applyNumberFormat="1" applyFill="1"/>
    <xf numFmtId="165" fontId="14" fillId="0" borderId="13" xfId="0" applyNumberFormat="1" applyFont="1" applyBorder="1"/>
    <xf numFmtId="165" fontId="1" fillId="0" borderId="0" xfId="1" applyNumberFormat="1"/>
    <xf numFmtId="165" fontId="2" fillId="0" borderId="0" xfId="1" applyNumberFormat="1" applyFont="1" applyFill="1"/>
    <xf numFmtId="165" fontId="9" fillId="0" borderId="0" xfId="1" applyNumberFormat="1" applyFont="1" applyFill="1"/>
    <xf numFmtId="165" fontId="13" fillId="0" borderId="0" xfId="1" applyNumberFormat="1" applyFont="1" applyFill="1" applyAlignment="1">
      <alignment horizontal="left"/>
    </xf>
    <xf numFmtId="165" fontId="19" fillId="0" borderId="0" xfId="1" applyNumberFormat="1" applyFont="1" applyFill="1" applyAlignment="1">
      <alignment horizontal="center"/>
    </xf>
    <xf numFmtId="165" fontId="2" fillId="0" borderId="0" xfId="1" applyNumberFormat="1" applyFont="1" applyBorder="1"/>
    <xf numFmtId="165" fontId="9" fillId="0" borderId="48" xfId="0" applyNumberFormat="1" applyFont="1" applyBorder="1" applyAlignment="1">
      <alignment horizontal="center" vertical="center" wrapText="1"/>
    </xf>
    <xf numFmtId="165" fontId="9" fillId="0" borderId="0" xfId="1" applyNumberFormat="1" applyFont="1" applyAlignment="1">
      <alignment horizontal="center" vertical="center" wrapText="1"/>
    </xf>
    <xf numFmtId="165" fontId="8" fillId="0" borderId="0" xfId="0" applyNumberFormat="1" applyFont="1" applyAlignment="1">
      <alignment vertical="center"/>
    </xf>
    <xf numFmtId="165" fontId="8" fillId="0" borderId="39" xfId="0" applyNumberFormat="1" applyFont="1" applyBorder="1" applyAlignment="1">
      <alignment vertical="center"/>
    </xf>
    <xf numFmtId="165" fontId="2" fillId="0" borderId="0" xfId="0" applyNumberFormat="1" applyFont="1" applyAlignment="1">
      <alignment horizontal="center"/>
    </xf>
    <xf numFmtId="0" fontId="2" fillId="0" borderId="27" xfId="0" applyFont="1" applyBorder="1" applyAlignment="1">
      <alignment horizontal="center"/>
    </xf>
    <xf numFmtId="44" fontId="2" fillId="0" borderId="27" xfId="1" applyFont="1" applyBorder="1"/>
    <xf numFmtId="44" fontId="12" fillId="0" borderId="27" xfId="1" applyFont="1" applyBorder="1"/>
    <xf numFmtId="0" fontId="12" fillId="0" borderId="27" xfId="0" applyFont="1" applyBorder="1"/>
    <xf numFmtId="0" fontId="2" fillId="0" borderId="5" xfId="0" applyFont="1" applyFill="1" applyBorder="1"/>
    <xf numFmtId="1" fontId="32" fillId="11" borderId="5" xfId="0" applyNumberFormat="1" applyFont="1" applyFill="1" applyBorder="1" applyAlignment="1">
      <alignment horizontal="center"/>
    </xf>
    <xf numFmtId="166" fontId="12" fillId="0" borderId="0" xfId="0" applyNumberFormat="1" applyFont="1" applyAlignment="1">
      <alignment horizontal="center" vertical="center" wrapText="1"/>
    </xf>
    <xf numFmtId="44" fontId="9" fillId="0" borderId="25" xfId="1" applyFont="1" applyBorder="1" applyAlignment="1">
      <alignment horizontal="center" vertical="center" wrapText="1"/>
    </xf>
    <xf numFmtId="44" fontId="9" fillId="0" borderId="48" xfId="1" applyFont="1" applyBorder="1" applyAlignment="1">
      <alignment horizontal="center" vertical="center" wrapText="1"/>
    </xf>
    <xf numFmtId="44" fontId="5" fillId="0" borderId="48" xfId="1" applyFont="1" applyBorder="1" applyAlignment="1">
      <alignment horizontal="center"/>
    </xf>
    <xf numFmtId="44" fontId="5" fillId="0" borderId="39" xfId="1" applyFont="1" applyBorder="1" applyAlignment="1">
      <alignment horizontal="center"/>
    </xf>
    <xf numFmtId="0" fontId="3" fillId="0" borderId="0" xfId="0" applyFont="1"/>
    <xf numFmtId="44" fontId="6" fillId="0" borderId="0" xfId="1" applyFont="1" applyBorder="1" applyAlignment="1">
      <alignment horizontal="center"/>
    </xf>
    <xf numFmtId="44" fontId="6" fillId="0" borderId="2" xfId="1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14" fillId="0" borderId="11" xfId="0" applyFont="1" applyBorder="1" applyAlignment="1">
      <alignment horizontal="center"/>
    </xf>
    <xf numFmtId="0" fontId="14" fillId="0" borderId="12" xfId="0" applyFont="1" applyBorder="1" applyAlignment="1">
      <alignment horizontal="center"/>
    </xf>
    <xf numFmtId="168" fontId="5" fillId="3" borderId="7" xfId="1" applyNumberFormat="1" applyFont="1" applyFill="1" applyBorder="1" applyAlignment="1">
      <alignment horizontal="center" vertical="center" wrapText="1"/>
    </xf>
    <xf numFmtId="168" fontId="5" fillId="3" borderId="47" xfId="1" applyNumberFormat="1" applyFont="1" applyFill="1" applyBorder="1" applyAlignment="1">
      <alignment horizontal="center" vertical="center" wrapText="1"/>
    </xf>
    <xf numFmtId="166" fontId="9" fillId="0" borderId="25" xfId="0" applyNumberFormat="1" applyFont="1" applyBorder="1" applyAlignment="1">
      <alignment horizontal="center" vertical="center" wrapText="1"/>
    </xf>
    <xf numFmtId="166" fontId="9" fillId="0" borderId="48" xfId="0" applyNumberFormat="1" applyFont="1" applyBorder="1" applyAlignment="1">
      <alignment horizontal="center" vertical="center" wrapText="1"/>
    </xf>
    <xf numFmtId="166" fontId="9" fillId="0" borderId="48" xfId="0" applyNumberFormat="1" applyFont="1" applyBorder="1" applyAlignment="1">
      <alignment horizontal="center"/>
    </xf>
    <xf numFmtId="0" fontId="9" fillId="0" borderId="39" xfId="0" applyFont="1" applyBorder="1" applyAlignment="1">
      <alignment horizontal="center"/>
    </xf>
    <xf numFmtId="166" fontId="9" fillId="0" borderId="0" xfId="0" applyNumberFormat="1" applyFont="1" applyAlignment="1">
      <alignment horizontal="center" vertical="center" wrapText="1"/>
    </xf>
    <xf numFmtId="0" fontId="5" fillId="0" borderId="55" xfId="0" applyFont="1" applyBorder="1" applyAlignment="1">
      <alignment horizontal="center" wrapText="1"/>
    </xf>
    <xf numFmtId="0" fontId="5" fillId="0" borderId="56" xfId="0" applyFont="1" applyBorder="1" applyAlignment="1">
      <alignment horizontal="center" wrapText="1"/>
    </xf>
    <xf numFmtId="0" fontId="5" fillId="0" borderId="40" xfId="0" applyFont="1" applyBorder="1" applyAlignment="1">
      <alignment horizontal="center" wrapText="1"/>
    </xf>
    <xf numFmtId="0" fontId="5" fillId="0" borderId="57" xfId="0" applyFont="1" applyBorder="1" applyAlignment="1">
      <alignment horizontal="center" wrapText="1"/>
    </xf>
    <xf numFmtId="0" fontId="5" fillId="0" borderId="0" xfId="0" applyFont="1" applyFill="1" applyBorder="1" applyAlignment="1">
      <alignment horizontal="center"/>
    </xf>
    <xf numFmtId="164" fontId="8" fillId="9" borderId="53" xfId="0" applyNumberFormat="1" applyFont="1" applyFill="1" applyBorder="1" applyAlignment="1">
      <alignment horizontal="center"/>
    </xf>
    <xf numFmtId="164" fontId="8" fillId="9" borderId="36" xfId="0" applyNumberFormat="1" applyFont="1" applyFill="1" applyBorder="1" applyAlignment="1">
      <alignment horizontal="center"/>
    </xf>
    <xf numFmtId="164" fontId="8" fillId="9" borderId="54" xfId="0" applyNumberFormat="1" applyFont="1" applyFill="1" applyBorder="1" applyAlignment="1">
      <alignment horizontal="center"/>
    </xf>
    <xf numFmtId="0" fontId="8" fillId="0" borderId="55" xfId="0" applyFont="1" applyBorder="1" applyAlignment="1">
      <alignment horizontal="center" vertical="center" wrapText="1"/>
    </xf>
    <xf numFmtId="0" fontId="8" fillId="0" borderId="56" xfId="0" applyFont="1" applyBorder="1" applyAlignment="1">
      <alignment horizontal="center" vertical="center" wrapText="1"/>
    </xf>
    <xf numFmtId="0" fontId="8" fillId="0" borderId="40" xfId="0" applyFont="1" applyBorder="1" applyAlignment="1">
      <alignment horizontal="center" vertical="center" wrapText="1"/>
    </xf>
    <xf numFmtId="0" fontId="8" fillId="0" borderId="57" xfId="0" applyFont="1" applyBorder="1" applyAlignment="1">
      <alignment horizontal="center" vertical="center" wrapText="1"/>
    </xf>
    <xf numFmtId="44" fontId="14" fillId="0" borderId="25" xfId="1" applyFont="1" applyBorder="1" applyAlignment="1">
      <alignment horizontal="center"/>
    </xf>
    <xf numFmtId="44" fontId="14" fillId="0" borderId="39" xfId="1" applyFont="1" applyBorder="1" applyAlignment="1">
      <alignment horizontal="center"/>
    </xf>
    <xf numFmtId="0" fontId="26" fillId="0" borderId="48" xfId="0" applyFont="1" applyBorder="1" applyAlignment="1">
      <alignment horizontal="center"/>
    </xf>
    <xf numFmtId="0" fontId="26" fillId="0" borderId="39" xfId="0" applyFont="1" applyBorder="1" applyAlignment="1">
      <alignment horizontal="center"/>
    </xf>
    <xf numFmtId="44" fontId="5" fillId="10" borderId="11" xfId="1" applyFont="1" applyFill="1" applyBorder="1" applyAlignment="1">
      <alignment horizontal="center"/>
    </xf>
    <xf numFmtId="44" fontId="5" fillId="10" borderId="49" xfId="1" applyFont="1" applyFill="1" applyBorder="1" applyAlignment="1">
      <alignment horizontal="center"/>
    </xf>
    <xf numFmtId="166" fontId="5" fillId="10" borderId="49" xfId="1" applyNumberFormat="1" applyFont="1" applyFill="1" applyBorder="1" applyAlignment="1">
      <alignment horizontal="center"/>
    </xf>
    <xf numFmtId="166" fontId="5" fillId="10" borderId="12" xfId="1" applyNumberFormat="1" applyFont="1" applyFill="1" applyBorder="1" applyAlignment="1">
      <alignment horizontal="center"/>
    </xf>
    <xf numFmtId="0" fontId="13" fillId="0" borderId="0" xfId="0" applyFont="1" applyAlignment="1">
      <alignment horizontal="center"/>
    </xf>
    <xf numFmtId="0" fontId="38" fillId="13" borderId="0" xfId="0" applyFont="1" applyFill="1" applyAlignment="1">
      <alignment horizontal="center" vertical="center" wrapText="1"/>
    </xf>
    <xf numFmtId="0" fontId="38" fillId="13" borderId="41" xfId="0" applyFont="1" applyFill="1" applyBorder="1" applyAlignment="1">
      <alignment horizontal="center" vertical="center" wrapText="1"/>
    </xf>
    <xf numFmtId="0" fontId="8" fillId="0" borderId="7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8" fillId="0" borderId="47" xfId="0" applyFont="1" applyBorder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44" fontId="2" fillId="0" borderId="82" xfId="1" applyFont="1" applyBorder="1"/>
    <xf numFmtId="166" fontId="12" fillId="0" borderId="0" xfId="0" applyNumberFormat="1" applyFont="1" applyFill="1" applyBorder="1"/>
    <xf numFmtId="15" fontId="2" fillId="0" borderId="83" xfId="0" applyNumberFormat="1" applyFont="1" applyFill="1" applyBorder="1"/>
    <xf numFmtId="0" fontId="0" fillId="0" borderId="0" xfId="0" applyBorder="1"/>
    <xf numFmtId="15" fontId="2" fillId="0" borderId="0" xfId="0" applyNumberFormat="1" applyFont="1" applyFill="1" applyBorder="1"/>
    <xf numFmtId="165" fontId="13" fillId="0" borderId="0" xfId="1" applyNumberFormat="1" applyFont="1" applyFill="1" applyBorder="1" applyAlignment="1">
      <alignment horizontal="left"/>
    </xf>
    <xf numFmtId="0" fontId="19" fillId="0" borderId="28" xfId="0" applyFont="1" applyFill="1" applyBorder="1" applyAlignment="1">
      <alignment horizontal="left"/>
    </xf>
    <xf numFmtId="164" fontId="45" fillId="18" borderId="78" xfId="0" applyNumberFormat="1" applyFont="1" applyFill="1" applyBorder="1" applyAlignment="1">
      <alignment horizontal="center"/>
    </xf>
    <xf numFmtId="44" fontId="45" fillId="18" borderId="77" xfId="1" applyFont="1" applyFill="1" applyBorder="1"/>
    <xf numFmtId="166" fontId="19" fillId="18" borderId="76" xfId="0" applyNumberFormat="1" applyFont="1" applyFill="1" applyBorder="1"/>
    <xf numFmtId="166" fontId="12" fillId="18" borderId="76" xfId="0" applyNumberFormat="1" applyFont="1" applyFill="1" applyBorder="1"/>
    <xf numFmtId="44" fontId="45" fillId="18" borderId="80" xfId="1" applyFont="1" applyFill="1" applyBorder="1"/>
    <xf numFmtId="44" fontId="45" fillId="18" borderId="81" xfId="1" applyFont="1" applyFill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990099"/>
      <color rgb="FF0000FF"/>
      <color rgb="FFFF9933"/>
      <color rgb="FF66FFFF"/>
      <color rgb="FF99CCFF"/>
      <color rgb="FFFF99FF"/>
      <color rgb="FF66FFCC"/>
      <color rgb="FF99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45</xdr:row>
      <xdr:rowOff>19050</xdr:rowOff>
    </xdr:from>
    <xdr:to>
      <xdr:col>6</xdr:col>
      <xdr:colOff>295275</xdr:colOff>
      <xdr:row>45</xdr:row>
      <xdr:rowOff>161925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A0933BFC-14B6-46F7-809B-45DFE2824433}"/>
            </a:ext>
          </a:extLst>
        </xdr:cNvPr>
        <xdr:cNvCxnSpPr/>
      </xdr:nvCxnSpPr>
      <xdr:spPr>
        <a:xfrm>
          <a:off x="4705350" y="9677400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46</xdr:row>
      <xdr:rowOff>200024</xdr:rowOff>
    </xdr:from>
    <xdr:to>
      <xdr:col>6</xdr:col>
      <xdr:colOff>285750</xdr:colOff>
      <xdr:row>47</xdr:row>
      <xdr:rowOff>85724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1665D7BD-CEE8-4624-A8E6-0DC9988821ED}"/>
            </a:ext>
          </a:extLst>
        </xdr:cNvPr>
        <xdr:cNvCxnSpPr/>
      </xdr:nvCxnSpPr>
      <xdr:spPr>
        <a:xfrm rot="10800000" flipV="1">
          <a:off x="4686300" y="10115549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44</xdr:row>
      <xdr:rowOff>123825</xdr:rowOff>
    </xdr:from>
    <xdr:to>
      <xdr:col>7</xdr:col>
      <xdr:colOff>0</xdr:colOff>
      <xdr:row>45</xdr:row>
      <xdr:rowOff>161925</xdr:rowOff>
    </xdr:to>
    <xdr:cxnSp macro="">
      <xdr:nvCxnSpPr>
        <xdr:cNvPr id="4" name="1 Conector recto de flecha">
          <a:extLst>
            <a:ext uri="{FF2B5EF4-FFF2-40B4-BE49-F238E27FC236}">
              <a16:creationId xmlns:a16="http://schemas.microsoft.com/office/drawing/2014/main" id="{6392CBB0-7751-4127-BD3C-B01FF9922246}"/>
            </a:ext>
          </a:extLst>
        </xdr:cNvPr>
        <xdr:cNvCxnSpPr/>
      </xdr:nvCxnSpPr>
      <xdr:spPr>
        <a:xfrm>
          <a:off x="4600575" y="9572625"/>
          <a:ext cx="238125" cy="2476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46</xdr:row>
      <xdr:rowOff>200024</xdr:rowOff>
    </xdr:from>
    <xdr:to>
      <xdr:col>6</xdr:col>
      <xdr:colOff>285750</xdr:colOff>
      <xdr:row>47</xdr:row>
      <xdr:rowOff>85724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30825DB3-565F-4B1D-954C-5BAF91B08179}"/>
            </a:ext>
          </a:extLst>
        </xdr:cNvPr>
        <xdr:cNvCxnSpPr/>
      </xdr:nvCxnSpPr>
      <xdr:spPr>
        <a:xfrm rot="10800000" flipV="1">
          <a:off x="4686300" y="10115549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44</xdr:row>
      <xdr:rowOff>104775</xdr:rowOff>
    </xdr:from>
    <xdr:to>
      <xdr:col>5</xdr:col>
      <xdr:colOff>85725</xdr:colOff>
      <xdr:row>46</xdr:row>
      <xdr:rowOff>133350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C296B67E-C446-4B0E-A74A-A6EB022C5AC4}"/>
            </a:ext>
          </a:extLst>
        </xdr:cNvPr>
        <xdr:cNvCxnSpPr/>
      </xdr:nvCxnSpPr>
      <xdr:spPr>
        <a:xfrm>
          <a:off x="2181225" y="9553575"/>
          <a:ext cx="1362075" cy="4953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12</xdr:col>
      <xdr:colOff>904874</xdr:colOff>
      <xdr:row>44</xdr:row>
      <xdr:rowOff>38101</xdr:rowOff>
    </xdr:from>
    <xdr:to>
      <xdr:col>13</xdr:col>
      <xdr:colOff>200024</xdr:colOff>
      <xdr:row>44</xdr:row>
      <xdr:rowOff>161928</xdr:rowOff>
    </xdr:to>
    <xdr:sp macro="" textlink="">
      <xdr:nvSpPr>
        <xdr:cNvPr id="7" name="Cerrar llave 6">
          <a:extLst>
            <a:ext uri="{FF2B5EF4-FFF2-40B4-BE49-F238E27FC236}">
              <a16:creationId xmlns:a16="http://schemas.microsoft.com/office/drawing/2014/main" id="{3925B3E4-AC0B-4692-8C5E-4777B5BBD51B}"/>
            </a:ext>
          </a:extLst>
        </xdr:cNvPr>
        <xdr:cNvSpPr/>
      </xdr:nvSpPr>
      <xdr:spPr>
        <a:xfrm rot="5400000">
          <a:off x="10572748" y="9296402"/>
          <a:ext cx="123827" cy="504825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1152525</xdr:colOff>
      <xdr:row>48</xdr:row>
      <xdr:rowOff>95250</xdr:rowOff>
    </xdr:from>
    <xdr:to>
      <xdr:col>8</xdr:col>
      <xdr:colOff>19050</xdr:colOff>
      <xdr:row>53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1CADF349-2E47-43B9-A9C9-97EDBFBC25A9}"/>
            </a:ext>
          </a:extLst>
        </xdr:cNvPr>
        <xdr:cNvCxnSpPr/>
      </xdr:nvCxnSpPr>
      <xdr:spPr>
        <a:xfrm flipV="1">
          <a:off x="4610100" y="10410825"/>
          <a:ext cx="1009650" cy="109537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44</xdr:row>
      <xdr:rowOff>200023</xdr:rowOff>
    </xdr:from>
    <xdr:to>
      <xdr:col>11</xdr:col>
      <xdr:colOff>133352</xdr:colOff>
      <xdr:row>45</xdr:row>
      <xdr:rowOff>190499</xdr:rowOff>
    </xdr:to>
    <xdr:sp macro="" textlink="">
      <xdr:nvSpPr>
        <xdr:cNvPr id="9" name="Abrir llave 8">
          <a:extLst>
            <a:ext uri="{FF2B5EF4-FFF2-40B4-BE49-F238E27FC236}">
              <a16:creationId xmlns:a16="http://schemas.microsoft.com/office/drawing/2014/main" id="{089073EB-8BC2-4299-8A0A-DCA52E5770A8}"/>
            </a:ext>
          </a:extLst>
        </xdr:cNvPr>
        <xdr:cNvSpPr/>
      </xdr:nvSpPr>
      <xdr:spPr>
        <a:xfrm rot="16200000">
          <a:off x="7367588" y="8577260"/>
          <a:ext cx="200026" cy="23431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50</xdr:row>
      <xdr:rowOff>144757</xdr:rowOff>
    </xdr:from>
    <xdr:ext cx="2599476" cy="370071"/>
    <xdr:sp macro="" textlink="">
      <xdr:nvSpPr>
        <xdr:cNvPr id="10" name="Rectángulo 9">
          <a:extLst>
            <a:ext uri="{FF2B5EF4-FFF2-40B4-BE49-F238E27FC236}">
              <a16:creationId xmlns:a16="http://schemas.microsoft.com/office/drawing/2014/main" id="{A31C8590-E77D-4457-8D08-CFA1A192BD92}"/>
            </a:ext>
          </a:extLst>
        </xdr:cNvPr>
        <xdr:cNvSpPr/>
      </xdr:nvSpPr>
      <xdr:spPr>
        <a:xfrm rot="18916712">
          <a:off x="9048604" y="10669882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42</xdr:row>
      <xdr:rowOff>19050</xdr:rowOff>
    </xdr:from>
    <xdr:to>
      <xdr:col>6</xdr:col>
      <xdr:colOff>295275</xdr:colOff>
      <xdr:row>42</xdr:row>
      <xdr:rowOff>161925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43899267-C4E8-4C6B-933F-248AF97620CC}"/>
            </a:ext>
          </a:extLst>
        </xdr:cNvPr>
        <xdr:cNvCxnSpPr/>
      </xdr:nvCxnSpPr>
      <xdr:spPr>
        <a:xfrm>
          <a:off x="5124450" y="9382125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43</xdr:row>
      <xdr:rowOff>200024</xdr:rowOff>
    </xdr:from>
    <xdr:to>
      <xdr:col>6</xdr:col>
      <xdr:colOff>285750</xdr:colOff>
      <xdr:row>44</xdr:row>
      <xdr:rowOff>85724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753C9AAC-3FFD-4429-ABEE-57D095C0C410}"/>
            </a:ext>
          </a:extLst>
        </xdr:cNvPr>
        <xdr:cNvCxnSpPr/>
      </xdr:nvCxnSpPr>
      <xdr:spPr>
        <a:xfrm rot="10800000" flipV="1">
          <a:off x="5105400" y="9820274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41</xdr:row>
      <xdr:rowOff>123825</xdr:rowOff>
    </xdr:from>
    <xdr:to>
      <xdr:col>7</xdr:col>
      <xdr:colOff>0</xdr:colOff>
      <xdr:row>42</xdr:row>
      <xdr:rowOff>161925</xdr:rowOff>
    </xdr:to>
    <xdr:cxnSp macro="">
      <xdr:nvCxnSpPr>
        <xdr:cNvPr id="4" name="1 Conector recto de flecha">
          <a:extLst>
            <a:ext uri="{FF2B5EF4-FFF2-40B4-BE49-F238E27FC236}">
              <a16:creationId xmlns:a16="http://schemas.microsoft.com/office/drawing/2014/main" id="{C9E9CBD8-88FD-4111-98EF-29A772AB228F}"/>
            </a:ext>
          </a:extLst>
        </xdr:cNvPr>
        <xdr:cNvCxnSpPr/>
      </xdr:nvCxnSpPr>
      <xdr:spPr>
        <a:xfrm>
          <a:off x="5019675" y="9277350"/>
          <a:ext cx="238125" cy="2476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43</xdr:row>
      <xdr:rowOff>200024</xdr:rowOff>
    </xdr:from>
    <xdr:to>
      <xdr:col>6</xdr:col>
      <xdr:colOff>285750</xdr:colOff>
      <xdr:row>44</xdr:row>
      <xdr:rowOff>85724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759F95CD-428D-4D75-8F7F-F29F21E601C6}"/>
            </a:ext>
          </a:extLst>
        </xdr:cNvPr>
        <xdr:cNvCxnSpPr/>
      </xdr:nvCxnSpPr>
      <xdr:spPr>
        <a:xfrm rot="10800000" flipV="1">
          <a:off x="5105400" y="9820274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41</xdr:row>
      <xdr:rowOff>104775</xdr:rowOff>
    </xdr:from>
    <xdr:to>
      <xdr:col>5</xdr:col>
      <xdr:colOff>85725</xdr:colOff>
      <xdr:row>43</xdr:row>
      <xdr:rowOff>133350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094C4997-9812-46E9-AD55-E20A26A2D8F0}"/>
            </a:ext>
          </a:extLst>
        </xdr:cNvPr>
        <xdr:cNvCxnSpPr/>
      </xdr:nvCxnSpPr>
      <xdr:spPr>
        <a:xfrm>
          <a:off x="2181225" y="9258300"/>
          <a:ext cx="1781175" cy="4953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12</xdr:col>
      <xdr:colOff>904874</xdr:colOff>
      <xdr:row>41</xdr:row>
      <xdr:rowOff>38101</xdr:rowOff>
    </xdr:from>
    <xdr:to>
      <xdr:col>13</xdr:col>
      <xdr:colOff>200024</xdr:colOff>
      <xdr:row>41</xdr:row>
      <xdr:rowOff>161928</xdr:rowOff>
    </xdr:to>
    <xdr:sp macro="" textlink="">
      <xdr:nvSpPr>
        <xdr:cNvPr id="7" name="Cerrar llave 6">
          <a:extLst>
            <a:ext uri="{FF2B5EF4-FFF2-40B4-BE49-F238E27FC236}">
              <a16:creationId xmlns:a16="http://schemas.microsoft.com/office/drawing/2014/main" id="{A30C0F04-8E0F-4606-8006-ADC93A17955B}"/>
            </a:ext>
          </a:extLst>
        </xdr:cNvPr>
        <xdr:cNvSpPr/>
      </xdr:nvSpPr>
      <xdr:spPr>
        <a:xfrm rot="5400000">
          <a:off x="10829923" y="9001127"/>
          <a:ext cx="123827" cy="504825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1152525</xdr:colOff>
      <xdr:row>45</xdr:row>
      <xdr:rowOff>95250</xdr:rowOff>
    </xdr:from>
    <xdr:to>
      <xdr:col>8</xdr:col>
      <xdr:colOff>19050</xdr:colOff>
      <xdr:row>50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54767931-934B-47F4-B87A-A00BB634C274}"/>
            </a:ext>
          </a:extLst>
        </xdr:cNvPr>
        <xdr:cNvCxnSpPr/>
      </xdr:nvCxnSpPr>
      <xdr:spPr>
        <a:xfrm flipV="1">
          <a:off x="5029200" y="10115550"/>
          <a:ext cx="1009650" cy="109537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41</xdr:row>
      <xdr:rowOff>200023</xdr:rowOff>
    </xdr:from>
    <xdr:to>
      <xdr:col>11</xdr:col>
      <xdr:colOff>133352</xdr:colOff>
      <xdr:row>42</xdr:row>
      <xdr:rowOff>190499</xdr:rowOff>
    </xdr:to>
    <xdr:sp macro="" textlink="">
      <xdr:nvSpPr>
        <xdr:cNvPr id="9" name="Abrir llave 8">
          <a:extLst>
            <a:ext uri="{FF2B5EF4-FFF2-40B4-BE49-F238E27FC236}">
              <a16:creationId xmlns:a16="http://schemas.microsoft.com/office/drawing/2014/main" id="{32B3F50D-7160-4F90-B0CE-6B53C1BA3DF3}"/>
            </a:ext>
          </a:extLst>
        </xdr:cNvPr>
        <xdr:cNvSpPr/>
      </xdr:nvSpPr>
      <xdr:spPr>
        <a:xfrm rot="16200000">
          <a:off x="7705726" y="8362947"/>
          <a:ext cx="200026" cy="218122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47</xdr:row>
      <xdr:rowOff>144757</xdr:rowOff>
    </xdr:from>
    <xdr:ext cx="2599476" cy="370071"/>
    <xdr:sp macro="" textlink="">
      <xdr:nvSpPr>
        <xdr:cNvPr id="10" name="Rectángulo 9">
          <a:extLst>
            <a:ext uri="{FF2B5EF4-FFF2-40B4-BE49-F238E27FC236}">
              <a16:creationId xmlns:a16="http://schemas.microsoft.com/office/drawing/2014/main" id="{C85A6C5C-B6FD-4AED-97E1-9EFEF2E9B512}"/>
            </a:ext>
          </a:extLst>
        </xdr:cNvPr>
        <xdr:cNvSpPr/>
      </xdr:nvSpPr>
      <xdr:spPr>
        <a:xfrm rot="18916712">
          <a:off x="9553429" y="10460332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40</xdr:row>
      <xdr:rowOff>19050</xdr:rowOff>
    </xdr:from>
    <xdr:to>
      <xdr:col>6</xdr:col>
      <xdr:colOff>295275</xdr:colOff>
      <xdr:row>40</xdr:row>
      <xdr:rowOff>161925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4260A0BB-B2B3-4AF6-B3D4-BFDF6A5C6368}"/>
            </a:ext>
          </a:extLst>
        </xdr:cNvPr>
        <xdr:cNvCxnSpPr/>
      </xdr:nvCxnSpPr>
      <xdr:spPr>
        <a:xfrm>
          <a:off x="5124450" y="8686800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41</xdr:row>
      <xdr:rowOff>200024</xdr:rowOff>
    </xdr:from>
    <xdr:to>
      <xdr:col>6</xdr:col>
      <xdr:colOff>285750</xdr:colOff>
      <xdr:row>42</xdr:row>
      <xdr:rowOff>85724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8FF4F4D-8B0B-42A6-86AB-8294B0BFA006}"/>
            </a:ext>
          </a:extLst>
        </xdr:cNvPr>
        <xdr:cNvCxnSpPr/>
      </xdr:nvCxnSpPr>
      <xdr:spPr>
        <a:xfrm rot="10800000" flipV="1">
          <a:off x="5105400" y="9124949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39</xdr:row>
      <xdr:rowOff>123825</xdr:rowOff>
    </xdr:from>
    <xdr:to>
      <xdr:col>7</xdr:col>
      <xdr:colOff>0</xdr:colOff>
      <xdr:row>40</xdr:row>
      <xdr:rowOff>161925</xdr:rowOff>
    </xdr:to>
    <xdr:cxnSp macro="">
      <xdr:nvCxnSpPr>
        <xdr:cNvPr id="4" name="1 Conector recto de flecha">
          <a:extLst>
            <a:ext uri="{FF2B5EF4-FFF2-40B4-BE49-F238E27FC236}">
              <a16:creationId xmlns:a16="http://schemas.microsoft.com/office/drawing/2014/main" id="{49A1B217-BAD8-458F-9E94-9A28CF2D6724}"/>
            </a:ext>
          </a:extLst>
        </xdr:cNvPr>
        <xdr:cNvCxnSpPr/>
      </xdr:nvCxnSpPr>
      <xdr:spPr>
        <a:xfrm>
          <a:off x="5019675" y="8582025"/>
          <a:ext cx="238125" cy="2476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41</xdr:row>
      <xdr:rowOff>200024</xdr:rowOff>
    </xdr:from>
    <xdr:to>
      <xdr:col>6</xdr:col>
      <xdr:colOff>285750</xdr:colOff>
      <xdr:row>42</xdr:row>
      <xdr:rowOff>85724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F9136AD3-488A-42FA-B1DF-33EF4ACE0E3C}"/>
            </a:ext>
          </a:extLst>
        </xdr:cNvPr>
        <xdr:cNvCxnSpPr/>
      </xdr:nvCxnSpPr>
      <xdr:spPr>
        <a:xfrm rot="10800000" flipV="1">
          <a:off x="5105400" y="9124949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39</xdr:row>
      <xdr:rowOff>104775</xdr:rowOff>
    </xdr:from>
    <xdr:to>
      <xdr:col>5</xdr:col>
      <xdr:colOff>85725</xdr:colOff>
      <xdr:row>41</xdr:row>
      <xdr:rowOff>133350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DBBD2BE3-100B-4DE1-881B-14F54A604B6B}"/>
            </a:ext>
          </a:extLst>
        </xdr:cNvPr>
        <xdr:cNvCxnSpPr/>
      </xdr:nvCxnSpPr>
      <xdr:spPr>
        <a:xfrm>
          <a:off x="2181225" y="8562975"/>
          <a:ext cx="1781175" cy="4953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12</xdr:col>
      <xdr:colOff>904874</xdr:colOff>
      <xdr:row>39</xdr:row>
      <xdr:rowOff>38101</xdr:rowOff>
    </xdr:from>
    <xdr:to>
      <xdr:col>13</xdr:col>
      <xdr:colOff>200024</xdr:colOff>
      <xdr:row>39</xdr:row>
      <xdr:rowOff>161928</xdr:rowOff>
    </xdr:to>
    <xdr:sp macro="" textlink="">
      <xdr:nvSpPr>
        <xdr:cNvPr id="7" name="Cerrar llave 6">
          <a:extLst>
            <a:ext uri="{FF2B5EF4-FFF2-40B4-BE49-F238E27FC236}">
              <a16:creationId xmlns:a16="http://schemas.microsoft.com/office/drawing/2014/main" id="{95FFC483-AFF3-4A27-9CE9-F896872D9216}"/>
            </a:ext>
          </a:extLst>
        </xdr:cNvPr>
        <xdr:cNvSpPr/>
      </xdr:nvSpPr>
      <xdr:spPr>
        <a:xfrm rot="5400000">
          <a:off x="10829923" y="8305802"/>
          <a:ext cx="123827" cy="504825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1152525</xdr:colOff>
      <xdr:row>43</xdr:row>
      <xdr:rowOff>95250</xdr:rowOff>
    </xdr:from>
    <xdr:to>
      <xdr:col>8</xdr:col>
      <xdr:colOff>19050</xdr:colOff>
      <xdr:row>48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9D50314A-C3DC-469F-B346-C144368F9A0D}"/>
            </a:ext>
          </a:extLst>
        </xdr:cNvPr>
        <xdr:cNvCxnSpPr/>
      </xdr:nvCxnSpPr>
      <xdr:spPr>
        <a:xfrm flipV="1">
          <a:off x="5029200" y="9420225"/>
          <a:ext cx="1009650" cy="110490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39</xdr:row>
      <xdr:rowOff>200023</xdr:rowOff>
    </xdr:from>
    <xdr:to>
      <xdr:col>11</xdr:col>
      <xdr:colOff>133352</xdr:colOff>
      <xdr:row>40</xdr:row>
      <xdr:rowOff>190499</xdr:rowOff>
    </xdr:to>
    <xdr:sp macro="" textlink="">
      <xdr:nvSpPr>
        <xdr:cNvPr id="9" name="Abrir llave 8">
          <a:extLst>
            <a:ext uri="{FF2B5EF4-FFF2-40B4-BE49-F238E27FC236}">
              <a16:creationId xmlns:a16="http://schemas.microsoft.com/office/drawing/2014/main" id="{62341657-F491-49A9-80DD-C82F88D83345}"/>
            </a:ext>
          </a:extLst>
        </xdr:cNvPr>
        <xdr:cNvSpPr/>
      </xdr:nvSpPr>
      <xdr:spPr>
        <a:xfrm rot="16200000">
          <a:off x="7705726" y="7667622"/>
          <a:ext cx="200026" cy="218122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45</xdr:row>
      <xdr:rowOff>144757</xdr:rowOff>
    </xdr:from>
    <xdr:ext cx="2599476" cy="370071"/>
    <xdr:sp macro="" textlink="">
      <xdr:nvSpPr>
        <xdr:cNvPr id="10" name="Rectángulo 9">
          <a:extLst>
            <a:ext uri="{FF2B5EF4-FFF2-40B4-BE49-F238E27FC236}">
              <a16:creationId xmlns:a16="http://schemas.microsoft.com/office/drawing/2014/main" id="{EAF3BD20-B5D7-48C3-A9CE-7D88127EB49A}"/>
            </a:ext>
          </a:extLst>
        </xdr:cNvPr>
        <xdr:cNvSpPr/>
      </xdr:nvSpPr>
      <xdr:spPr>
        <a:xfrm rot="18916712">
          <a:off x="9553429" y="9765007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40</xdr:row>
      <xdr:rowOff>19050</xdr:rowOff>
    </xdr:from>
    <xdr:to>
      <xdr:col>6</xdr:col>
      <xdr:colOff>295275</xdr:colOff>
      <xdr:row>40</xdr:row>
      <xdr:rowOff>161925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5C108338-9351-44A1-B64E-AA46A3B9BB6A}"/>
            </a:ext>
          </a:extLst>
        </xdr:cNvPr>
        <xdr:cNvCxnSpPr/>
      </xdr:nvCxnSpPr>
      <xdr:spPr>
        <a:xfrm>
          <a:off x="5124450" y="8267700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41</xdr:row>
      <xdr:rowOff>200024</xdr:rowOff>
    </xdr:from>
    <xdr:to>
      <xdr:col>6</xdr:col>
      <xdr:colOff>285750</xdr:colOff>
      <xdr:row>42</xdr:row>
      <xdr:rowOff>85724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7249BADA-3158-4C6F-B880-55377AE0C2AD}"/>
            </a:ext>
          </a:extLst>
        </xdr:cNvPr>
        <xdr:cNvCxnSpPr/>
      </xdr:nvCxnSpPr>
      <xdr:spPr>
        <a:xfrm rot="10800000" flipV="1">
          <a:off x="5105400" y="8705849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39</xdr:row>
      <xdr:rowOff>123825</xdr:rowOff>
    </xdr:from>
    <xdr:to>
      <xdr:col>7</xdr:col>
      <xdr:colOff>0</xdr:colOff>
      <xdr:row>40</xdr:row>
      <xdr:rowOff>161925</xdr:rowOff>
    </xdr:to>
    <xdr:cxnSp macro="">
      <xdr:nvCxnSpPr>
        <xdr:cNvPr id="4" name="1 Conector recto de flecha">
          <a:extLst>
            <a:ext uri="{FF2B5EF4-FFF2-40B4-BE49-F238E27FC236}">
              <a16:creationId xmlns:a16="http://schemas.microsoft.com/office/drawing/2014/main" id="{56DE08E1-7568-4731-ACE1-418A51CF7812}"/>
            </a:ext>
          </a:extLst>
        </xdr:cNvPr>
        <xdr:cNvCxnSpPr/>
      </xdr:nvCxnSpPr>
      <xdr:spPr>
        <a:xfrm>
          <a:off x="5019675" y="8162925"/>
          <a:ext cx="238125" cy="2476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41</xdr:row>
      <xdr:rowOff>200024</xdr:rowOff>
    </xdr:from>
    <xdr:to>
      <xdr:col>6</xdr:col>
      <xdr:colOff>285750</xdr:colOff>
      <xdr:row>42</xdr:row>
      <xdr:rowOff>85724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2385D16A-D35A-49DD-8B50-381F01C08AED}"/>
            </a:ext>
          </a:extLst>
        </xdr:cNvPr>
        <xdr:cNvCxnSpPr/>
      </xdr:nvCxnSpPr>
      <xdr:spPr>
        <a:xfrm rot="10800000" flipV="1">
          <a:off x="5105400" y="8705849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39</xdr:row>
      <xdr:rowOff>104775</xdr:rowOff>
    </xdr:from>
    <xdr:to>
      <xdr:col>5</xdr:col>
      <xdr:colOff>85725</xdr:colOff>
      <xdr:row>41</xdr:row>
      <xdr:rowOff>133350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B4A80AE4-5262-4455-88FE-C3C2A2D7DFCB}"/>
            </a:ext>
          </a:extLst>
        </xdr:cNvPr>
        <xdr:cNvCxnSpPr/>
      </xdr:nvCxnSpPr>
      <xdr:spPr>
        <a:xfrm>
          <a:off x="2181225" y="8134350"/>
          <a:ext cx="1781175" cy="4572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12</xdr:col>
      <xdr:colOff>904874</xdr:colOff>
      <xdr:row>39</xdr:row>
      <xdr:rowOff>38101</xdr:rowOff>
    </xdr:from>
    <xdr:to>
      <xdr:col>13</xdr:col>
      <xdr:colOff>200024</xdr:colOff>
      <xdr:row>39</xdr:row>
      <xdr:rowOff>161928</xdr:rowOff>
    </xdr:to>
    <xdr:sp macro="" textlink="">
      <xdr:nvSpPr>
        <xdr:cNvPr id="7" name="Cerrar llave 6">
          <a:extLst>
            <a:ext uri="{FF2B5EF4-FFF2-40B4-BE49-F238E27FC236}">
              <a16:creationId xmlns:a16="http://schemas.microsoft.com/office/drawing/2014/main" id="{D9A81256-14B1-4692-A0FB-CFCF33E7AD20}"/>
            </a:ext>
          </a:extLst>
        </xdr:cNvPr>
        <xdr:cNvSpPr/>
      </xdr:nvSpPr>
      <xdr:spPr>
        <a:xfrm rot="5400000">
          <a:off x="10829923" y="7886702"/>
          <a:ext cx="123827" cy="504825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1152525</xdr:colOff>
      <xdr:row>43</xdr:row>
      <xdr:rowOff>95250</xdr:rowOff>
    </xdr:from>
    <xdr:to>
      <xdr:col>8</xdr:col>
      <xdr:colOff>19050</xdr:colOff>
      <xdr:row>48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A2C78645-AC0E-49F1-A15D-22A6DC94C08C}"/>
            </a:ext>
          </a:extLst>
        </xdr:cNvPr>
        <xdr:cNvCxnSpPr/>
      </xdr:nvCxnSpPr>
      <xdr:spPr>
        <a:xfrm flipV="1">
          <a:off x="5029200" y="9001125"/>
          <a:ext cx="1009650" cy="110490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39</xdr:row>
      <xdr:rowOff>200023</xdr:rowOff>
    </xdr:from>
    <xdr:to>
      <xdr:col>11</xdr:col>
      <xdr:colOff>133352</xdr:colOff>
      <xdr:row>40</xdr:row>
      <xdr:rowOff>190499</xdr:rowOff>
    </xdr:to>
    <xdr:sp macro="" textlink="">
      <xdr:nvSpPr>
        <xdr:cNvPr id="9" name="Abrir llave 8">
          <a:extLst>
            <a:ext uri="{FF2B5EF4-FFF2-40B4-BE49-F238E27FC236}">
              <a16:creationId xmlns:a16="http://schemas.microsoft.com/office/drawing/2014/main" id="{0D7B180D-1F77-4B40-A21D-FB52B8F4EDE9}"/>
            </a:ext>
          </a:extLst>
        </xdr:cNvPr>
        <xdr:cNvSpPr/>
      </xdr:nvSpPr>
      <xdr:spPr>
        <a:xfrm rot="16200000">
          <a:off x="7705726" y="7248522"/>
          <a:ext cx="200026" cy="218122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45</xdr:row>
      <xdr:rowOff>144757</xdr:rowOff>
    </xdr:from>
    <xdr:ext cx="2599476" cy="370071"/>
    <xdr:sp macro="" textlink="">
      <xdr:nvSpPr>
        <xdr:cNvPr id="10" name="Rectángulo 9">
          <a:extLst>
            <a:ext uri="{FF2B5EF4-FFF2-40B4-BE49-F238E27FC236}">
              <a16:creationId xmlns:a16="http://schemas.microsoft.com/office/drawing/2014/main" id="{63159D79-19E0-4F9D-89A8-C54DC8E7313F}"/>
            </a:ext>
          </a:extLst>
        </xdr:cNvPr>
        <xdr:cNvSpPr/>
      </xdr:nvSpPr>
      <xdr:spPr>
        <a:xfrm rot="18916712">
          <a:off x="9553429" y="9345907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42</xdr:row>
      <xdr:rowOff>19050</xdr:rowOff>
    </xdr:from>
    <xdr:to>
      <xdr:col>6</xdr:col>
      <xdr:colOff>295275</xdr:colOff>
      <xdr:row>42</xdr:row>
      <xdr:rowOff>161925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5035AEA-FF87-43EC-81E8-22822231A0D3}"/>
            </a:ext>
          </a:extLst>
        </xdr:cNvPr>
        <xdr:cNvCxnSpPr/>
      </xdr:nvCxnSpPr>
      <xdr:spPr>
        <a:xfrm>
          <a:off x="5124450" y="8258175"/>
          <a:ext cx="133350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43</xdr:row>
      <xdr:rowOff>200024</xdr:rowOff>
    </xdr:from>
    <xdr:to>
      <xdr:col>6</xdr:col>
      <xdr:colOff>285750</xdr:colOff>
      <xdr:row>44</xdr:row>
      <xdr:rowOff>85724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DCCB900D-E570-47F9-B78A-798FA6768596}"/>
            </a:ext>
          </a:extLst>
        </xdr:cNvPr>
        <xdr:cNvCxnSpPr/>
      </xdr:nvCxnSpPr>
      <xdr:spPr>
        <a:xfrm rot="10800000" flipV="1">
          <a:off x="5105400" y="8658224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41</xdr:row>
      <xdr:rowOff>123825</xdr:rowOff>
    </xdr:from>
    <xdr:to>
      <xdr:col>7</xdr:col>
      <xdr:colOff>0</xdr:colOff>
      <xdr:row>42</xdr:row>
      <xdr:rowOff>161925</xdr:rowOff>
    </xdr:to>
    <xdr:cxnSp macro="">
      <xdr:nvCxnSpPr>
        <xdr:cNvPr id="4" name="1 Conector recto de flecha">
          <a:extLst>
            <a:ext uri="{FF2B5EF4-FFF2-40B4-BE49-F238E27FC236}">
              <a16:creationId xmlns:a16="http://schemas.microsoft.com/office/drawing/2014/main" id="{5650850F-F1E4-47BB-AF61-2E029B09EB85}"/>
            </a:ext>
          </a:extLst>
        </xdr:cNvPr>
        <xdr:cNvCxnSpPr/>
      </xdr:nvCxnSpPr>
      <xdr:spPr>
        <a:xfrm>
          <a:off x="5019675" y="8153400"/>
          <a:ext cx="238125" cy="2476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43</xdr:row>
      <xdr:rowOff>200024</xdr:rowOff>
    </xdr:from>
    <xdr:to>
      <xdr:col>6</xdr:col>
      <xdr:colOff>285750</xdr:colOff>
      <xdr:row>44</xdr:row>
      <xdr:rowOff>85724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5C88857B-6E53-4A6F-AAC7-203FDBCCB9FE}"/>
            </a:ext>
          </a:extLst>
        </xdr:cNvPr>
        <xdr:cNvCxnSpPr/>
      </xdr:nvCxnSpPr>
      <xdr:spPr>
        <a:xfrm rot="10800000" flipV="1">
          <a:off x="5105400" y="8658224"/>
          <a:ext cx="15240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41</xdr:row>
      <xdr:rowOff>104775</xdr:rowOff>
    </xdr:from>
    <xdr:to>
      <xdr:col>5</xdr:col>
      <xdr:colOff>85725</xdr:colOff>
      <xdr:row>43</xdr:row>
      <xdr:rowOff>133350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8D67E6F6-1845-4AAB-AC43-885D5CB8F108}"/>
            </a:ext>
          </a:extLst>
        </xdr:cNvPr>
        <xdr:cNvCxnSpPr/>
      </xdr:nvCxnSpPr>
      <xdr:spPr>
        <a:xfrm>
          <a:off x="2181225" y="8134350"/>
          <a:ext cx="1781175" cy="4572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12</xdr:col>
      <xdr:colOff>904874</xdr:colOff>
      <xdr:row>41</xdr:row>
      <xdr:rowOff>38101</xdr:rowOff>
    </xdr:from>
    <xdr:to>
      <xdr:col>13</xdr:col>
      <xdr:colOff>200024</xdr:colOff>
      <xdr:row>41</xdr:row>
      <xdr:rowOff>161928</xdr:rowOff>
    </xdr:to>
    <xdr:sp macro="" textlink="">
      <xdr:nvSpPr>
        <xdr:cNvPr id="7" name="Cerrar llave 6">
          <a:extLst>
            <a:ext uri="{FF2B5EF4-FFF2-40B4-BE49-F238E27FC236}">
              <a16:creationId xmlns:a16="http://schemas.microsoft.com/office/drawing/2014/main" id="{4B502EB9-A484-41B7-9EFB-04179B2C95EF}"/>
            </a:ext>
          </a:extLst>
        </xdr:cNvPr>
        <xdr:cNvSpPr/>
      </xdr:nvSpPr>
      <xdr:spPr>
        <a:xfrm rot="5400000">
          <a:off x="10829923" y="7877177"/>
          <a:ext cx="123827" cy="504825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5</xdr:col>
      <xdr:colOff>1152525</xdr:colOff>
      <xdr:row>45</xdr:row>
      <xdr:rowOff>95250</xdr:rowOff>
    </xdr:from>
    <xdr:to>
      <xdr:col>8</xdr:col>
      <xdr:colOff>19050</xdr:colOff>
      <xdr:row>50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8FCB4C-7343-4CC0-9844-6C3C4BA26E8A}"/>
            </a:ext>
          </a:extLst>
        </xdr:cNvPr>
        <xdr:cNvCxnSpPr/>
      </xdr:nvCxnSpPr>
      <xdr:spPr>
        <a:xfrm flipV="1">
          <a:off x="5029200" y="8963025"/>
          <a:ext cx="1009650" cy="110490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41</xdr:row>
      <xdr:rowOff>200023</xdr:rowOff>
    </xdr:from>
    <xdr:to>
      <xdr:col>11</xdr:col>
      <xdr:colOff>133352</xdr:colOff>
      <xdr:row>42</xdr:row>
      <xdr:rowOff>190499</xdr:rowOff>
    </xdr:to>
    <xdr:sp macro="" textlink="">
      <xdr:nvSpPr>
        <xdr:cNvPr id="9" name="Abrir llave 8">
          <a:extLst>
            <a:ext uri="{FF2B5EF4-FFF2-40B4-BE49-F238E27FC236}">
              <a16:creationId xmlns:a16="http://schemas.microsoft.com/office/drawing/2014/main" id="{B29D11A4-E962-4779-BED1-22B548194B53}"/>
            </a:ext>
          </a:extLst>
        </xdr:cNvPr>
        <xdr:cNvSpPr/>
      </xdr:nvSpPr>
      <xdr:spPr>
        <a:xfrm rot="16200000">
          <a:off x="7705726" y="7238997"/>
          <a:ext cx="200026" cy="218122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47</xdr:row>
      <xdr:rowOff>144757</xdr:rowOff>
    </xdr:from>
    <xdr:ext cx="2599476" cy="370071"/>
    <xdr:sp macro="" textlink="">
      <xdr:nvSpPr>
        <xdr:cNvPr id="10" name="Rectángulo 9">
          <a:extLst>
            <a:ext uri="{FF2B5EF4-FFF2-40B4-BE49-F238E27FC236}">
              <a16:creationId xmlns:a16="http://schemas.microsoft.com/office/drawing/2014/main" id="{61E057BB-65D2-43FE-BA4D-1191CA8ABD06}"/>
            </a:ext>
          </a:extLst>
        </xdr:cNvPr>
        <xdr:cNvSpPr/>
      </xdr:nvSpPr>
      <xdr:spPr>
        <a:xfrm rot="18916712">
          <a:off x="9553429" y="9307807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CB764-9536-4D24-93FD-06C3872B32EB}">
  <sheetPr>
    <tabColor theme="5" tint="-0.499984740745262"/>
  </sheetPr>
  <dimension ref="A1:AF83"/>
  <sheetViews>
    <sheetView topLeftCell="F19" workbookViewId="0">
      <selection activeCell="P44" sqref="P44:Q44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16" customWidth="1"/>
    <col min="4" max="4" width="15.28515625" customWidth="1"/>
    <col min="6" max="6" width="17.85546875" style="16" customWidth="1"/>
    <col min="7" max="7" width="2.85546875" customWidth="1"/>
    <col min="9" max="9" width="12.140625" style="16" customWidth="1"/>
    <col min="10" max="10" width="11.7109375" style="16" customWidth="1"/>
    <col min="11" max="11" width="17.28515625" customWidth="1"/>
    <col min="12" max="12" width="14.5703125" customWidth="1"/>
    <col min="13" max="13" width="18.140625" style="16" customWidth="1"/>
    <col min="14" max="14" width="14.42578125" style="4" customWidth="1"/>
    <col min="15" max="15" width="32.42578125" style="4" customWidth="1"/>
    <col min="16" max="16" width="15.5703125" style="5" bestFit="1" customWidth="1"/>
    <col min="17" max="17" width="14.42578125" style="5" customWidth="1"/>
    <col min="18" max="18" width="4.140625" style="5" customWidth="1"/>
    <col min="19" max="19" width="16.28515625" style="6" bestFit="1" customWidth="1"/>
    <col min="20" max="20" width="14.140625" customWidth="1"/>
    <col min="21" max="21" width="13.85546875" customWidth="1"/>
    <col min="23" max="23" width="15.85546875" bestFit="1" customWidth="1"/>
    <col min="24" max="24" width="14.85546875" customWidth="1"/>
    <col min="25" max="25" width="15.140625" customWidth="1"/>
    <col min="26" max="26" width="18.5703125" style="7" customWidth="1"/>
    <col min="28" max="28" width="14.7109375" customWidth="1"/>
    <col min="29" max="29" width="11.42578125" style="152"/>
    <col min="30" max="30" width="10.5703125" customWidth="1"/>
    <col min="31" max="31" width="17.140625" bestFit="1" customWidth="1"/>
    <col min="32" max="32" width="13.42578125" customWidth="1"/>
  </cols>
  <sheetData>
    <row r="1" spans="1:32" ht="20.25" customHeight="1" thickBot="1" x14ac:dyDescent="0.4">
      <c r="C1" s="344" t="s">
        <v>42</v>
      </c>
      <c r="D1" s="344"/>
      <c r="E1" s="344"/>
      <c r="F1" s="344"/>
      <c r="G1" s="344"/>
      <c r="H1" s="344"/>
      <c r="I1" s="344"/>
      <c r="J1" s="344"/>
      <c r="K1" s="344"/>
      <c r="L1" s="2"/>
      <c r="M1" s="3"/>
      <c r="AE1" s="358" t="s">
        <v>45</v>
      </c>
      <c r="AF1" s="359"/>
    </row>
    <row r="2" spans="1:32" ht="18" customHeight="1" thickBot="1" x14ac:dyDescent="0.35">
      <c r="C2" s="8"/>
      <c r="E2" s="9"/>
      <c r="F2" s="10"/>
      <c r="H2" s="11" t="s">
        <v>0</v>
      </c>
      <c r="I2" s="12"/>
      <c r="J2" s="12"/>
      <c r="K2" s="13"/>
      <c r="L2" s="13"/>
      <c r="M2" s="12"/>
      <c r="N2" s="14"/>
      <c r="O2" s="5"/>
      <c r="V2" s="366" t="s">
        <v>4</v>
      </c>
      <c r="W2" s="367"/>
      <c r="Z2" s="363" t="s">
        <v>43</v>
      </c>
      <c r="AA2" s="364"/>
      <c r="AB2" s="365"/>
      <c r="AD2" s="193" t="s">
        <v>44</v>
      </c>
      <c r="AE2" s="360"/>
      <c r="AF2" s="361"/>
    </row>
    <row r="3" spans="1:32" ht="14.25" customHeight="1" thickBot="1" x14ac:dyDescent="0.35">
      <c r="B3" s="345" t="s">
        <v>1</v>
      </c>
      <c r="C3" s="346"/>
      <c r="D3" s="15"/>
      <c r="I3" s="17" t="s">
        <v>2</v>
      </c>
      <c r="J3" s="12"/>
      <c r="K3" s="18" t="s">
        <v>3</v>
      </c>
      <c r="L3" s="18"/>
      <c r="V3" s="368"/>
      <c r="W3" s="369"/>
      <c r="X3" s="195" t="s">
        <v>37</v>
      </c>
      <c r="Z3" s="19" t="s">
        <v>49</v>
      </c>
      <c r="AA3" s="200">
        <v>43840</v>
      </c>
      <c r="AB3" s="21">
        <v>2000</v>
      </c>
      <c r="AD3" s="89"/>
      <c r="AE3" s="194"/>
      <c r="AF3" s="75">
        <v>0</v>
      </c>
    </row>
    <row r="4" spans="1:32" ht="20.25" thickTop="1" thickBot="1" x14ac:dyDescent="0.35">
      <c r="A4" s="22" t="s">
        <v>5</v>
      </c>
      <c r="B4" s="23"/>
      <c r="C4" s="216">
        <v>273391.58</v>
      </c>
      <c r="D4" s="215">
        <v>43837</v>
      </c>
      <c r="E4" s="347" t="s">
        <v>6</v>
      </c>
      <c r="F4" s="348"/>
      <c r="H4" s="349" t="s">
        <v>7</v>
      </c>
      <c r="I4" s="350"/>
      <c r="J4" s="24"/>
      <c r="K4" s="24"/>
      <c r="L4" s="24"/>
      <c r="M4" s="25" t="s">
        <v>8</v>
      </c>
      <c r="N4" s="26" t="s">
        <v>9</v>
      </c>
      <c r="O4" s="27"/>
      <c r="P4" s="27"/>
      <c r="Q4" s="28"/>
      <c r="R4" s="28"/>
      <c r="U4" s="29">
        <v>43840</v>
      </c>
      <c r="V4" s="199" t="s">
        <v>11</v>
      </c>
      <c r="W4" s="196">
        <v>5010</v>
      </c>
      <c r="X4" s="197"/>
      <c r="Z4" s="19" t="s">
        <v>50</v>
      </c>
      <c r="AA4" s="200">
        <v>43844</v>
      </c>
      <c r="AB4" s="21">
        <v>2000</v>
      </c>
      <c r="AD4" s="89"/>
      <c r="AE4" s="20"/>
      <c r="AF4" s="78">
        <v>0</v>
      </c>
    </row>
    <row r="5" spans="1:32" ht="15.75" thickBot="1" x14ac:dyDescent="0.3">
      <c r="A5" s="30" t="s">
        <v>12</v>
      </c>
      <c r="B5" s="149">
        <v>43838</v>
      </c>
      <c r="C5" s="31">
        <v>2390</v>
      </c>
      <c r="D5" s="150" t="s">
        <v>46</v>
      </c>
      <c r="E5" s="151">
        <v>43838</v>
      </c>
      <c r="F5" s="32">
        <v>60353</v>
      </c>
      <c r="G5" s="152"/>
      <c r="H5" s="153">
        <v>43838</v>
      </c>
      <c r="I5" s="33">
        <v>0</v>
      </c>
      <c r="M5" s="34">
        <v>62504</v>
      </c>
      <c r="N5" s="35">
        <v>790</v>
      </c>
      <c r="O5" s="36"/>
      <c r="P5" s="36">
        <f>C5+I5+M5+N5+L30+L12</f>
        <v>83392.52</v>
      </c>
      <c r="Q5" s="198">
        <f>P5-F5</f>
        <v>23039.520000000004</v>
      </c>
      <c r="T5" s="37"/>
      <c r="U5" s="29">
        <v>43840</v>
      </c>
      <c r="V5" s="38" t="s">
        <v>10</v>
      </c>
      <c r="W5" s="196">
        <v>5010</v>
      </c>
      <c r="X5" s="197"/>
      <c r="Z5" s="19" t="s">
        <v>51</v>
      </c>
      <c r="AA5" s="200">
        <v>43854</v>
      </c>
      <c r="AB5" s="21">
        <v>2000</v>
      </c>
      <c r="AD5" s="89"/>
      <c r="AE5" s="20"/>
      <c r="AF5" s="78">
        <v>0</v>
      </c>
    </row>
    <row r="6" spans="1:32" ht="15.75" thickBot="1" x14ac:dyDescent="0.3">
      <c r="A6" s="30"/>
      <c r="B6" s="149">
        <v>43839</v>
      </c>
      <c r="C6" s="31">
        <v>18916</v>
      </c>
      <c r="D6" s="154" t="s">
        <v>47</v>
      </c>
      <c r="E6" s="151">
        <v>43839</v>
      </c>
      <c r="F6" s="32">
        <v>76615</v>
      </c>
      <c r="G6" s="152"/>
      <c r="H6" s="153">
        <v>43839</v>
      </c>
      <c r="I6" s="39">
        <v>1005</v>
      </c>
      <c r="J6" s="40"/>
      <c r="K6" s="41"/>
      <c r="L6" s="42"/>
      <c r="M6" s="34">
        <f>50363+5634.3</f>
        <v>55997.3</v>
      </c>
      <c r="N6" s="35">
        <v>697</v>
      </c>
      <c r="O6" s="36" t="s">
        <v>12</v>
      </c>
      <c r="P6" s="36">
        <f>C6+I6+M6+N6</f>
        <v>76615.3</v>
      </c>
      <c r="Q6" s="5">
        <f t="shared" ref="Q6:Q11" si="0">P6-F6</f>
        <v>0.30000000000291038</v>
      </c>
      <c r="T6" s="37"/>
      <c r="U6" s="43">
        <v>43847</v>
      </c>
      <c r="V6" s="44" t="s">
        <v>11</v>
      </c>
      <c r="W6" s="196">
        <v>5010</v>
      </c>
      <c r="X6" s="197"/>
      <c r="Z6" s="19" t="s">
        <v>52</v>
      </c>
      <c r="AA6" s="200">
        <v>43860</v>
      </c>
      <c r="AB6" s="21">
        <v>2000</v>
      </c>
      <c r="AD6" s="89"/>
      <c r="AE6" s="20"/>
      <c r="AF6" s="78">
        <v>0</v>
      </c>
    </row>
    <row r="7" spans="1:32" ht="16.5" thickBot="1" x14ac:dyDescent="0.3">
      <c r="A7" s="30"/>
      <c r="B7" s="149">
        <v>43840</v>
      </c>
      <c r="C7" s="31">
        <v>2600</v>
      </c>
      <c r="D7" s="155" t="s">
        <v>48</v>
      </c>
      <c r="E7" s="151">
        <v>43840</v>
      </c>
      <c r="F7" s="32">
        <v>130274</v>
      </c>
      <c r="G7" s="152"/>
      <c r="H7" s="153">
        <v>43840</v>
      </c>
      <c r="I7" s="39">
        <v>12096</v>
      </c>
      <c r="J7" s="45"/>
      <c r="K7" s="46" t="s">
        <v>13</v>
      </c>
      <c r="L7" s="47">
        <v>0</v>
      </c>
      <c r="M7" s="34">
        <f>114354+10504</f>
        <v>124858</v>
      </c>
      <c r="N7" s="35">
        <v>1224</v>
      </c>
      <c r="O7" s="36"/>
      <c r="P7" s="36">
        <f>C7+I7+M7+N7+L13+L26</f>
        <v>157832.87</v>
      </c>
      <c r="Q7" s="198">
        <f t="shared" si="0"/>
        <v>27558.869999999995</v>
      </c>
      <c r="S7" s="5"/>
      <c r="T7" s="4"/>
      <c r="U7" s="48">
        <v>43847</v>
      </c>
      <c r="V7" s="38" t="s">
        <v>10</v>
      </c>
      <c r="W7" s="196">
        <v>5010</v>
      </c>
      <c r="X7" s="197"/>
      <c r="Z7" s="19" t="s">
        <v>53</v>
      </c>
      <c r="AA7" s="20"/>
      <c r="AB7" s="21">
        <v>0</v>
      </c>
      <c r="AD7" s="89"/>
      <c r="AE7" s="20"/>
      <c r="AF7" s="78">
        <v>0</v>
      </c>
    </row>
    <row r="8" spans="1:32" ht="16.5" thickBot="1" x14ac:dyDescent="0.3">
      <c r="A8" s="30"/>
      <c r="B8" s="149">
        <v>43841</v>
      </c>
      <c r="C8" s="31">
        <v>1022</v>
      </c>
      <c r="D8" s="156" t="s">
        <v>68</v>
      </c>
      <c r="E8" s="151">
        <v>43841</v>
      </c>
      <c r="F8" s="32">
        <v>148006</v>
      </c>
      <c r="G8" s="152"/>
      <c r="H8" s="153">
        <v>43841</v>
      </c>
      <c r="I8" s="39">
        <v>483.8</v>
      </c>
      <c r="J8" s="203">
        <v>43834</v>
      </c>
      <c r="K8" s="49" t="s">
        <v>14</v>
      </c>
      <c r="L8" s="50">
        <v>21637</v>
      </c>
      <c r="M8" s="34">
        <f>113000+21521</f>
        <v>134521</v>
      </c>
      <c r="N8" s="35">
        <v>5341</v>
      </c>
      <c r="O8" s="36"/>
      <c r="P8" s="36">
        <f>C8+I8+M8+N8+L12</f>
        <v>159076.31999999998</v>
      </c>
      <c r="Q8" s="201">
        <f t="shared" si="0"/>
        <v>11070.319999999978</v>
      </c>
      <c r="S8" s="5"/>
      <c r="T8" s="4"/>
      <c r="U8" s="29">
        <v>43854</v>
      </c>
      <c r="V8" s="44" t="s">
        <v>11</v>
      </c>
      <c r="W8" s="196">
        <v>5010</v>
      </c>
      <c r="X8" s="197"/>
      <c r="Z8" s="19" t="s">
        <v>54</v>
      </c>
      <c r="AA8" s="20"/>
      <c r="AB8" s="21">
        <v>0</v>
      </c>
      <c r="AD8" s="89"/>
      <c r="AE8" s="20"/>
      <c r="AF8" s="78">
        <v>0</v>
      </c>
    </row>
    <row r="9" spans="1:32" ht="16.5" thickBot="1" x14ac:dyDescent="0.3">
      <c r="A9" s="30"/>
      <c r="B9" s="149">
        <v>43842</v>
      </c>
      <c r="C9" s="31">
        <v>3138</v>
      </c>
      <c r="D9" s="157" t="s">
        <v>69</v>
      </c>
      <c r="E9" s="151">
        <v>43842</v>
      </c>
      <c r="F9" s="32">
        <v>121720</v>
      </c>
      <c r="G9" s="152"/>
      <c r="H9" s="153">
        <v>43842</v>
      </c>
      <c r="I9" s="39">
        <v>0</v>
      </c>
      <c r="J9" s="51">
        <v>43861</v>
      </c>
      <c r="K9" s="20" t="s">
        <v>15</v>
      </c>
      <c r="L9" s="52">
        <v>20000</v>
      </c>
      <c r="M9" s="34">
        <v>113363</v>
      </c>
      <c r="N9" s="35">
        <v>5219</v>
      </c>
      <c r="O9" s="36"/>
      <c r="P9" s="36">
        <f>C9+I9+M9+N9</f>
        <v>121720</v>
      </c>
      <c r="Q9" s="5">
        <f t="shared" si="0"/>
        <v>0</v>
      </c>
      <c r="R9" s="5" t="s">
        <v>12</v>
      </c>
      <c r="S9" s="5"/>
      <c r="T9" s="4"/>
      <c r="U9" s="48">
        <v>43854</v>
      </c>
      <c r="V9" s="38" t="s">
        <v>10</v>
      </c>
      <c r="W9" s="196">
        <v>5010</v>
      </c>
      <c r="X9" s="197"/>
      <c r="Z9" s="19" t="s">
        <v>55</v>
      </c>
      <c r="AA9" s="20"/>
      <c r="AB9" s="21">
        <v>0</v>
      </c>
      <c r="AD9" s="89"/>
      <c r="AE9" s="20"/>
      <c r="AF9" s="78">
        <v>0</v>
      </c>
    </row>
    <row r="10" spans="1:32" ht="16.5" thickBot="1" x14ac:dyDescent="0.3">
      <c r="A10" s="30"/>
      <c r="B10" s="149">
        <v>43843</v>
      </c>
      <c r="C10" s="31">
        <v>17388</v>
      </c>
      <c r="D10" s="154" t="s">
        <v>70</v>
      </c>
      <c r="E10" s="151">
        <v>43843</v>
      </c>
      <c r="F10" s="32">
        <v>122133</v>
      </c>
      <c r="G10" s="152"/>
      <c r="H10" s="153">
        <v>43843</v>
      </c>
      <c r="I10" s="39">
        <v>0</v>
      </c>
      <c r="J10" s="53"/>
      <c r="K10" s="54"/>
      <c r="L10" s="55"/>
      <c r="M10" s="34">
        <f>70271+33504+2784.18</f>
        <v>106559.18</v>
      </c>
      <c r="N10" s="35">
        <v>970</v>
      </c>
      <c r="O10" s="36"/>
      <c r="P10" s="36">
        <f>C10+I10+M10+N10+L11</f>
        <v>124917.18</v>
      </c>
      <c r="Q10" s="198">
        <f t="shared" si="0"/>
        <v>2784.179999999993</v>
      </c>
      <c r="T10" s="37"/>
      <c r="U10" s="29">
        <v>43861</v>
      </c>
      <c r="V10" s="44" t="s">
        <v>11</v>
      </c>
      <c r="W10" s="196">
        <v>5010</v>
      </c>
      <c r="X10" s="197"/>
      <c r="Z10" s="19" t="s">
        <v>56</v>
      </c>
      <c r="AA10" s="20"/>
      <c r="AB10" s="21">
        <v>0</v>
      </c>
      <c r="AD10" s="89"/>
      <c r="AE10" s="20"/>
      <c r="AF10" s="78">
        <v>0</v>
      </c>
    </row>
    <row r="11" spans="1:32" ht="15.75" thickBot="1" x14ac:dyDescent="0.3">
      <c r="A11" s="30"/>
      <c r="B11" s="149">
        <v>43844</v>
      </c>
      <c r="C11" s="31">
        <v>2143</v>
      </c>
      <c r="D11" s="154" t="s">
        <v>71</v>
      </c>
      <c r="E11" s="151">
        <v>43844</v>
      </c>
      <c r="F11" s="32">
        <v>59180</v>
      </c>
      <c r="G11" s="152"/>
      <c r="H11" s="153">
        <v>43844</v>
      </c>
      <c r="I11" s="39">
        <v>17</v>
      </c>
      <c r="J11" s="56"/>
      <c r="K11" s="57"/>
      <c r="L11" s="55"/>
      <c r="M11" s="34">
        <f>54960+210</f>
        <v>55170</v>
      </c>
      <c r="N11" s="35">
        <v>1850</v>
      </c>
      <c r="O11" s="36"/>
      <c r="P11" s="36">
        <f>C11+I11+M11+N11+L31</f>
        <v>59180</v>
      </c>
      <c r="Q11" s="5">
        <f t="shared" si="0"/>
        <v>0</v>
      </c>
      <c r="S11" s="58">
        <v>0</v>
      </c>
      <c r="T11" s="37"/>
      <c r="U11" s="29">
        <v>43861</v>
      </c>
      <c r="V11" s="38" t="s">
        <v>10</v>
      </c>
      <c r="W11" s="196">
        <v>5010</v>
      </c>
      <c r="X11" s="197"/>
      <c r="Z11" s="19" t="s">
        <v>57</v>
      </c>
      <c r="AA11" s="59"/>
      <c r="AB11" s="21">
        <v>0</v>
      </c>
      <c r="AD11" s="89"/>
      <c r="AE11" s="20"/>
      <c r="AF11" s="78">
        <v>0</v>
      </c>
    </row>
    <row r="12" spans="1:32" ht="15.75" thickBot="1" x14ac:dyDescent="0.3">
      <c r="A12" s="30"/>
      <c r="B12" s="149">
        <v>43845</v>
      </c>
      <c r="C12" s="31">
        <v>852</v>
      </c>
      <c r="D12" s="154" t="s">
        <v>72</v>
      </c>
      <c r="E12" s="151">
        <v>43845</v>
      </c>
      <c r="F12" s="32">
        <v>83150</v>
      </c>
      <c r="G12" s="152"/>
      <c r="H12" s="153">
        <v>43845</v>
      </c>
      <c r="I12" s="39">
        <v>0</v>
      </c>
      <c r="J12" s="60">
        <v>43841</v>
      </c>
      <c r="K12" s="20" t="s">
        <v>28</v>
      </c>
      <c r="L12" s="55">
        <f>13708.52+4000</f>
        <v>17708.52</v>
      </c>
      <c r="M12" s="34">
        <f>72439+5205.9</f>
        <v>77644.899999999994</v>
      </c>
      <c r="N12" s="35">
        <v>4653</v>
      </c>
      <c r="O12" s="36"/>
      <c r="P12" s="36">
        <f>C12+I12+M12+N12</f>
        <v>83149.899999999994</v>
      </c>
      <c r="Q12" s="5">
        <f>P12-F12+L32</f>
        <v>-0.10000000000582077</v>
      </c>
      <c r="S12" s="58">
        <v>11070.42</v>
      </c>
      <c r="T12" s="61" t="s">
        <v>28</v>
      </c>
      <c r="U12" s="29"/>
      <c r="V12" s="44" t="s">
        <v>11</v>
      </c>
      <c r="W12" s="196">
        <v>0</v>
      </c>
      <c r="X12" s="197"/>
      <c r="Z12" s="19" t="s">
        <v>58</v>
      </c>
      <c r="AA12" s="20"/>
      <c r="AB12" s="21">
        <v>0</v>
      </c>
      <c r="AD12" s="41"/>
      <c r="AE12" s="20"/>
      <c r="AF12" s="78">
        <v>0</v>
      </c>
    </row>
    <row r="13" spans="1:32" ht="15.75" thickBot="1" x14ac:dyDescent="0.3">
      <c r="A13" s="30"/>
      <c r="B13" s="149">
        <v>43846</v>
      </c>
      <c r="C13" s="31">
        <v>15857.72</v>
      </c>
      <c r="D13" s="156" t="s">
        <v>47</v>
      </c>
      <c r="E13" s="151">
        <v>43846</v>
      </c>
      <c r="F13" s="32">
        <v>117604</v>
      </c>
      <c r="G13" s="152"/>
      <c r="H13" s="153">
        <v>43846</v>
      </c>
      <c r="I13" s="39">
        <v>250</v>
      </c>
      <c r="J13" s="60">
        <v>43848</v>
      </c>
      <c r="K13" s="20" t="s">
        <v>29</v>
      </c>
      <c r="L13" s="55">
        <f>12600.87+4000+454</f>
        <v>17054.870000000003</v>
      </c>
      <c r="M13" s="34">
        <f>33402+65630</f>
        <v>99032</v>
      </c>
      <c r="N13" s="35">
        <v>2464</v>
      </c>
      <c r="O13" s="36"/>
      <c r="P13" s="36">
        <f>C13+I13+M13+N13</f>
        <v>117603.72</v>
      </c>
      <c r="Q13" s="5">
        <f>P13-F13+L33</f>
        <v>-0.27999999999883585</v>
      </c>
      <c r="S13" s="58">
        <v>10619.87</v>
      </c>
      <c r="T13" s="61" t="s">
        <v>29</v>
      </c>
      <c r="U13" s="29"/>
      <c r="V13" s="38" t="s">
        <v>10</v>
      </c>
      <c r="W13" s="196">
        <v>0</v>
      </c>
      <c r="X13" s="197"/>
      <c r="Z13" s="19" t="s">
        <v>59</v>
      </c>
      <c r="AA13" s="20"/>
      <c r="AB13" s="21">
        <v>0</v>
      </c>
    </row>
    <row r="14" spans="1:32" ht="15.75" thickBot="1" x14ac:dyDescent="0.3">
      <c r="A14" s="30"/>
      <c r="B14" s="149">
        <v>43847</v>
      </c>
      <c r="C14" s="31">
        <v>1562</v>
      </c>
      <c r="D14" s="155" t="s">
        <v>73</v>
      </c>
      <c r="E14" s="151">
        <v>43847</v>
      </c>
      <c r="F14" s="32">
        <v>159779</v>
      </c>
      <c r="G14" s="152"/>
      <c r="H14" s="153">
        <v>43847</v>
      </c>
      <c r="I14" s="39">
        <v>12058</v>
      </c>
      <c r="J14" s="60">
        <v>43849</v>
      </c>
      <c r="K14" s="20" t="s">
        <v>30</v>
      </c>
      <c r="L14" s="55">
        <v>400</v>
      </c>
      <c r="M14" s="34">
        <f>120000+20672+2105</f>
        <v>142777</v>
      </c>
      <c r="N14" s="35">
        <v>4112</v>
      </c>
      <c r="O14" s="36"/>
      <c r="P14" s="36">
        <f>C14+I14+M14+N14+L20</f>
        <v>161883.88</v>
      </c>
      <c r="Q14" s="198">
        <f>P14-F14+L15</f>
        <v>20649.580000000005</v>
      </c>
      <c r="S14" s="58">
        <v>10215.700000000001</v>
      </c>
      <c r="T14" s="61" t="s">
        <v>30</v>
      </c>
      <c r="U14" s="29"/>
      <c r="V14" s="44" t="s">
        <v>11</v>
      </c>
      <c r="W14" s="196">
        <v>0</v>
      </c>
      <c r="X14" s="197"/>
      <c r="Z14" s="19" t="s">
        <v>60</v>
      </c>
      <c r="AA14" s="20"/>
      <c r="AB14" s="21">
        <v>0</v>
      </c>
    </row>
    <row r="15" spans="1:32" ht="15.75" thickBot="1" x14ac:dyDescent="0.3">
      <c r="A15" s="30"/>
      <c r="B15" s="149">
        <v>43848</v>
      </c>
      <c r="C15" s="31">
        <v>20611</v>
      </c>
      <c r="D15" s="154" t="s">
        <v>75</v>
      </c>
      <c r="E15" s="151">
        <v>43848</v>
      </c>
      <c r="F15" s="32">
        <v>157439</v>
      </c>
      <c r="G15" s="152"/>
      <c r="H15" s="153">
        <v>43848</v>
      </c>
      <c r="I15" s="39">
        <v>150</v>
      </c>
      <c r="J15" s="60">
        <v>43855</v>
      </c>
      <c r="K15" s="20" t="s">
        <v>30</v>
      </c>
      <c r="L15" s="55">
        <f>400+14144.7+4000</f>
        <v>18544.7</v>
      </c>
      <c r="M15" s="34">
        <v>124928</v>
      </c>
      <c r="N15" s="35">
        <v>5315</v>
      </c>
      <c r="O15" s="36"/>
      <c r="P15" s="36">
        <f>C15+I15+M15+N15+L13</f>
        <v>168058.87</v>
      </c>
      <c r="Q15" s="201">
        <f t="shared" ref="Q15:Q31" si="1">P15-F15</f>
        <v>10619.869999999995</v>
      </c>
      <c r="S15" s="58">
        <v>10216.41</v>
      </c>
      <c r="T15" s="61" t="s">
        <v>31</v>
      </c>
      <c r="U15" s="29"/>
      <c r="V15" s="38" t="s">
        <v>10</v>
      </c>
      <c r="W15" s="196">
        <v>0</v>
      </c>
      <c r="X15" s="197"/>
      <c r="Z15" s="19" t="s">
        <v>61</v>
      </c>
      <c r="AA15" s="20"/>
      <c r="AB15" s="21">
        <v>0</v>
      </c>
    </row>
    <row r="16" spans="1:32" ht="19.5" thickBot="1" x14ac:dyDescent="0.35">
      <c r="A16" s="30"/>
      <c r="B16" s="149">
        <v>43849</v>
      </c>
      <c r="C16" s="31">
        <v>4674</v>
      </c>
      <c r="D16" s="154" t="s">
        <v>76</v>
      </c>
      <c r="E16" s="151">
        <v>43849</v>
      </c>
      <c r="F16" s="32">
        <v>89220</v>
      </c>
      <c r="G16" s="152"/>
      <c r="H16" s="153">
        <v>43849</v>
      </c>
      <c r="I16" s="39">
        <v>229</v>
      </c>
      <c r="J16" s="60">
        <v>43862</v>
      </c>
      <c r="K16" s="20" t="s">
        <v>31</v>
      </c>
      <c r="L16" s="5">
        <f>400+14230.41+4000</f>
        <v>18630.41</v>
      </c>
      <c r="M16" s="34">
        <f>72650+6650.5+75</f>
        <v>79375.5</v>
      </c>
      <c r="N16" s="35">
        <v>4544</v>
      </c>
      <c r="O16" s="36"/>
      <c r="P16" s="36">
        <f>C16+I16+M16+N16+L14</f>
        <v>89222.5</v>
      </c>
      <c r="Q16" s="5">
        <f t="shared" si="1"/>
        <v>2.5</v>
      </c>
      <c r="S16" s="58">
        <v>0</v>
      </c>
      <c r="T16" s="61" t="s">
        <v>32</v>
      </c>
      <c r="V16" s="65" t="s">
        <v>16</v>
      </c>
      <c r="W16" s="66">
        <f>SUM(W4:W14)</f>
        <v>40080</v>
      </c>
      <c r="Z16" s="19" t="s">
        <v>62</v>
      </c>
      <c r="AA16" s="59"/>
      <c r="AB16" s="21">
        <v>0</v>
      </c>
    </row>
    <row r="17" spans="1:28" ht="16.5" thickBot="1" x14ac:dyDescent="0.3">
      <c r="A17" s="30"/>
      <c r="B17" s="149">
        <v>43850</v>
      </c>
      <c r="C17" s="31">
        <v>689</v>
      </c>
      <c r="D17" s="156" t="s">
        <v>72</v>
      </c>
      <c r="E17" s="151">
        <v>43850</v>
      </c>
      <c r="F17" s="32">
        <v>90073</v>
      </c>
      <c r="G17" s="152"/>
      <c r="H17" s="153">
        <v>43850</v>
      </c>
      <c r="I17" s="39">
        <v>0</v>
      </c>
      <c r="J17" s="67"/>
      <c r="K17" s="20" t="s">
        <v>33</v>
      </c>
      <c r="L17" s="68"/>
      <c r="M17" s="34">
        <v>89063</v>
      </c>
      <c r="N17" s="35">
        <v>321</v>
      </c>
      <c r="O17" s="36"/>
      <c r="P17" s="36">
        <f t="shared" ref="P17:P23" si="2">C17+I17+M17+N17</f>
        <v>90073</v>
      </c>
      <c r="Q17" s="5">
        <f t="shared" si="1"/>
        <v>0</v>
      </c>
      <c r="S17" s="187">
        <v>0</v>
      </c>
      <c r="T17" s="188" t="s">
        <v>33</v>
      </c>
      <c r="U17" s="69"/>
      <c r="V17" s="59"/>
      <c r="W17" s="70"/>
      <c r="Z17" s="19" t="s">
        <v>63</v>
      </c>
      <c r="AA17" s="20"/>
      <c r="AB17" s="21">
        <v>0</v>
      </c>
    </row>
    <row r="18" spans="1:28" ht="15.75" thickBot="1" x14ac:dyDescent="0.3">
      <c r="A18" s="30"/>
      <c r="B18" s="149">
        <v>43851</v>
      </c>
      <c r="C18" s="31">
        <v>1137</v>
      </c>
      <c r="D18" s="154" t="s">
        <v>48</v>
      </c>
      <c r="E18" s="151">
        <v>43851</v>
      </c>
      <c r="F18" s="32">
        <v>85811</v>
      </c>
      <c r="G18" s="152"/>
      <c r="H18" s="153">
        <v>43851</v>
      </c>
      <c r="I18" s="39">
        <v>0</v>
      </c>
      <c r="J18" s="67"/>
      <c r="K18" s="71"/>
      <c r="L18" s="55"/>
      <c r="M18" s="34">
        <f>75693+8002.5+200</f>
        <v>83895.5</v>
      </c>
      <c r="N18" s="35">
        <v>778</v>
      </c>
      <c r="O18" s="36"/>
      <c r="P18" s="36">
        <f>C18+I18+M18+N18+L34</f>
        <v>85810.5</v>
      </c>
      <c r="Q18" s="5">
        <f>P18-F18</f>
        <v>-0.5</v>
      </c>
      <c r="S18" s="5">
        <f>SUM(S11:S17)</f>
        <v>42122.400000000001</v>
      </c>
      <c r="T18" s="37" t="s">
        <v>17</v>
      </c>
      <c r="V18" s="59"/>
      <c r="W18" s="4"/>
      <c r="Z18" s="19" t="s">
        <v>64</v>
      </c>
      <c r="AA18" s="20"/>
      <c r="AB18" s="21">
        <v>0</v>
      </c>
    </row>
    <row r="19" spans="1:28" ht="15.75" thickBot="1" x14ac:dyDescent="0.3">
      <c r="A19" s="30"/>
      <c r="B19" s="149">
        <v>43852</v>
      </c>
      <c r="C19" s="31">
        <v>848</v>
      </c>
      <c r="D19" s="154" t="s">
        <v>77</v>
      </c>
      <c r="E19" s="151">
        <v>43852</v>
      </c>
      <c r="F19" s="32">
        <v>59210</v>
      </c>
      <c r="G19" s="152"/>
      <c r="H19" s="153">
        <v>43852</v>
      </c>
      <c r="I19" s="39">
        <v>0</v>
      </c>
      <c r="J19" s="67"/>
      <c r="K19" s="72"/>
      <c r="L19" s="73"/>
      <c r="M19" s="34">
        <v>54134</v>
      </c>
      <c r="N19" s="35">
        <v>4228</v>
      </c>
      <c r="O19" s="36" t="s">
        <v>12</v>
      </c>
      <c r="P19" s="36">
        <f>C19+I19+M19+N19</f>
        <v>59210</v>
      </c>
      <c r="Q19" s="5">
        <f t="shared" si="1"/>
        <v>0</v>
      </c>
      <c r="T19" s="8"/>
      <c r="V19" s="189"/>
      <c r="W19" s="190"/>
      <c r="Z19" s="19" t="s">
        <v>65</v>
      </c>
      <c r="AA19" s="59"/>
      <c r="AB19" s="21">
        <v>0</v>
      </c>
    </row>
    <row r="20" spans="1:28" ht="19.5" thickBot="1" x14ac:dyDescent="0.35">
      <c r="A20" s="30"/>
      <c r="B20" s="149">
        <v>43853</v>
      </c>
      <c r="C20" s="31">
        <v>3277</v>
      </c>
      <c r="D20" s="154" t="s">
        <v>78</v>
      </c>
      <c r="E20" s="151">
        <v>43853</v>
      </c>
      <c r="F20" s="32">
        <v>104143</v>
      </c>
      <c r="G20" s="152"/>
      <c r="H20" s="153">
        <v>43853</v>
      </c>
      <c r="I20" s="39">
        <v>190</v>
      </c>
      <c r="J20" s="67">
        <v>43847</v>
      </c>
      <c r="K20" s="202" t="s">
        <v>74</v>
      </c>
      <c r="L20" s="196">
        <v>1374.88</v>
      </c>
      <c r="M20" s="34">
        <v>99234</v>
      </c>
      <c r="N20" s="35">
        <v>1442</v>
      </c>
      <c r="O20" s="36"/>
      <c r="P20" s="36">
        <f>C20+I20+M20+N20</f>
        <v>104143</v>
      </c>
      <c r="Q20" s="5">
        <f t="shared" si="1"/>
        <v>0</v>
      </c>
      <c r="T20" s="8"/>
      <c r="V20" s="362"/>
      <c r="W20" s="362"/>
      <c r="Z20" s="19" t="s">
        <v>66</v>
      </c>
      <c r="AA20" s="20"/>
      <c r="AB20" s="21">
        <v>0</v>
      </c>
    </row>
    <row r="21" spans="1:28" ht="16.5" thickBot="1" x14ac:dyDescent="0.3">
      <c r="A21" s="30"/>
      <c r="B21" s="149">
        <v>43854</v>
      </c>
      <c r="C21" s="31">
        <v>1513</v>
      </c>
      <c r="D21" s="154" t="s">
        <v>72</v>
      </c>
      <c r="E21" s="151">
        <v>43854</v>
      </c>
      <c r="F21" s="32">
        <v>103378</v>
      </c>
      <c r="G21" s="152"/>
      <c r="H21" s="153">
        <v>43854</v>
      </c>
      <c r="I21" s="39">
        <v>12058</v>
      </c>
      <c r="J21" s="67"/>
      <c r="K21" s="74" t="s">
        <v>79</v>
      </c>
      <c r="L21" s="68">
        <v>4042</v>
      </c>
      <c r="M21" s="34">
        <f>81812+650</f>
        <v>82462</v>
      </c>
      <c r="N21" s="35">
        <v>3303</v>
      </c>
      <c r="O21" s="36"/>
      <c r="P21" s="36">
        <f>C21+I21+M21+N21+L21</f>
        <v>103378</v>
      </c>
      <c r="Q21" s="5">
        <f t="shared" si="1"/>
        <v>0</v>
      </c>
      <c r="T21" s="8"/>
      <c r="U21" s="29"/>
      <c r="V21" s="191"/>
      <c r="W21" s="127"/>
      <c r="Z21" s="19" t="s">
        <v>67</v>
      </c>
      <c r="AA21" s="20"/>
      <c r="AB21" s="21">
        <v>0</v>
      </c>
    </row>
    <row r="22" spans="1:28" ht="15.75" thickBot="1" x14ac:dyDescent="0.3">
      <c r="A22" s="30"/>
      <c r="B22" s="149">
        <v>43855</v>
      </c>
      <c r="C22" s="31">
        <v>1203</v>
      </c>
      <c r="D22" s="154" t="s">
        <v>72</v>
      </c>
      <c r="E22" s="151">
        <v>43855</v>
      </c>
      <c r="F22" s="32">
        <v>144095</v>
      </c>
      <c r="G22" s="152"/>
      <c r="H22" s="153">
        <v>43855</v>
      </c>
      <c r="I22" s="39">
        <v>345</v>
      </c>
      <c r="J22" s="76"/>
      <c r="K22" s="59"/>
      <c r="L22" s="77"/>
      <c r="M22" s="34">
        <f>111000+18968</f>
        <v>129968</v>
      </c>
      <c r="N22" s="35">
        <v>4250</v>
      </c>
      <c r="O22" s="36"/>
      <c r="P22" s="36">
        <f>C22+I22+M22+N22+L15</f>
        <v>154310.70000000001</v>
      </c>
      <c r="Q22" s="201">
        <f>P22-F22</f>
        <v>10215.700000000012</v>
      </c>
      <c r="T22" s="8"/>
      <c r="U22" s="29"/>
      <c r="V22" s="191"/>
      <c r="W22" s="127"/>
    </row>
    <row r="23" spans="1:28" ht="15.75" thickBot="1" x14ac:dyDescent="0.3">
      <c r="A23" s="30"/>
      <c r="B23" s="149">
        <v>43856</v>
      </c>
      <c r="C23" s="31">
        <v>7336</v>
      </c>
      <c r="D23" s="154" t="s">
        <v>81</v>
      </c>
      <c r="E23" s="151">
        <v>43856</v>
      </c>
      <c r="F23" s="32">
        <v>82376</v>
      </c>
      <c r="G23" s="152"/>
      <c r="H23" s="153">
        <v>43856</v>
      </c>
      <c r="I23" s="39">
        <v>0</v>
      </c>
      <c r="J23" s="79"/>
      <c r="K23" s="166"/>
      <c r="L23" s="68"/>
      <c r="M23" s="34">
        <v>72580</v>
      </c>
      <c r="N23" s="35">
        <v>2460</v>
      </c>
      <c r="O23" s="36"/>
      <c r="P23" s="36">
        <f t="shared" si="2"/>
        <v>82376</v>
      </c>
      <c r="Q23" s="5">
        <v>0</v>
      </c>
      <c r="T23" s="8"/>
      <c r="U23" s="29"/>
      <c r="V23" s="191"/>
      <c r="W23" s="127"/>
    </row>
    <row r="24" spans="1:28" ht="15.75" thickBot="1" x14ac:dyDescent="0.3">
      <c r="A24" s="30"/>
      <c r="B24" s="149">
        <v>43857</v>
      </c>
      <c r="C24" s="31">
        <v>312</v>
      </c>
      <c r="D24" s="154" t="s">
        <v>72</v>
      </c>
      <c r="E24" s="151">
        <v>43857</v>
      </c>
      <c r="F24" s="32">
        <v>76937</v>
      </c>
      <c r="G24" s="152"/>
      <c r="H24" s="153">
        <v>43857</v>
      </c>
      <c r="I24" s="39">
        <v>0</v>
      </c>
      <c r="J24" s="80"/>
      <c r="K24" s="81"/>
      <c r="L24" s="82"/>
      <c r="M24" s="34">
        <v>76125</v>
      </c>
      <c r="N24" s="35">
        <v>500</v>
      </c>
      <c r="O24" s="36"/>
      <c r="P24" s="36">
        <f>C24+I24+M24+N24</f>
        <v>76937</v>
      </c>
      <c r="Q24" s="5">
        <f t="shared" si="1"/>
        <v>0</v>
      </c>
      <c r="T24" s="8"/>
      <c r="U24" s="29"/>
      <c r="V24" s="191"/>
      <c r="W24" s="36"/>
      <c r="Y24" t="s">
        <v>12</v>
      </c>
    </row>
    <row r="25" spans="1:28" ht="15.75" thickBot="1" x14ac:dyDescent="0.3">
      <c r="A25" s="30"/>
      <c r="B25" s="149">
        <v>43858</v>
      </c>
      <c r="C25" s="31">
        <v>1475</v>
      </c>
      <c r="D25" s="154" t="s">
        <v>82</v>
      </c>
      <c r="E25" s="151">
        <v>43858</v>
      </c>
      <c r="F25" s="32">
        <v>75250</v>
      </c>
      <c r="G25" s="152"/>
      <c r="H25" s="153">
        <v>43858</v>
      </c>
      <c r="I25" s="39">
        <v>0</v>
      </c>
      <c r="J25" s="83"/>
      <c r="K25" s="84"/>
      <c r="L25" s="62"/>
      <c r="M25" s="34">
        <v>72530</v>
      </c>
      <c r="N25" s="35">
        <v>1245</v>
      </c>
      <c r="O25" s="36" t="s">
        <v>12</v>
      </c>
      <c r="P25" s="36">
        <f>C25+I25+M25+N25+L35</f>
        <v>75250</v>
      </c>
      <c r="Q25" s="5">
        <f t="shared" si="1"/>
        <v>0</v>
      </c>
      <c r="U25" s="29"/>
      <c r="V25" s="191"/>
      <c r="W25" s="36"/>
    </row>
    <row r="26" spans="1:28" ht="15.75" thickBot="1" x14ac:dyDescent="0.3">
      <c r="A26" s="30"/>
      <c r="B26" s="149">
        <v>43859</v>
      </c>
      <c r="C26" s="31">
        <v>1577</v>
      </c>
      <c r="D26" s="154" t="s">
        <v>83</v>
      </c>
      <c r="E26" s="151">
        <v>43859</v>
      </c>
      <c r="F26" s="32">
        <v>69335</v>
      </c>
      <c r="G26" s="152"/>
      <c r="H26" s="153">
        <v>43859</v>
      </c>
      <c r="I26" s="39">
        <v>0</v>
      </c>
      <c r="J26" s="67"/>
      <c r="K26" s="85"/>
      <c r="L26" s="55"/>
      <c r="M26" s="34">
        <f>59200+7065.6</f>
        <v>66265.600000000006</v>
      </c>
      <c r="N26" s="35">
        <v>1494</v>
      </c>
      <c r="O26" s="36"/>
      <c r="P26" s="36">
        <f>C26+I26+M26+N26++L19</f>
        <v>69336.600000000006</v>
      </c>
      <c r="Q26" s="5">
        <f t="shared" si="1"/>
        <v>1.6000000000058208</v>
      </c>
      <c r="S26" s="86"/>
      <c r="T26" s="86"/>
      <c r="U26" s="29"/>
      <c r="V26" s="192"/>
      <c r="W26" s="192"/>
    </row>
    <row r="27" spans="1:28" ht="15.75" thickBot="1" x14ac:dyDescent="0.3">
      <c r="A27" s="30"/>
      <c r="B27" s="149">
        <v>43860</v>
      </c>
      <c r="C27" s="31">
        <v>3793.5</v>
      </c>
      <c r="D27" s="154" t="s">
        <v>84</v>
      </c>
      <c r="E27" s="151">
        <v>43860</v>
      </c>
      <c r="F27" s="32">
        <v>64007</v>
      </c>
      <c r="G27" s="152"/>
      <c r="H27" s="153">
        <v>43860</v>
      </c>
      <c r="I27" s="39">
        <v>2000</v>
      </c>
      <c r="J27" s="87"/>
      <c r="K27" s="88"/>
      <c r="L27" s="62"/>
      <c r="M27" s="34">
        <v>52578</v>
      </c>
      <c r="N27" s="35">
        <v>5635</v>
      </c>
      <c r="O27" s="36"/>
      <c r="P27" s="36">
        <f>C27+I27+M27+N27+L35</f>
        <v>64006.5</v>
      </c>
      <c r="Q27" s="5">
        <f t="shared" si="1"/>
        <v>-0.5</v>
      </c>
      <c r="U27" s="29"/>
    </row>
    <row r="28" spans="1:28" ht="15.75" thickBot="1" x14ac:dyDescent="0.3">
      <c r="A28" s="30"/>
      <c r="B28" s="149">
        <v>43861</v>
      </c>
      <c r="C28" s="31">
        <v>2354</v>
      </c>
      <c r="D28" s="154" t="s">
        <v>69</v>
      </c>
      <c r="E28" s="151">
        <v>43861</v>
      </c>
      <c r="F28" s="32">
        <v>124945</v>
      </c>
      <c r="G28" s="152"/>
      <c r="H28" s="153">
        <v>43861</v>
      </c>
      <c r="I28" s="39">
        <v>10096</v>
      </c>
      <c r="J28" s="87"/>
      <c r="K28" s="90"/>
      <c r="L28" s="62"/>
      <c r="M28" s="34">
        <v>88114</v>
      </c>
      <c r="N28" s="35">
        <v>4381</v>
      </c>
      <c r="O28" s="36"/>
      <c r="P28" s="36">
        <f>C28+I28+M28+N28+L9</f>
        <v>124945</v>
      </c>
      <c r="Q28" s="5">
        <f t="shared" si="1"/>
        <v>0</v>
      </c>
      <c r="U28" s="29"/>
    </row>
    <row r="29" spans="1:28" ht="15.75" thickBot="1" x14ac:dyDescent="0.3">
      <c r="A29" s="30"/>
      <c r="B29" s="149">
        <v>43862</v>
      </c>
      <c r="C29" s="31">
        <v>2318</v>
      </c>
      <c r="D29" s="154" t="s">
        <v>83</v>
      </c>
      <c r="E29" s="151">
        <v>43862</v>
      </c>
      <c r="F29" s="32">
        <v>129574</v>
      </c>
      <c r="G29" s="152"/>
      <c r="H29" s="153">
        <v>43862</v>
      </c>
      <c r="I29" s="39">
        <v>0</v>
      </c>
      <c r="J29" s="87"/>
      <c r="K29" s="84"/>
      <c r="L29" s="62"/>
      <c r="M29" s="34">
        <f>109270+4378+90</f>
        <v>113738</v>
      </c>
      <c r="N29" s="35">
        <v>5104</v>
      </c>
      <c r="O29" s="36"/>
      <c r="P29" s="36">
        <f>C29+I29+M29+N29+L16</f>
        <v>139790.41</v>
      </c>
      <c r="Q29" s="201">
        <f t="shared" si="1"/>
        <v>10216.410000000003</v>
      </c>
      <c r="S29" s="6" t="s">
        <v>12</v>
      </c>
      <c r="U29" s="29"/>
    </row>
    <row r="30" spans="1:28" ht="16.5" thickBot="1" x14ac:dyDescent="0.3">
      <c r="A30" s="30"/>
      <c r="B30" s="149">
        <v>43863</v>
      </c>
      <c r="C30" s="31">
        <v>0</v>
      </c>
      <c r="D30" s="154"/>
      <c r="E30" s="151">
        <v>43863</v>
      </c>
      <c r="F30" s="32">
        <v>103824</v>
      </c>
      <c r="G30" s="152"/>
      <c r="H30" s="153">
        <v>43863</v>
      </c>
      <c r="I30" s="158">
        <v>250</v>
      </c>
      <c r="J30" s="159"/>
      <c r="K30" s="160"/>
      <c r="L30" s="161"/>
      <c r="M30" s="34">
        <v>98355</v>
      </c>
      <c r="N30" s="35">
        <v>5219</v>
      </c>
      <c r="O30" s="36"/>
      <c r="P30" s="36">
        <f t="shared" ref="P30:P32" si="3">C30+I30+M30+N30+L17</f>
        <v>103824</v>
      </c>
      <c r="Q30" s="5">
        <f t="shared" si="1"/>
        <v>0</v>
      </c>
      <c r="U30" s="29"/>
    </row>
    <row r="31" spans="1:28" ht="16.5" thickBot="1" x14ac:dyDescent="0.3">
      <c r="A31" s="30"/>
      <c r="B31" s="149">
        <v>43864</v>
      </c>
      <c r="C31" s="91">
        <v>5858</v>
      </c>
      <c r="D31" s="154" t="s">
        <v>85</v>
      </c>
      <c r="E31" s="151">
        <v>43864</v>
      </c>
      <c r="F31" s="32">
        <v>75502</v>
      </c>
      <c r="G31" s="152"/>
      <c r="H31" s="153">
        <v>43864</v>
      </c>
      <c r="I31" s="92">
        <v>0</v>
      </c>
      <c r="J31" s="159"/>
      <c r="K31" s="160"/>
      <c r="L31" s="161"/>
      <c r="M31" s="34">
        <v>66714</v>
      </c>
      <c r="N31" s="35">
        <v>2930</v>
      </c>
      <c r="O31" s="36"/>
      <c r="P31" s="36">
        <f t="shared" si="3"/>
        <v>75502</v>
      </c>
      <c r="Q31" s="5">
        <f t="shared" si="1"/>
        <v>0</v>
      </c>
      <c r="U31" s="29"/>
    </row>
    <row r="32" spans="1:28" ht="16.5" thickBot="1" x14ac:dyDescent="0.3">
      <c r="A32" s="30"/>
      <c r="B32" s="149">
        <v>43865</v>
      </c>
      <c r="C32" s="91">
        <v>1406</v>
      </c>
      <c r="D32" s="154" t="s">
        <v>120</v>
      </c>
      <c r="E32" s="151">
        <v>43865</v>
      </c>
      <c r="F32" s="32">
        <v>62785</v>
      </c>
      <c r="G32" s="152"/>
      <c r="H32" s="153">
        <v>43865</v>
      </c>
      <c r="I32" s="92">
        <v>60</v>
      </c>
      <c r="J32" s="159"/>
      <c r="K32" s="160"/>
      <c r="L32" s="161"/>
      <c r="M32" s="34">
        <v>60121</v>
      </c>
      <c r="N32" s="35">
        <v>1198</v>
      </c>
      <c r="O32" s="36"/>
      <c r="P32" s="36">
        <f t="shared" si="3"/>
        <v>62785</v>
      </c>
      <c r="Q32" s="5">
        <v>0</v>
      </c>
      <c r="U32" s="29"/>
      <c r="V32" s="59"/>
      <c r="W32" s="93"/>
    </row>
    <row r="33" spans="1:27" ht="16.5" thickBot="1" x14ac:dyDescent="0.3">
      <c r="A33" s="30"/>
      <c r="B33" s="149">
        <v>43866</v>
      </c>
      <c r="C33" s="91">
        <v>1811</v>
      </c>
      <c r="D33" s="154" t="s">
        <v>121</v>
      </c>
      <c r="E33" s="151">
        <v>43866</v>
      </c>
      <c r="F33" s="32">
        <v>52515</v>
      </c>
      <c r="G33" s="152"/>
      <c r="H33" s="153">
        <v>43866</v>
      </c>
      <c r="I33" s="92">
        <v>0</v>
      </c>
      <c r="J33" s="159"/>
      <c r="K33" s="160"/>
      <c r="L33" s="161"/>
      <c r="M33" s="34">
        <v>50204</v>
      </c>
      <c r="N33" s="35">
        <v>500</v>
      </c>
      <c r="O33" s="36"/>
      <c r="P33" s="36">
        <f>C33+I33+M33+N33+L23</f>
        <v>52515</v>
      </c>
      <c r="Q33" s="5">
        <f t="shared" ref="Q33:Q35" si="4">P33-F33</f>
        <v>0</v>
      </c>
      <c r="U33" s="29"/>
      <c r="V33" s="59"/>
      <c r="W33" s="93"/>
    </row>
    <row r="34" spans="1:27" ht="16.5" thickBot="1" x14ac:dyDescent="0.3">
      <c r="A34" s="30"/>
      <c r="B34" s="149">
        <v>43867</v>
      </c>
      <c r="C34" s="91">
        <v>918</v>
      </c>
      <c r="D34" s="154" t="s">
        <v>72</v>
      </c>
      <c r="E34" s="151">
        <v>43867</v>
      </c>
      <c r="F34" s="32">
        <v>79823</v>
      </c>
      <c r="G34" s="152"/>
      <c r="H34" s="153">
        <v>43867</v>
      </c>
      <c r="I34" s="92">
        <v>600</v>
      </c>
      <c r="J34" s="159"/>
      <c r="K34" s="160"/>
      <c r="L34" s="161"/>
      <c r="M34" s="34">
        <v>76876</v>
      </c>
      <c r="N34" s="35">
        <v>1429</v>
      </c>
      <c r="O34" s="36"/>
      <c r="P34" s="36">
        <f>C34+I34+M34+N34+L22</f>
        <v>79823</v>
      </c>
      <c r="Q34" s="5">
        <f t="shared" si="4"/>
        <v>0</v>
      </c>
      <c r="U34" s="29"/>
      <c r="V34" s="59"/>
      <c r="W34" s="93"/>
    </row>
    <row r="35" spans="1:27" ht="16.5" thickBot="1" x14ac:dyDescent="0.3">
      <c r="A35" s="30"/>
      <c r="B35" s="205"/>
      <c r="C35" s="206"/>
      <c r="D35" s="207"/>
      <c r="E35" s="94"/>
      <c r="F35" s="95"/>
      <c r="G35" s="96"/>
      <c r="H35" s="153"/>
      <c r="I35" s="97"/>
      <c r="J35" s="159"/>
      <c r="K35" s="160"/>
      <c r="L35" s="161"/>
      <c r="M35" s="34">
        <v>0</v>
      </c>
      <c r="N35" s="35">
        <v>0</v>
      </c>
      <c r="O35" s="36"/>
      <c r="P35" s="36">
        <f>C35+I35+M35+N35</f>
        <v>0</v>
      </c>
      <c r="Q35" s="36">
        <f t="shared" si="4"/>
        <v>0</v>
      </c>
      <c r="R35" s="36"/>
      <c r="U35" s="29"/>
      <c r="V35" s="59"/>
      <c r="W35" s="93"/>
    </row>
    <row r="36" spans="1:27" ht="15.75" x14ac:dyDescent="0.25">
      <c r="A36" s="30"/>
      <c r="B36" s="208">
        <v>43852</v>
      </c>
      <c r="C36" s="227">
        <v>13264.76</v>
      </c>
      <c r="D36" s="209" t="s">
        <v>80</v>
      </c>
      <c r="E36" s="98"/>
      <c r="F36" s="36"/>
      <c r="H36" s="153"/>
      <c r="I36" s="99"/>
      <c r="J36" s="217" t="s">
        <v>131</v>
      </c>
      <c r="K36" s="218" t="s">
        <v>130</v>
      </c>
      <c r="L36" s="162">
        <v>3750.22</v>
      </c>
      <c r="M36" s="34">
        <v>0</v>
      </c>
      <c r="N36" s="35">
        <v>0</v>
      </c>
      <c r="O36" s="36"/>
      <c r="P36" s="36">
        <v>0</v>
      </c>
      <c r="Q36" s="36">
        <v>0</v>
      </c>
      <c r="R36" s="36"/>
      <c r="U36" s="29"/>
      <c r="V36" s="59"/>
      <c r="W36" s="93"/>
      <c r="Z36" s="59"/>
      <c r="AA36" s="100"/>
    </row>
    <row r="37" spans="1:27" ht="15.75" x14ac:dyDescent="0.25">
      <c r="A37" s="30"/>
      <c r="B37" s="19">
        <v>43854</v>
      </c>
      <c r="C37" s="226">
        <v>37192.32</v>
      </c>
      <c r="D37" s="210" t="s">
        <v>80</v>
      </c>
      <c r="E37" s="98"/>
      <c r="F37" s="36"/>
      <c r="H37" s="153"/>
      <c r="I37" s="36"/>
      <c r="J37" s="217" t="s">
        <v>131</v>
      </c>
      <c r="K37" s="163" t="s">
        <v>132</v>
      </c>
      <c r="L37" s="161">
        <v>1999.74</v>
      </c>
      <c r="M37" s="34">
        <v>0</v>
      </c>
      <c r="N37" s="35">
        <v>0</v>
      </c>
      <c r="O37" s="36"/>
      <c r="P37" s="36">
        <v>0</v>
      </c>
      <c r="Q37" s="36">
        <v>0</v>
      </c>
      <c r="R37" s="36"/>
      <c r="U37" s="29"/>
      <c r="V37" s="59"/>
      <c r="W37" s="93"/>
      <c r="Z37" s="59"/>
      <c r="AA37" s="100"/>
    </row>
    <row r="38" spans="1:27" ht="15.75" x14ac:dyDescent="0.25">
      <c r="A38" s="30"/>
      <c r="B38" s="19">
        <v>43858</v>
      </c>
      <c r="C38" s="226">
        <v>10018</v>
      </c>
      <c r="D38" s="210" t="s">
        <v>80</v>
      </c>
      <c r="E38" s="98"/>
      <c r="F38" s="36"/>
      <c r="H38" s="153"/>
      <c r="I38" s="36"/>
      <c r="J38" s="217" t="s">
        <v>131</v>
      </c>
      <c r="K38" s="163" t="s">
        <v>133</v>
      </c>
      <c r="L38" s="161">
        <v>10381.799999999999</v>
      </c>
      <c r="M38" s="34">
        <v>0</v>
      </c>
      <c r="N38" s="35">
        <v>0</v>
      </c>
      <c r="O38" s="36"/>
      <c r="P38" s="36">
        <v>0</v>
      </c>
      <c r="Q38" s="36">
        <v>0</v>
      </c>
      <c r="R38" s="36"/>
      <c r="U38" s="29"/>
      <c r="V38" s="59"/>
      <c r="W38" s="93"/>
      <c r="Z38" s="59"/>
      <c r="AA38" s="100"/>
    </row>
    <row r="39" spans="1:27" ht="15.75" x14ac:dyDescent="0.25">
      <c r="A39" s="30"/>
      <c r="B39" s="19">
        <v>43860</v>
      </c>
      <c r="C39" s="226">
        <v>11866</v>
      </c>
      <c r="D39" s="210" t="s">
        <v>80</v>
      </c>
      <c r="E39" s="98"/>
      <c r="F39" s="36"/>
      <c r="H39" s="153"/>
      <c r="I39" s="36"/>
      <c r="J39" s="217" t="s">
        <v>131</v>
      </c>
      <c r="K39" s="164" t="s">
        <v>134</v>
      </c>
      <c r="L39" s="161">
        <v>29047</v>
      </c>
      <c r="M39" s="34">
        <v>0</v>
      </c>
      <c r="N39" s="35">
        <v>0</v>
      </c>
      <c r="O39" s="36"/>
      <c r="P39" s="36">
        <v>0</v>
      </c>
      <c r="Q39" s="36">
        <v>0</v>
      </c>
      <c r="R39" s="36"/>
      <c r="U39" s="29"/>
      <c r="V39" s="59"/>
      <c r="W39" s="93"/>
      <c r="Z39" s="59"/>
      <c r="AA39" s="100"/>
    </row>
    <row r="40" spans="1:27" ht="15.75" x14ac:dyDescent="0.25">
      <c r="A40" s="30"/>
      <c r="B40" s="19">
        <v>43864</v>
      </c>
      <c r="C40" s="226">
        <v>10826.96</v>
      </c>
      <c r="D40" s="210" t="s">
        <v>80</v>
      </c>
      <c r="E40" s="98"/>
      <c r="F40" s="36"/>
      <c r="H40" s="153"/>
      <c r="I40" s="36"/>
      <c r="J40" s="217" t="s">
        <v>131</v>
      </c>
      <c r="K40" s="163" t="s">
        <v>135</v>
      </c>
      <c r="L40" s="161">
        <v>1315.86</v>
      </c>
      <c r="M40" s="34">
        <v>0</v>
      </c>
      <c r="N40" s="35">
        <v>0</v>
      </c>
      <c r="O40" s="36"/>
      <c r="P40" s="36">
        <v>0</v>
      </c>
      <c r="Q40" s="36">
        <v>0</v>
      </c>
      <c r="R40" s="36"/>
      <c r="U40" s="29"/>
      <c r="V40" s="59"/>
      <c r="W40" s="93"/>
      <c r="Z40" s="59"/>
      <c r="AA40" s="100"/>
    </row>
    <row r="41" spans="1:27" ht="15.75" x14ac:dyDescent="0.25">
      <c r="A41" s="30"/>
      <c r="B41" s="19">
        <v>43867</v>
      </c>
      <c r="C41" s="226">
        <v>15199.8</v>
      </c>
      <c r="D41" s="210" t="s">
        <v>80</v>
      </c>
      <c r="E41" s="98"/>
      <c r="F41" s="36"/>
      <c r="H41" s="153"/>
      <c r="I41" s="36"/>
      <c r="J41" s="103"/>
      <c r="K41" s="163"/>
      <c r="L41" s="102"/>
      <c r="M41" s="34">
        <v>0</v>
      </c>
      <c r="N41" s="35">
        <v>0</v>
      </c>
      <c r="O41" s="36"/>
      <c r="P41" s="36">
        <v>0</v>
      </c>
      <c r="Q41" s="36">
        <v>0</v>
      </c>
      <c r="R41" s="36"/>
      <c r="U41" s="29"/>
      <c r="V41" s="59"/>
      <c r="W41" s="93"/>
      <c r="Z41" s="59"/>
      <c r="AA41" s="100"/>
    </row>
    <row r="42" spans="1:27" ht="15.75" x14ac:dyDescent="0.25">
      <c r="A42" s="30"/>
      <c r="B42" s="19"/>
      <c r="C42" s="176"/>
      <c r="D42" s="210"/>
      <c r="E42" s="98"/>
      <c r="F42" s="36"/>
      <c r="H42" s="153"/>
      <c r="I42" s="36"/>
      <c r="J42" s="103"/>
      <c r="K42" s="163"/>
      <c r="L42" s="102"/>
      <c r="M42" s="34">
        <v>0</v>
      </c>
      <c r="N42" s="35">
        <v>0</v>
      </c>
      <c r="O42" s="36"/>
      <c r="P42" s="36">
        <v>0</v>
      </c>
      <c r="Q42" s="36">
        <v>0</v>
      </c>
      <c r="R42" s="36"/>
      <c r="U42" s="29"/>
      <c r="V42" s="59"/>
      <c r="W42" s="93"/>
      <c r="Z42" s="59"/>
      <c r="AA42" s="100"/>
    </row>
    <row r="43" spans="1:27" ht="16.5" thickBot="1" x14ac:dyDescent="0.3">
      <c r="A43" s="30"/>
      <c r="B43" s="211"/>
      <c r="C43" s="212"/>
      <c r="D43" s="213"/>
      <c r="E43" s="98"/>
      <c r="F43" s="36"/>
      <c r="H43" s="153"/>
      <c r="I43" s="36"/>
      <c r="J43" s="101"/>
      <c r="K43" s="165"/>
      <c r="L43" s="102"/>
      <c r="M43" s="36"/>
      <c r="N43" s="36"/>
      <c r="O43" s="36"/>
      <c r="P43" s="104">
        <v>0</v>
      </c>
      <c r="Q43" s="104">
        <v>0</v>
      </c>
      <c r="R43" s="36"/>
      <c r="U43" s="29"/>
      <c r="V43" s="59"/>
      <c r="W43" s="93"/>
      <c r="Z43" s="59"/>
      <c r="AA43" s="100"/>
    </row>
    <row r="44" spans="1:27" ht="16.5" thickBot="1" x14ac:dyDescent="0.3">
      <c r="A44" s="105"/>
      <c r="B44" s="106"/>
      <c r="C44" s="107"/>
      <c r="D44" s="204"/>
      <c r="E44" s="108"/>
      <c r="F44" s="109"/>
      <c r="G44" s="110"/>
      <c r="H44" s="153"/>
      <c r="I44" s="109"/>
      <c r="J44" s="111"/>
      <c r="M44" s="112">
        <f>SUM(M5:M43)</f>
        <v>2609686.98</v>
      </c>
      <c r="N44" s="113">
        <f>SUM(N5:N43)</f>
        <v>83596</v>
      </c>
      <c r="O44" s="114"/>
      <c r="P44" s="114">
        <f>SUM(P5:P43)</f>
        <v>3006668.77</v>
      </c>
      <c r="Q44" s="114">
        <f>SUM(Q5:Q43)</f>
        <v>116157.46999999999</v>
      </c>
      <c r="R44" s="114"/>
      <c r="Z44" s="7" t="s">
        <v>17</v>
      </c>
    </row>
    <row r="45" spans="1:27" ht="16.5" thickBot="1" x14ac:dyDescent="0.3">
      <c r="B45" s="115" t="s">
        <v>16</v>
      </c>
      <c r="C45" s="116">
        <f>SUM(C5:C44)</f>
        <v>227347.06</v>
      </c>
      <c r="D45" s="117"/>
      <c r="E45" s="118" t="s">
        <v>16</v>
      </c>
      <c r="F45" s="119">
        <f>SUM(F5:F44)</f>
        <v>2909056</v>
      </c>
      <c r="G45" s="117"/>
      <c r="H45" s="120" t="s">
        <v>16</v>
      </c>
      <c r="I45" s="121">
        <f>SUM(I5:I44)</f>
        <v>51887.8</v>
      </c>
      <c r="J45" s="93"/>
      <c r="K45" s="122" t="s">
        <v>16</v>
      </c>
      <c r="L45" s="123">
        <f>SUM(L6:L43)</f>
        <v>165887</v>
      </c>
      <c r="O45" s="5"/>
      <c r="P45" s="36"/>
      <c r="Q45" s="36"/>
      <c r="R45" s="36"/>
      <c r="U45" s="8"/>
    </row>
    <row r="46" spans="1:27" ht="20.25" thickTop="1" thickBot="1" x14ac:dyDescent="0.3">
      <c r="C46" s="8" t="s">
        <v>12</v>
      </c>
      <c r="M46" s="351">
        <f>N44+M44</f>
        <v>2693282.98</v>
      </c>
      <c r="N46" s="352"/>
      <c r="O46" s="124"/>
      <c r="P46" s="124"/>
      <c r="U46" s="8"/>
    </row>
    <row r="47" spans="1:27" ht="15.75" x14ac:dyDescent="0.25">
      <c r="A47" s="59"/>
      <c r="B47" s="125"/>
      <c r="C47" s="4"/>
      <c r="H47" s="353" t="s">
        <v>18</v>
      </c>
      <c r="I47" s="354"/>
      <c r="J47" s="126"/>
      <c r="K47" s="355">
        <f>I45+L45</f>
        <v>217774.8</v>
      </c>
      <c r="L47" s="356"/>
      <c r="P47" s="127"/>
      <c r="S47" s="5"/>
      <c r="T47" s="128"/>
      <c r="U47" s="8"/>
    </row>
    <row r="48" spans="1:27" ht="15.75" x14ac:dyDescent="0.25">
      <c r="D48" s="357" t="s">
        <v>19</v>
      </c>
      <c r="E48" s="357"/>
      <c r="F48" s="129">
        <f>F45-K47-C45</f>
        <v>2463934.14</v>
      </c>
      <c r="I48" s="130"/>
      <c r="J48" s="130"/>
      <c r="P48" s="127"/>
      <c r="U48" s="8"/>
    </row>
    <row r="49" spans="2:21" ht="18.75" x14ac:dyDescent="0.3">
      <c r="D49" s="339" t="s">
        <v>20</v>
      </c>
      <c r="E49" s="339"/>
      <c r="F49" s="131">
        <v>-2518468.4500000002</v>
      </c>
      <c r="I49" s="340" t="s">
        <v>21</v>
      </c>
      <c r="J49" s="341"/>
      <c r="K49" s="342">
        <f>F54</f>
        <v>333404.95999999996</v>
      </c>
      <c r="L49" s="343"/>
      <c r="P49" s="127"/>
      <c r="U49" s="8"/>
    </row>
    <row r="50" spans="2:21" ht="4.5" customHeight="1" thickBot="1" x14ac:dyDescent="0.35">
      <c r="D50" s="132"/>
      <c r="E50" s="133"/>
      <c r="F50" s="134" t="s">
        <v>12</v>
      </c>
      <c r="I50" s="135"/>
      <c r="J50" s="135"/>
      <c r="K50" s="136"/>
      <c r="L50" s="136"/>
      <c r="P50" s="127"/>
      <c r="U50" s="8"/>
    </row>
    <row r="51" spans="2:21" ht="19.5" thickTop="1" x14ac:dyDescent="0.3">
      <c r="C51" s="16" t="s">
        <v>12</v>
      </c>
      <c r="E51" s="59" t="s">
        <v>22</v>
      </c>
      <c r="F51" s="131">
        <f>SUM(F48:F50)</f>
        <v>-54534.310000000056</v>
      </c>
      <c r="H51" s="30"/>
      <c r="I51" s="137" t="s">
        <v>23</v>
      </c>
      <c r="J51" s="138"/>
      <c r="K51" s="370">
        <f>-C4</f>
        <v>-273391.58</v>
      </c>
      <c r="L51" s="371"/>
      <c r="M51" s="214"/>
      <c r="P51" s="127"/>
      <c r="U51" s="8"/>
    </row>
    <row r="52" spans="2:21" ht="16.5" thickBot="1" x14ac:dyDescent="0.3">
      <c r="D52" s="139" t="s">
        <v>24</v>
      </c>
      <c r="E52" s="59" t="s">
        <v>25</v>
      </c>
      <c r="F52" s="140">
        <v>32730</v>
      </c>
      <c r="P52" s="127"/>
      <c r="U52" s="8"/>
    </row>
    <row r="53" spans="2:21" ht="20.25" thickTop="1" thickBot="1" x14ac:dyDescent="0.35">
      <c r="C53" s="141">
        <v>43867</v>
      </c>
      <c r="D53" s="372" t="s">
        <v>26</v>
      </c>
      <c r="E53" s="373"/>
      <c r="F53" s="142">
        <v>355209.27</v>
      </c>
      <c r="I53" s="374" t="s">
        <v>129</v>
      </c>
      <c r="J53" s="375"/>
      <c r="K53" s="376">
        <f>K49+K51</f>
        <v>60013.379999999946</v>
      </c>
      <c r="L53" s="377"/>
      <c r="P53" s="127"/>
    </row>
    <row r="54" spans="2:21" ht="18.75" x14ac:dyDescent="0.3">
      <c r="C54" s="143"/>
      <c r="D54" s="144"/>
      <c r="E54" s="61" t="s">
        <v>27</v>
      </c>
      <c r="F54" s="145">
        <f>F51+F52+F53</f>
        <v>333404.95999999996</v>
      </c>
      <c r="J54" s="9"/>
      <c r="M54" s="146"/>
      <c r="P54" s="36"/>
    </row>
    <row r="55" spans="2:21" x14ac:dyDescent="0.25">
      <c r="P55" s="36"/>
    </row>
    <row r="56" spans="2:21" x14ac:dyDescent="0.25">
      <c r="B56"/>
      <c r="C56"/>
      <c r="D56" s="378"/>
      <c r="E56" s="378"/>
      <c r="M56" s="147"/>
      <c r="N56" s="59"/>
      <c r="O56" s="59"/>
      <c r="P56" s="128"/>
      <c r="Q56" s="186"/>
      <c r="R56" s="186"/>
    </row>
    <row r="57" spans="2:21" x14ac:dyDescent="0.25">
      <c r="B57"/>
      <c r="C57"/>
      <c r="M57" s="147"/>
      <c r="N57" s="59"/>
      <c r="O57" s="59"/>
      <c r="P57" s="59"/>
      <c r="Q57" s="186"/>
      <c r="R57" s="186"/>
    </row>
    <row r="58" spans="2:21" x14ac:dyDescent="0.25">
      <c r="B58"/>
      <c r="C58"/>
      <c r="N58" s="59"/>
      <c r="O58" s="59"/>
      <c r="P58" s="59"/>
      <c r="Q58" s="186"/>
      <c r="R58" s="186"/>
    </row>
    <row r="59" spans="2:21" x14ac:dyDescent="0.25">
      <c r="B59"/>
      <c r="C59"/>
      <c r="F59"/>
      <c r="I59"/>
      <c r="J59"/>
      <c r="M59"/>
      <c r="N59" s="59"/>
      <c r="O59" s="59"/>
      <c r="P59" s="59"/>
      <c r="Q59" s="186"/>
      <c r="R59" s="186"/>
    </row>
    <row r="60" spans="2:21" x14ac:dyDescent="0.25">
      <c r="B60"/>
      <c r="C60"/>
      <c r="F60" s="148"/>
      <c r="N60" s="59"/>
      <c r="O60" s="59"/>
      <c r="P60" s="59"/>
      <c r="Q60" s="186"/>
      <c r="R60" s="186"/>
    </row>
    <row r="61" spans="2:21" x14ac:dyDescent="0.25">
      <c r="F61" s="36"/>
      <c r="M61" s="4"/>
      <c r="N61" s="59"/>
      <c r="O61" s="59"/>
      <c r="P61" s="59"/>
      <c r="Q61" s="186"/>
      <c r="R61" s="186"/>
    </row>
    <row r="62" spans="2:21" x14ac:dyDescent="0.25">
      <c r="F62" s="36"/>
      <c r="M62" s="4"/>
      <c r="N62" s="59"/>
      <c r="O62" s="59"/>
      <c r="P62" s="59"/>
      <c r="Q62" s="186"/>
      <c r="R62" s="186"/>
    </row>
    <row r="63" spans="2:21" x14ac:dyDescent="0.25">
      <c r="F63" s="36"/>
      <c r="M63" s="4"/>
      <c r="N63" s="59"/>
      <c r="O63" s="59"/>
      <c r="P63" s="59"/>
      <c r="Q63" s="186"/>
      <c r="R63" s="186"/>
    </row>
    <row r="64" spans="2:21" x14ac:dyDescent="0.25">
      <c r="F64" s="36"/>
      <c r="M64" s="4"/>
      <c r="N64" s="59"/>
      <c r="O64" s="59"/>
      <c r="P64" s="59"/>
      <c r="Q64" s="186"/>
      <c r="R64" s="186"/>
    </row>
    <row r="65" spans="6:13" x14ac:dyDescent="0.25">
      <c r="F65" s="36"/>
      <c r="M65" s="4"/>
    </row>
    <row r="66" spans="6:13" x14ac:dyDescent="0.25">
      <c r="F66" s="36"/>
      <c r="M66" s="4"/>
    </row>
    <row r="67" spans="6:13" x14ac:dyDescent="0.25">
      <c r="F67" s="36"/>
      <c r="M67" s="4"/>
    </row>
    <row r="68" spans="6:13" x14ac:dyDescent="0.25">
      <c r="F68" s="36"/>
      <c r="M68" s="4"/>
    </row>
    <row r="69" spans="6:13" x14ac:dyDescent="0.25">
      <c r="F69" s="36"/>
      <c r="M69" s="4"/>
    </row>
    <row r="70" spans="6:13" x14ac:dyDescent="0.25">
      <c r="F70" s="148"/>
      <c r="M70" s="4"/>
    </row>
    <row r="71" spans="6:13" x14ac:dyDescent="0.25">
      <c r="M71" s="4"/>
    </row>
    <row r="72" spans="6:13" x14ac:dyDescent="0.25">
      <c r="M72" s="4"/>
    </row>
    <row r="73" spans="6:13" x14ac:dyDescent="0.25">
      <c r="M73" s="4"/>
    </row>
    <row r="74" spans="6:13" x14ac:dyDescent="0.25">
      <c r="M74" s="4"/>
    </row>
    <row r="75" spans="6:13" x14ac:dyDescent="0.25">
      <c r="M75" s="4"/>
    </row>
    <row r="76" spans="6:13" x14ac:dyDescent="0.25">
      <c r="M76" s="4"/>
    </row>
    <row r="77" spans="6:13" x14ac:dyDescent="0.25">
      <c r="M77" s="4"/>
    </row>
    <row r="78" spans="6:13" x14ac:dyDescent="0.25">
      <c r="M78" s="4"/>
    </row>
    <row r="79" spans="6:13" x14ac:dyDescent="0.25">
      <c r="M79" s="4"/>
    </row>
    <row r="80" spans="6:13" x14ac:dyDescent="0.25">
      <c r="M80" s="4"/>
    </row>
    <row r="81" spans="13:13" x14ac:dyDescent="0.25">
      <c r="M81" s="4"/>
    </row>
    <row r="82" spans="13:13" x14ac:dyDescent="0.25">
      <c r="M82" s="4"/>
    </row>
    <row r="83" spans="13:13" x14ac:dyDescent="0.25">
      <c r="M83" s="4"/>
    </row>
  </sheetData>
  <sortState xmlns:xlrd2="http://schemas.microsoft.com/office/spreadsheetml/2017/richdata2" ref="V4:V5">
    <sortCondition ref="V4:V5"/>
  </sortState>
  <mergeCells count="20">
    <mergeCell ref="K51:L51"/>
    <mergeCell ref="D53:E53"/>
    <mergeCell ref="I53:J53"/>
    <mergeCell ref="K53:L53"/>
    <mergeCell ref="D56:E56"/>
    <mergeCell ref="M46:N46"/>
    <mergeCell ref="H47:I47"/>
    <mergeCell ref="K47:L47"/>
    <mergeCell ref="D48:E48"/>
    <mergeCell ref="AE1:AF2"/>
    <mergeCell ref="V20:W20"/>
    <mergeCell ref="Z2:AB2"/>
    <mergeCell ref="V2:W3"/>
    <mergeCell ref="D49:E49"/>
    <mergeCell ref="I49:J49"/>
    <mergeCell ref="K49:L49"/>
    <mergeCell ref="C1:K1"/>
    <mergeCell ref="B3:C3"/>
    <mergeCell ref="E4:F4"/>
    <mergeCell ref="H4:I4"/>
  </mergeCells>
  <phoneticPr fontId="30" type="noConversion"/>
  <pageMargins left="0.7" right="0.15748031496062992" top="0.31496062992125984" bottom="0.31" header="0.31496062992125984" footer="0.31496062992125984"/>
  <pageSetup scale="65" orientation="landscape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85937-C61B-488F-A6DD-D38E3DB1A739}">
  <sheetPr>
    <tabColor rgb="FF7030A0"/>
  </sheetPr>
  <dimension ref="A1:F87"/>
  <sheetViews>
    <sheetView workbookViewId="0">
      <selection activeCell="F1" sqref="F1"/>
    </sheetView>
  </sheetViews>
  <sheetFormatPr baseColWidth="10" defaultRowHeight="15" x14ac:dyDescent="0.25"/>
  <cols>
    <col min="1" max="1" width="13.42578125" style="59" bestFit="1" customWidth="1"/>
    <col min="2" max="2" width="12.85546875" bestFit="1" customWidth="1"/>
    <col min="3" max="3" width="15.85546875" style="16" bestFit="1" customWidth="1"/>
    <col min="4" max="4" width="12.42578125" bestFit="1" customWidth="1"/>
    <col min="5" max="5" width="15.140625" style="16" bestFit="1" customWidth="1"/>
    <col min="6" max="6" width="19.5703125" style="16" bestFit="1" customWidth="1"/>
  </cols>
  <sheetData>
    <row r="1" spans="1:6" ht="36.75" customHeight="1" x14ac:dyDescent="0.35">
      <c r="B1" s="185" t="s">
        <v>192</v>
      </c>
      <c r="C1" s="182"/>
      <c r="D1" s="183"/>
      <c r="E1" s="182"/>
      <c r="F1" s="184"/>
    </row>
    <row r="2" spans="1:6" ht="16.5" thickBot="1" x14ac:dyDescent="0.3">
      <c r="A2" s="169" t="s">
        <v>37</v>
      </c>
      <c r="B2" s="169" t="s">
        <v>38</v>
      </c>
      <c r="C2" s="170" t="s">
        <v>39</v>
      </c>
      <c r="D2" s="169" t="s">
        <v>40</v>
      </c>
      <c r="E2" s="170" t="s">
        <v>41</v>
      </c>
      <c r="F2" s="170" t="s">
        <v>39</v>
      </c>
    </row>
    <row r="3" spans="1:6" x14ac:dyDescent="0.25">
      <c r="A3" s="174">
        <v>43958</v>
      </c>
      <c r="B3" s="272">
        <v>14095</v>
      </c>
      <c r="C3" s="176">
        <v>79581.399999999994</v>
      </c>
      <c r="D3" s="270"/>
      <c r="E3" s="5"/>
      <c r="F3" s="173">
        <f>C3-E3</f>
        <v>79581.399999999994</v>
      </c>
    </row>
    <row r="4" spans="1:6" x14ac:dyDescent="0.25">
      <c r="A4" s="271">
        <v>43959</v>
      </c>
      <c r="B4" s="272">
        <v>14233</v>
      </c>
      <c r="C4" s="176">
        <v>3666</v>
      </c>
      <c r="D4" s="273">
        <v>43959</v>
      </c>
      <c r="E4" s="176">
        <v>83247.399999999994</v>
      </c>
      <c r="F4" s="173">
        <f>F3+C4-E4</f>
        <v>0</v>
      </c>
    </row>
    <row r="5" spans="1:6" x14ac:dyDescent="0.25">
      <c r="A5" s="273">
        <v>43960</v>
      </c>
      <c r="B5" s="272">
        <v>14387</v>
      </c>
      <c r="C5" s="176">
        <v>133106</v>
      </c>
      <c r="D5" s="273"/>
      <c r="E5" s="176"/>
      <c r="F5" s="173">
        <f t="shared" ref="F5:F50" si="0">F4+C5-E5</f>
        <v>133106</v>
      </c>
    </row>
    <row r="6" spans="1:6" x14ac:dyDescent="0.25">
      <c r="A6" s="273">
        <v>43960</v>
      </c>
      <c r="B6" s="272">
        <v>14388</v>
      </c>
      <c r="C6" s="176">
        <v>79782.67</v>
      </c>
      <c r="D6" s="273"/>
      <c r="E6" s="176"/>
      <c r="F6" s="173">
        <f t="shared" si="0"/>
        <v>212888.66999999998</v>
      </c>
    </row>
    <row r="7" spans="1:6" x14ac:dyDescent="0.25">
      <c r="A7" s="273">
        <v>43960</v>
      </c>
      <c r="B7" s="272">
        <v>14390</v>
      </c>
      <c r="C7" s="176">
        <v>28090.400000000001</v>
      </c>
      <c r="D7" s="273"/>
      <c r="E7" s="176"/>
      <c r="F7" s="173">
        <f t="shared" si="0"/>
        <v>240979.06999999998</v>
      </c>
    </row>
    <row r="8" spans="1:6" x14ac:dyDescent="0.25">
      <c r="A8" s="273">
        <v>43961</v>
      </c>
      <c r="B8" s="272">
        <v>14487</v>
      </c>
      <c r="C8" s="176">
        <v>25851.5</v>
      </c>
      <c r="D8" s="273"/>
      <c r="E8" s="176"/>
      <c r="F8" s="173">
        <f t="shared" si="0"/>
        <v>266830.56999999995</v>
      </c>
    </row>
    <row r="9" spans="1:6" x14ac:dyDescent="0.25">
      <c r="A9" s="273">
        <v>43962</v>
      </c>
      <c r="B9" s="272">
        <v>14648</v>
      </c>
      <c r="C9" s="176">
        <v>84770.49</v>
      </c>
      <c r="D9" s="273"/>
      <c r="E9" s="176"/>
      <c r="F9" s="173">
        <f t="shared" si="0"/>
        <v>351601.05999999994</v>
      </c>
    </row>
    <row r="10" spans="1:6" x14ac:dyDescent="0.25">
      <c r="A10" s="273">
        <v>43963</v>
      </c>
      <c r="B10" s="272">
        <v>14766</v>
      </c>
      <c r="C10" s="176">
        <v>3075.79</v>
      </c>
      <c r="D10" s="273"/>
      <c r="E10" s="176"/>
      <c r="F10" s="173">
        <f t="shared" si="0"/>
        <v>354676.84999999992</v>
      </c>
    </row>
    <row r="11" spans="1:6" x14ac:dyDescent="0.25">
      <c r="A11" s="271">
        <v>43964</v>
      </c>
      <c r="B11" s="272">
        <v>14779</v>
      </c>
      <c r="C11" s="176">
        <v>103355</v>
      </c>
      <c r="D11" s="273"/>
      <c r="E11" s="176"/>
      <c r="F11" s="173">
        <f t="shared" si="0"/>
        <v>458031.84999999992</v>
      </c>
    </row>
    <row r="12" spans="1:6" x14ac:dyDescent="0.25">
      <c r="A12" s="273">
        <v>43964</v>
      </c>
      <c r="B12" s="272">
        <v>14872</v>
      </c>
      <c r="C12" s="176">
        <v>77501.89</v>
      </c>
      <c r="D12" s="273"/>
      <c r="E12" s="176"/>
      <c r="F12" s="173">
        <f t="shared" si="0"/>
        <v>535533.73999999987</v>
      </c>
    </row>
    <row r="13" spans="1:6" x14ac:dyDescent="0.25">
      <c r="A13" s="273">
        <v>43965</v>
      </c>
      <c r="B13" s="272">
        <v>14894</v>
      </c>
      <c r="C13" s="176">
        <v>1261.5</v>
      </c>
      <c r="D13" s="273">
        <v>43966</v>
      </c>
      <c r="E13" s="176">
        <v>536795.24</v>
      </c>
      <c r="F13" s="173">
        <f t="shared" si="0"/>
        <v>0</v>
      </c>
    </row>
    <row r="14" spans="1:6" x14ac:dyDescent="0.25">
      <c r="A14" s="273">
        <v>43967</v>
      </c>
      <c r="B14" s="272">
        <v>15178</v>
      </c>
      <c r="C14" s="176">
        <v>12104</v>
      </c>
      <c r="D14" s="273"/>
      <c r="E14" s="176"/>
      <c r="F14" s="173">
        <f t="shared" si="0"/>
        <v>12104</v>
      </c>
    </row>
    <row r="15" spans="1:6" x14ac:dyDescent="0.25">
      <c r="A15" s="273">
        <v>43967</v>
      </c>
      <c r="B15" s="272">
        <v>15258</v>
      </c>
      <c r="C15" s="176">
        <v>37598.54</v>
      </c>
      <c r="D15" s="273"/>
      <c r="E15" s="176"/>
      <c r="F15" s="173">
        <f t="shared" si="0"/>
        <v>49702.54</v>
      </c>
    </row>
    <row r="16" spans="1:6" x14ac:dyDescent="0.25">
      <c r="A16" s="273">
        <v>43968</v>
      </c>
      <c r="B16" s="272">
        <v>15278</v>
      </c>
      <c r="C16" s="176">
        <v>1428</v>
      </c>
      <c r="D16" s="273"/>
      <c r="E16" s="176"/>
      <c r="F16" s="173">
        <f t="shared" si="0"/>
        <v>51130.54</v>
      </c>
    </row>
    <row r="17" spans="1:6" x14ac:dyDescent="0.25">
      <c r="A17" s="273">
        <v>43969</v>
      </c>
      <c r="B17" s="272">
        <v>15364</v>
      </c>
      <c r="C17" s="176">
        <v>34928.9</v>
      </c>
      <c r="D17" s="273"/>
      <c r="E17" s="176"/>
      <c r="F17" s="173">
        <f t="shared" si="0"/>
        <v>86059.44</v>
      </c>
    </row>
    <row r="18" spans="1:6" x14ac:dyDescent="0.25">
      <c r="A18" s="273">
        <v>43970</v>
      </c>
      <c r="B18" s="272">
        <v>15498</v>
      </c>
      <c r="C18" s="176">
        <v>12930.6</v>
      </c>
      <c r="D18" s="273"/>
      <c r="E18" s="176"/>
      <c r="F18" s="173">
        <f t="shared" si="0"/>
        <v>98990.040000000008</v>
      </c>
    </row>
    <row r="19" spans="1:6" x14ac:dyDescent="0.25">
      <c r="A19" s="273">
        <v>43971</v>
      </c>
      <c r="B19" s="272">
        <v>15635</v>
      </c>
      <c r="C19" s="176">
        <v>36627.279999999999</v>
      </c>
      <c r="D19" s="273"/>
      <c r="E19" s="176"/>
      <c r="F19" s="173">
        <f t="shared" si="0"/>
        <v>135617.32</v>
      </c>
    </row>
    <row r="20" spans="1:6" x14ac:dyDescent="0.25">
      <c r="A20" s="273">
        <v>43971</v>
      </c>
      <c r="B20" s="272">
        <v>15638</v>
      </c>
      <c r="C20" s="176">
        <v>14591.08</v>
      </c>
      <c r="D20" s="273"/>
      <c r="E20" s="176"/>
      <c r="F20" s="173">
        <f t="shared" si="0"/>
        <v>150208.4</v>
      </c>
    </row>
    <row r="21" spans="1:6" x14ac:dyDescent="0.25">
      <c r="A21" s="273">
        <v>43971</v>
      </c>
      <c r="B21" s="272">
        <v>15708</v>
      </c>
      <c r="C21" s="176">
        <v>4401.3999999999996</v>
      </c>
      <c r="D21" s="273"/>
      <c r="E21" s="176"/>
      <c r="F21" s="173">
        <f t="shared" si="0"/>
        <v>154609.79999999999</v>
      </c>
    </row>
    <row r="22" spans="1:6" x14ac:dyDescent="0.25">
      <c r="A22" s="273">
        <v>43971</v>
      </c>
      <c r="B22" s="272">
        <v>15711</v>
      </c>
      <c r="C22" s="176">
        <v>4428</v>
      </c>
      <c r="D22" s="273"/>
      <c r="E22" s="176"/>
      <c r="F22" s="173">
        <f t="shared" si="0"/>
        <v>159037.79999999999</v>
      </c>
    </row>
    <row r="23" spans="1:6" x14ac:dyDescent="0.25">
      <c r="A23" s="273">
        <v>43972</v>
      </c>
      <c r="B23" s="272">
        <v>15845</v>
      </c>
      <c r="C23" s="176">
        <v>75141.94</v>
      </c>
      <c r="D23" s="273"/>
      <c r="E23" s="176"/>
      <c r="F23" s="173">
        <f t="shared" si="0"/>
        <v>234179.74</v>
      </c>
    </row>
    <row r="24" spans="1:6" x14ac:dyDescent="0.25">
      <c r="A24" s="273">
        <v>43973</v>
      </c>
      <c r="B24" s="272">
        <v>15893</v>
      </c>
      <c r="C24" s="176">
        <v>19906</v>
      </c>
      <c r="D24" s="273">
        <v>43974</v>
      </c>
      <c r="E24" s="176">
        <v>254085.74</v>
      </c>
      <c r="F24" s="173">
        <f t="shared" si="0"/>
        <v>0</v>
      </c>
    </row>
    <row r="25" spans="1:6" x14ac:dyDescent="0.25">
      <c r="A25" s="273">
        <v>43974</v>
      </c>
      <c r="B25" s="272">
        <v>16046</v>
      </c>
      <c r="C25" s="176">
        <v>66341.899999999994</v>
      </c>
      <c r="D25" s="273"/>
      <c r="E25" s="176"/>
      <c r="F25" s="173">
        <f t="shared" si="0"/>
        <v>66341.899999999994</v>
      </c>
    </row>
    <row r="26" spans="1:6" x14ac:dyDescent="0.25">
      <c r="A26" s="273">
        <v>43974</v>
      </c>
      <c r="B26" s="272">
        <v>16109</v>
      </c>
      <c r="C26" s="176">
        <v>42381.72</v>
      </c>
      <c r="D26" s="273"/>
      <c r="E26" s="176"/>
      <c r="F26" s="173">
        <f t="shared" si="0"/>
        <v>108723.62</v>
      </c>
    </row>
    <row r="27" spans="1:6" x14ac:dyDescent="0.25">
      <c r="A27" s="273">
        <v>43975</v>
      </c>
      <c r="B27" s="272">
        <v>16148</v>
      </c>
      <c r="C27" s="176">
        <v>23473.9</v>
      </c>
      <c r="D27" s="273"/>
      <c r="E27" s="176"/>
      <c r="F27" s="173">
        <f t="shared" si="0"/>
        <v>132197.51999999999</v>
      </c>
    </row>
    <row r="28" spans="1:6" x14ac:dyDescent="0.25">
      <c r="A28" s="271">
        <v>43975</v>
      </c>
      <c r="B28" s="272">
        <v>16198</v>
      </c>
      <c r="C28" s="176">
        <v>24648</v>
      </c>
      <c r="D28" s="273"/>
      <c r="E28" s="176"/>
      <c r="F28" s="173">
        <f t="shared" si="0"/>
        <v>156845.51999999999</v>
      </c>
    </row>
    <row r="29" spans="1:6" x14ac:dyDescent="0.25">
      <c r="A29" s="271">
        <v>43976</v>
      </c>
      <c r="B29" s="272">
        <v>16268</v>
      </c>
      <c r="C29" s="176">
        <v>35223.24</v>
      </c>
      <c r="D29" s="273"/>
      <c r="E29" s="176"/>
      <c r="F29" s="173">
        <f t="shared" si="0"/>
        <v>192068.75999999998</v>
      </c>
    </row>
    <row r="30" spans="1:6" x14ac:dyDescent="0.25">
      <c r="A30" s="271">
        <v>43977</v>
      </c>
      <c r="B30" s="272">
        <v>16335</v>
      </c>
      <c r="C30" s="176">
        <v>13000.32</v>
      </c>
      <c r="D30" s="273"/>
      <c r="E30" s="176"/>
      <c r="F30" s="173">
        <f t="shared" si="0"/>
        <v>205069.08</v>
      </c>
    </row>
    <row r="31" spans="1:6" x14ac:dyDescent="0.25">
      <c r="A31" s="271">
        <v>43978</v>
      </c>
      <c r="B31" s="272">
        <v>16485</v>
      </c>
      <c r="C31" s="176">
        <v>44075.09</v>
      </c>
      <c r="D31" s="273"/>
      <c r="E31" s="176"/>
      <c r="F31" s="173">
        <f t="shared" si="0"/>
        <v>249144.16999999998</v>
      </c>
    </row>
    <row r="32" spans="1:6" x14ac:dyDescent="0.25">
      <c r="A32" s="271">
        <v>43978</v>
      </c>
      <c r="B32" s="272">
        <v>16499</v>
      </c>
      <c r="C32" s="176">
        <v>2259.6</v>
      </c>
      <c r="D32" s="273"/>
      <c r="E32" s="176"/>
      <c r="F32" s="173">
        <f t="shared" si="0"/>
        <v>251403.77</v>
      </c>
    </row>
    <row r="33" spans="1:6" x14ac:dyDescent="0.25">
      <c r="A33" s="271">
        <v>43978</v>
      </c>
      <c r="B33" s="272">
        <v>16557</v>
      </c>
      <c r="C33" s="176">
        <v>32743.56</v>
      </c>
      <c r="D33" s="273"/>
      <c r="E33" s="176"/>
      <c r="F33" s="173">
        <f t="shared" si="0"/>
        <v>284147.33</v>
      </c>
    </row>
    <row r="34" spans="1:6" x14ac:dyDescent="0.25">
      <c r="A34" s="271">
        <v>43979</v>
      </c>
      <c r="B34" s="272">
        <v>16574</v>
      </c>
      <c r="C34" s="176">
        <v>27533.4</v>
      </c>
      <c r="D34" s="273"/>
      <c r="E34" s="176"/>
      <c r="F34" s="173">
        <f t="shared" si="0"/>
        <v>311680.73000000004</v>
      </c>
    </row>
    <row r="35" spans="1:6" x14ac:dyDescent="0.25">
      <c r="A35" s="271">
        <v>43979</v>
      </c>
      <c r="B35" s="272">
        <v>16648</v>
      </c>
      <c r="C35" s="176">
        <v>137280.17000000001</v>
      </c>
      <c r="D35" s="273"/>
      <c r="E35" s="176"/>
      <c r="F35" s="173">
        <f t="shared" si="0"/>
        <v>448960.9</v>
      </c>
    </row>
    <row r="36" spans="1:6" x14ac:dyDescent="0.25">
      <c r="A36" s="271">
        <v>43979</v>
      </c>
      <c r="B36" s="272">
        <v>16649</v>
      </c>
      <c r="C36" s="176">
        <v>1834.8</v>
      </c>
      <c r="D36" s="273"/>
      <c r="E36" s="176"/>
      <c r="F36" s="173">
        <f t="shared" si="0"/>
        <v>450795.7</v>
      </c>
    </row>
    <row r="37" spans="1:6" x14ac:dyDescent="0.25">
      <c r="A37" s="271">
        <v>43980</v>
      </c>
      <c r="B37" s="272">
        <v>16702</v>
      </c>
      <c r="C37" s="176">
        <v>18531.599999999999</v>
      </c>
      <c r="D37" s="273">
        <v>43980</v>
      </c>
      <c r="E37" s="176">
        <v>469327.3</v>
      </c>
      <c r="F37" s="173">
        <f t="shared" si="0"/>
        <v>0</v>
      </c>
    </row>
    <row r="38" spans="1:6" x14ac:dyDescent="0.25">
      <c r="A38" s="271">
        <v>43981</v>
      </c>
      <c r="B38" s="338">
        <v>16910</v>
      </c>
      <c r="C38" s="176">
        <v>26087.84</v>
      </c>
      <c r="D38" s="273"/>
      <c r="E38" s="176"/>
      <c r="F38" s="173">
        <f t="shared" si="0"/>
        <v>26087.84</v>
      </c>
    </row>
    <row r="39" spans="1:6" x14ac:dyDescent="0.25">
      <c r="A39" s="271">
        <v>43981</v>
      </c>
      <c r="B39" s="338">
        <v>16967</v>
      </c>
      <c r="C39" s="176">
        <v>76968.05</v>
      </c>
      <c r="D39" s="273"/>
      <c r="E39" s="176"/>
      <c r="F39" s="173">
        <f t="shared" si="0"/>
        <v>103055.89</v>
      </c>
    </row>
    <row r="40" spans="1:6" x14ac:dyDescent="0.25">
      <c r="A40" s="271">
        <v>43982</v>
      </c>
      <c r="B40" s="338">
        <v>16973</v>
      </c>
      <c r="C40" s="176">
        <v>1492.4</v>
      </c>
      <c r="D40" s="273"/>
      <c r="E40" s="176"/>
      <c r="F40" s="173">
        <f t="shared" si="0"/>
        <v>104548.29</v>
      </c>
    </row>
    <row r="41" spans="1:6" x14ac:dyDescent="0.25">
      <c r="A41" s="271">
        <v>43982</v>
      </c>
      <c r="B41" s="338">
        <v>16975</v>
      </c>
      <c r="C41" s="176">
        <v>1120</v>
      </c>
      <c r="D41" s="273"/>
      <c r="E41" s="176"/>
      <c r="F41" s="173">
        <f t="shared" si="0"/>
        <v>105668.29</v>
      </c>
    </row>
    <row r="42" spans="1:6" x14ac:dyDescent="0.25">
      <c r="A42" s="271">
        <v>43983</v>
      </c>
      <c r="B42" s="338">
        <v>17106</v>
      </c>
      <c r="C42" s="176">
        <v>75463.360000000001</v>
      </c>
      <c r="D42" s="273"/>
      <c r="E42" s="176"/>
      <c r="F42" s="173">
        <f t="shared" si="0"/>
        <v>181131.65</v>
      </c>
    </row>
    <row r="43" spans="1:6" x14ac:dyDescent="0.25">
      <c r="A43" s="271">
        <v>43984</v>
      </c>
      <c r="B43" s="338">
        <v>17221</v>
      </c>
      <c r="C43" s="176">
        <v>62772.95</v>
      </c>
      <c r="D43" s="273"/>
      <c r="E43" s="176"/>
      <c r="F43" s="173">
        <f t="shared" si="0"/>
        <v>243904.59999999998</v>
      </c>
    </row>
    <row r="44" spans="1:6" x14ac:dyDescent="0.25">
      <c r="A44" s="271">
        <v>43985</v>
      </c>
      <c r="B44" s="338">
        <v>17271</v>
      </c>
      <c r="C44" s="176">
        <v>3032.8</v>
      </c>
      <c r="D44" s="273"/>
      <c r="E44" s="176"/>
      <c r="F44" s="173">
        <f>F43+C44-E44</f>
        <v>246937.39999999997</v>
      </c>
    </row>
    <row r="45" spans="1:6" x14ac:dyDescent="0.25">
      <c r="A45" s="174">
        <v>43985</v>
      </c>
      <c r="B45" s="338">
        <v>17353</v>
      </c>
      <c r="C45" s="176">
        <v>477</v>
      </c>
      <c r="D45" s="177">
        <v>43956</v>
      </c>
      <c r="E45" s="176"/>
      <c r="F45" s="173">
        <f>F44+C45-E45</f>
        <v>247414.39999999997</v>
      </c>
    </row>
    <row r="46" spans="1:6" x14ac:dyDescent="0.25">
      <c r="A46" s="174"/>
      <c r="B46" s="175"/>
      <c r="C46" s="176">
        <v>0</v>
      </c>
      <c r="D46" s="177"/>
      <c r="E46" s="176"/>
      <c r="F46" s="173">
        <f t="shared" si="0"/>
        <v>247414.39999999997</v>
      </c>
    </row>
    <row r="47" spans="1:6" x14ac:dyDescent="0.25">
      <c r="A47" s="174"/>
      <c r="B47" s="175"/>
      <c r="C47" s="176">
        <v>0</v>
      </c>
      <c r="D47" s="177"/>
      <c r="E47" s="176"/>
      <c r="F47" s="173">
        <f t="shared" si="0"/>
        <v>247414.39999999997</v>
      </c>
    </row>
    <row r="48" spans="1:6" x14ac:dyDescent="0.25">
      <c r="A48" s="174"/>
      <c r="B48" s="175"/>
      <c r="C48" s="176">
        <v>0</v>
      </c>
      <c r="D48" s="177"/>
      <c r="E48" s="176"/>
      <c r="F48" s="173">
        <f t="shared" si="0"/>
        <v>247414.39999999997</v>
      </c>
    </row>
    <row r="49" spans="1:6" x14ac:dyDescent="0.25">
      <c r="A49" s="174"/>
      <c r="B49" s="175"/>
      <c r="C49" s="176">
        <v>0</v>
      </c>
      <c r="D49" s="177"/>
      <c r="E49" s="176"/>
      <c r="F49" s="173">
        <f t="shared" si="0"/>
        <v>247414.39999999997</v>
      </c>
    </row>
    <row r="50" spans="1:6" ht="15.75" thickBot="1" x14ac:dyDescent="0.3">
      <c r="A50" s="178"/>
      <c r="B50" s="179"/>
      <c r="C50" s="104">
        <v>0</v>
      </c>
      <c r="D50" s="180"/>
      <c r="E50" s="104"/>
      <c r="F50" s="173">
        <f t="shared" si="0"/>
        <v>247414.39999999997</v>
      </c>
    </row>
    <row r="51" spans="1:6" ht="19.5" thickTop="1" x14ac:dyDescent="0.3">
      <c r="B51" s="59"/>
      <c r="C51" s="4">
        <f>SUM(C3:C50)</f>
        <v>1590870.0800000005</v>
      </c>
      <c r="D51" s="1"/>
      <c r="E51" s="4">
        <f>SUM(E3:E50)</f>
        <v>1343455.68</v>
      </c>
      <c r="F51" s="181">
        <f>F50</f>
        <v>247414.39999999997</v>
      </c>
    </row>
    <row r="52" spans="1:6" x14ac:dyDescent="0.25">
      <c r="B52" s="59"/>
      <c r="C52" s="4"/>
      <c r="D52" s="1"/>
      <c r="E52" s="8"/>
      <c r="F52" s="4"/>
    </row>
    <row r="53" spans="1:6" x14ac:dyDescent="0.25">
      <c r="B53" s="59"/>
      <c r="C53" s="4"/>
      <c r="D53" s="1"/>
      <c r="E53" s="8"/>
      <c r="F53" s="4"/>
    </row>
    <row r="54" spans="1:6" x14ac:dyDescent="0.25">
      <c r="A54"/>
      <c r="B54" s="30"/>
      <c r="D54" s="30"/>
    </row>
    <row r="55" spans="1:6" x14ac:dyDescent="0.25">
      <c r="A55"/>
      <c r="B55" s="30"/>
      <c r="D55" s="30"/>
    </row>
    <row r="56" spans="1:6" x14ac:dyDescent="0.25">
      <c r="A56"/>
      <c r="B56" s="30"/>
      <c r="D56" s="30"/>
    </row>
    <row r="57" spans="1:6" x14ac:dyDescent="0.25">
      <c r="A57"/>
      <c r="B57" s="30"/>
      <c r="D57" s="30"/>
      <c r="F57"/>
    </row>
    <row r="58" spans="1:6" x14ac:dyDescent="0.25">
      <c r="A58"/>
      <c r="B58" s="30"/>
      <c r="D58" s="30"/>
      <c r="F58"/>
    </row>
    <row r="59" spans="1:6" x14ac:dyDescent="0.25">
      <c r="A59"/>
      <c r="B59" s="30"/>
      <c r="D59" s="30"/>
      <c r="F59"/>
    </row>
    <row r="60" spans="1:6" x14ac:dyDescent="0.25">
      <c r="A60"/>
      <c r="B60" s="30"/>
      <c r="D60" s="30"/>
      <c r="F60"/>
    </row>
    <row r="61" spans="1:6" x14ac:dyDescent="0.25">
      <c r="A61"/>
      <c r="B61" s="30"/>
      <c r="D61" s="30"/>
      <c r="F61"/>
    </row>
    <row r="62" spans="1:6" x14ac:dyDescent="0.25">
      <c r="A62"/>
      <c r="B62" s="30"/>
      <c r="D62" s="30"/>
      <c r="F62"/>
    </row>
    <row r="63" spans="1:6" x14ac:dyDescent="0.25">
      <c r="A63"/>
      <c r="B63" s="30"/>
      <c r="D63" s="30"/>
      <c r="F63"/>
    </row>
    <row r="64" spans="1:6" x14ac:dyDescent="0.25">
      <c r="A64"/>
      <c r="B64" s="30"/>
      <c r="D64" s="30"/>
      <c r="F64"/>
    </row>
    <row r="65" spans="1:6" x14ac:dyDescent="0.25">
      <c r="A65"/>
      <c r="B65" s="30"/>
      <c r="D65" s="30"/>
      <c r="F65"/>
    </row>
    <row r="66" spans="1:6" x14ac:dyDescent="0.25">
      <c r="A66"/>
      <c r="B66" s="30"/>
      <c r="D66" s="30"/>
      <c r="E66"/>
      <c r="F66"/>
    </row>
    <row r="67" spans="1:6" x14ac:dyDescent="0.25">
      <c r="A67"/>
      <c r="B67" s="30"/>
      <c r="D67" s="30"/>
      <c r="E67"/>
      <c r="F67"/>
    </row>
    <row r="68" spans="1:6" x14ac:dyDescent="0.25">
      <c r="A68"/>
      <c r="B68" s="30"/>
      <c r="D68" s="30"/>
      <c r="E68"/>
      <c r="F68"/>
    </row>
    <row r="69" spans="1:6" x14ac:dyDescent="0.25">
      <c r="A69"/>
      <c r="B69" s="30"/>
      <c r="D69" s="30"/>
      <c r="E69"/>
      <c r="F69"/>
    </row>
    <row r="70" spans="1:6" x14ac:dyDescent="0.25">
      <c r="A70"/>
      <c r="B70" s="30"/>
      <c r="D70" s="30"/>
      <c r="E70"/>
      <c r="F70"/>
    </row>
    <row r="71" spans="1:6" x14ac:dyDescent="0.25">
      <c r="A71"/>
      <c r="B71" s="30"/>
      <c r="D71" s="30"/>
      <c r="E71"/>
      <c r="F71"/>
    </row>
    <row r="72" spans="1:6" x14ac:dyDescent="0.25">
      <c r="B72" s="30"/>
      <c r="D72" s="30"/>
      <c r="E72"/>
    </row>
    <row r="73" spans="1:6" x14ac:dyDescent="0.25">
      <c r="B73" s="30"/>
      <c r="D73" s="30"/>
      <c r="E73"/>
    </row>
    <row r="74" spans="1:6" x14ac:dyDescent="0.25">
      <c r="B74" s="30"/>
      <c r="D74" s="30"/>
      <c r="E74"/>
    </row>
    <row r="75" spans="1:6" x14ac:dyDescent="0.25">
      <c r="B75" s="30"/>
      <c r="D75" s="30"/>
      <c r="E75"/>
    </row>
    <row r="76" spans="1:6" x14ac:dyDescent="0.25">
      <c r="B76" s="30"/>
      <c r="D76" s="30"/>
      <c r="E76"/>
    </row>
    <row r="77" spans="1:6" x14ac:dyDescent="0.25">
      <c r="B77" s="30"/>
      <c r="D77" s="30"/>
      <c r="E77"/>
    </row>
    <row r="78" spans="1:6" x14ac:dyDescent="0.25">
      <c r="B78" s="30"/>
      <c r="D78" s="30"/>
      <c r="E78"/>
    </row>
    <row r="79" spans="1:6" x14ac:dyDescent="0.25">
      <c r="B79" s="30"/>
      <c r="D79" s="30"/>
      <c r="E79"/>
    </row>
    <row r="80" spans="1:6" x14ac:dyDescent="0.25">
      <c r="B80" s="30"/>
      <c r="D80" s="30"/>
      <c r="E80"/>
    </row>
    <row r="81" spans="2:4" x14ac:dyDescent="0.25">
      <c r="B81" s="30"/>
    </row>
    <row r="82" spans="2:4" x14ac:dyDescent="0.25">
      <c r="B82" s="30"/>
    </row>
    <row r="83" spans="2:4" x14ac:dyDescent="0.25">
      <c r="B83" s="30"/>
      <c r="D83" s="30"/>
    </row>
    <row r="84" spans="2:4" x14ac:dyDescent="0.25">
      <c r="B84" s="30"/>
    </row>
    <row r="85" spans="2:4" x14ac:dyDescent="0.25">
      <c r="B85" s="30"/>
    </row>
    <row r="86" spans="2:4" x14ac:dyDescent="0.25">
      <c r="B86" s="30"/>
    </row>
    <row r="87" spans="2:4" ht="18.75" x14ac:dyDescent="0.3">
      <c r="C87" s="146"/>
    </row>
  </sheetData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ECD25-93F6-4A39-9B74-143C379C1195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3F0D4-7C36-4363-ABA7-A93841256B5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334E2-BF78-49FD-BE89-175B0C126631}">
  <sheetPr>
    <tabColor rgb="FFC00000"/>
  </sheetPr>
  <dimension ref="A42:F57"/>
  <sheetViews>
    <sheetView topLeftCell="A38" workbookViewId="0">
      <selection activeCell="E45" sqref="E45"/>
    </sheetView>
  </sheetViews>
  <sheetFormatPr baseColWidth="10" defaultRowHeight="15" x14ac:dyDescent="0.25"/>
  <cols>
    <col min="3" max="3" width="12.5703125" bestFit="1" customWidth="1"/>
  </cols>
  <sheetData>
    <row r="42" spans="1:6" ht="15.75" thickBot="1" x14ac:dyDescent="0.3"/>
    <row r="43" spans="1:6" ht="15" customHeight="1" thickBot="1" x14ac:dyDescent="0.3">
      <c r="A43" s="29"/>
      <c r="B43" s="381" t="s">
        <v>34</v>
      </c>
      <c r="C43" s="382"/>
      <c r="D43" s="382"/>
      <c r="E43" s="383"/>
      <c r="F43" s="4"/>
    </row>
    <row r="44" spans="1:6" ht="16.5" customHeight="1" x14ac:dyDescent="0.25">
      <c r="A44" s="167">
        <v>43985</v>
      </c>
      <c r="B44" s="333" t="s">
        <v>299</v>
      </c>
      <c r="C44" s="334">
        <v>110.6</v>
      </c>
      <c r="D44" s="335" t="s">
        <v>35</v>
      </c>
      <c r="E44" s="336" t="s">
        <v>300</v>
      </c>
      <c r="F44" s="64">
        <v>69</v>
      </c>
    </row>
    <row r="45" spans="1:6" x14ac:dyDescent="0.25">
      <c r="A45" s="167">
        <v>43985</v>
      </c>
      <c r="B45" s="333" t="s">
        <v>301</v>
      </c>
      <c r="C45" s="334">
        <v>93.08</v>
      </c>
      <c r="D45" s="168" t="s">
        <v>35</v>
      </c>
      <c r="E45" s="336" t="s">
        <v>36</v>
      </c>
      <c r="F45" s="64">
        <v>0</v>
      </c>
    </row>
    <row r="46" spans="1:6" ht="14.25" customHeight="1" x14ac:dyDescent="0.25">
      <c r="A46" s="167"/>
      <c r="B46" s="333" t="s">
        <v>36</v>
      </c>
      <c r="C46" s="334">
        <v>0</v>
      </c>
      <c r="D46" s="168" t="s">
        <v>35</v>
      </c>
      <c r="E46" s="336" t="s">
        <v>36</v>
      </c>
      <c r="F46" s="64">
        <v>0</v>
      </c>
    </row>
    <row r="47" spans="1:6" hidden="1" x14ac:dyDescent="0.25">
      <c r="A47" s="167"/>
      <c r="B47" s="333" t="s">
        <v>36</v>
      </c>
      <c r="C47" s="334">
        <v>0</v>
      </c>
      <c r="D47" s="168" t="s">
        <v>35</v>
      </c>
      <c r="E47" s="336" t="s">
        <v>36</v>
      </c>
      <c r="F47" s="64">
        <v>0</v>
      </c>
    </row>
    <row r="48" spans="1:6" hidden="1" x14ac:dyDescent="0.25">
      <c r="A48" s="167"/>
      <c r="B48" s="333" t="s">
        <v>36</v>
      </c>
      <c r="C48" s="334">
        <v>0</v>
      </c>
      <c r="D48" s="168" t="s">
        <v>35</v>
      </c>
      <c r="E48" s="336" t="s">
        <v>36</v>
      </c>
      <c r="F48" s="64">
        <v>0</v>
      </c>
    </row>
    <row r="49" spans="1:6" hidden="1" x14ac:dyDescent="0.25">
      <c r="A49" s="167"/>
      <c r="B49" s="333" t="s">
        <v>36</v>
      </c>
      <c r="C49" s="334">
        <v>0</v>
      </c>
      <c r="D49" s="168" t="s">
        <v>35</v>
      </c>
      <c r="E49" s="336" t="s">
        <v>36</v>
      </c>
      <c r="F49" s="64">
        <v>0</v>
      </c>
    </row>
    <row r="50" spans="1:6" hidden="1" x14ac:dyDescent="0.25">
      <c r="A50" s="167"/>
      <c r="B50" s="333" t="s">
        <v>36</v>
      </c>
      <c r="C50" s="334">
        <v>0</v>
      </c>
      <c r="D50" s="168" t="s">
        <v>35</v>
      </c>
      <c r="E50" s="336" t="s">
        <v>36</v>
      </c>
      <c r="F50" s="64">
        <v>0</v>
      </c>
    </row>
    <row r="51" spans="1:6" hidden="1" x14ac:dyDescent="0.25">
      <c r="A51" s="167"/>
      <c r="B51" s="333" t="s">
        <v>36</v>
      </c>
      <c r="C51" s="334">
        <v>0</v>
      </c>
      <c r="D51" s="168" t="s">
        <v>35</v>
      </c>
      <c r="E51" s="336" t="s">
        <v>36</v>
      </c>
      <c r="F51" s="64">
        <v>0</v>
      </c>
    </row>
    <row r="52" spans="1:6" hidden="1" x14ac:dyDescent="0.25">
      <c r="A52" s="167"/>
      <c r="B52" s="333" t="s">
        <v>36</v>
      </c>
      <c r="C52" s="334">
        <v>0</v>
      </c>
      <c r="D52" s="168" t="s">
        <v>35</v>
      </c>
      <c r="E52" s="336" t="s">
        <v>36</v>
      </c>
      <c r="F52" s="64">
        <v>0</v>
      </c>
    </row>
    <row r="53" spans="1:6" hidden="1" x14ac:dyDescent="0.25">
      <c r="A53" s="167"/>
      <c r="B53" s="333" t="s">
        <v>36</v>
      </c>
      <c r="C53" s="334">
        <v>0</v>
      </c>
      <c r="D53" s="168" t="s">
        <v>35</v>
      </c>
      <c r="E53" s="336" t="s">
        <v>36</v>
      </c>
      <c r="F53" s="64">
        <v>0</v>
      </c>
    </row>
    <row r="54" spans="1:6" hidden="1" x14ac:dyDescent="0.25">
      <c r="A54" s="167"/>
      <c r="B54" s="333" t="s">
        <v>36</v>
      </c>
      <c r="C54" s="334">
        <v>0</v>
      </c>
      <c r="D54" s="168" t="s">
        <v>35</v>
      </c>
      <c r="E54" s="336" t="s">
        <v>36</v>
      </c>
      <c r="F54" s="64">
        <v>0</v>
      </c>
    </row>
    <row r="55" spans="1:6" hidden="1" x14ac:dyDescent="0.25">
      <c r="A55" s="167"/>
      <c r="B55" s="333" t="s">
        <v>36</v>
      </c>
      <c r="C55" s="334">
        <v>0</v>
      </c>
      <c r="D55" s="168" t="s">
        <v>35</v>
      </c>
      <c r="E55" s="336" t="s">
        <v>36</v>
      </c>
      <c r="F55" s="64">
        <v>0</v>
      </c>
    </row>
    <row r="56" spans="1:6" x14ac:dyDescent="0.25">
      <c r="A56" s="167"/>
      <c r="B56" s="333" t="s">
        <v>36</v>
      </c>
      <c r="C56" s="334">
        <v>0</v>
      </c>
      <c r="D56" s="168" t="s">
        <v>35</v>
      </c>
      <c r="E56" s="336" t="s">
        <v>36</v>
      </c>
      <c r="F56" s="64">
        <v>0</v>
      </c>
    </row>
    <row r="57" spans="1:6" x14ac:dyDescent="0.25">
      <c r="A57" s="167"/>
      <c r="B57" s="333" t="s">
        <v>36</v>
      </c>
      <c r="C57" s="334">
        <v>0</v>
      </c>
      <c r="D57" s="168" t="s">
        <v>35</v>
      </c>
      <c r="E57" s="336" t="s">
        <v>36</v>
      </c>
      <c r="F57" s="64">
        <v>0</v>
      </c>
    </row>
  </sheetData>
  <sortState xmlns:xlrd2="http://schemas.microsoft.com/office/spreadsheetml/2017/richdata2" ref="A44:F45">
    <sortCondition ref="B44:B45"/>
  </sortState>
  <mergeCells count="1">
    <mergeCell ref="B43:E43"/>
  </mergeCells>
  <phoneticPr fontId="30" type="noConversion"/>
  <pageMargins left="0.7" right="0.7" top="0.75" bottom="0.27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5BBC9-6E42-41E7-A92F-7F1F405D610F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89DF8-7691-428B-BFC6-DC539BAE1398}">
  <sheetPr>
    <tabColor theme="5" tint="-0.499984740745262"/>
  </sheetPr>
  <dimension ref="A1:F87"/>
  <sheetViews>
    <sheetView workbookViewId="0">
      <selection activeCell="B2" sqref="B2"/>
    </sheetView>
  </sheetViews>
  <sheetFormatPr baseColWidth="10" defaultRowHeight="15" x14ac:dyDescent="0.25"/>
  <cols>
    <col min="1" max="1" width="13.42578125" style="59" bestFit="1" customWidth="1"/>
    <col min="2" max="2" width="12.85546875" bestFit="1" customWidth="1"/>
    <col min="3" max="3" width="15.85546875" style="16" bestFit="1" customWidth="1"/>
    <col min="4" max="4" width="12.42578125" bestFit="1" customWidth="1"/>
    <col min="5" max="5" width="15.140625" style="16" bestFit="1" customWidth="1"/>
    <col min="6" max="6" width="19.5703125" style="16" bestFit="1" customWidth="1"/>
  </cols>
  <sheetData>
    <row r="1" spans="1:6" ht="36.75" customHeight="1" x14ac:dyDescent="0.35">
      <c r="B1" s="185" t="s">
        <v>192</v>
      </c>
      <c r="C1" s="182"/>
      <c r="D1" s="183"/>
      <c r="E1" s="182"/>
      <c r="F1" s="184"/>
    </row>
    <row r="2" spans="1:6" ht="16.5" thickBot="1" x14ac:dyDescent="0.3">
      <c r="A2" s="169" t="s">
        <v>37</v>
      </c>
      <c r="B2" s="169" t="s">
        <v>38</v>
      </c>
      <c r="C2" s="170" t="s">
        <v>39</v>
      </c>
      <c r="D2" s="169" t="s">
        <v>40</v>
      </c>
      <c r="E2" s="170" t="s">
        <v>41</v>
      </c>
      <c r="F2" s="170" t="s">
        <v>39</v>
      </c>
    </row>
    <row r="3" spans="1:6" x14ac:dyDescent="0.25">
      <c r="A3" s="171">
        <v>43837</v>
      </c>
      <c r="B3" s="172" t="s">
        <v>86</v>
      </c>
      <c r="C3" s="5">
        <v>72594</v>
      </c>
      <c r="D3" s="63"/>
      <c r="E3" s="5"/>
      <c r="F3" s="173">
        <f>C3-E3</f>
        <v>72594</v>
      </c>
    </row>
    <row r="4" spans="1:6" x14ac:dyDescent="0.25">
      <c r="A4" s="174">
        <v>43838</v>
      </c>
      <c r="B4" s="175" t="s">
        <v>87</v>
      </c>
      <c r="C4" s="176">
        <v>132399.22</v>
      </c>
      <c r="D4" s="177"/>
      <c r="E4" s="176"/>
      <c r="F4" s="173">
        <f>F3+C4-E4</f>
        <v>204993.22</v>
      </c>
    </row>
    <row r="5" spans="1:6" x14ac:dyDescent="0.25">
      <c r="A5" s="177">
        <v>43839</v>
      </c>
      <c r="B5" s="175" t="s">
        <v>88</v>
      </c>
      <c r="C5" s="176">
        <v>2328</v>
      </c>
      <c r="D5" s="177"/>
      <c r="E5" s="176"/>
      <c r="F5" s="173">
        <f t="shared" ref="F5:F50" si="0">F4+C5-E5</f>
        <v>207321.22</v>
      </c>
    </row>
    <row r="6" spans="1:6" x14ac:dyDescent="0.25">
      <c r="A6" s="177">
        <v>43839</v>
      </c>
      <c r="B6" s="175" t="s">
        <v>89</v>
      </c>
      <c r="C6" s="176">
        <v>128075.49</v>
      </c>
      <c r="D6" s="177"/>
      <c r="E6" s="176"/>
      <c r="F6" s="173">
        <f t="shared" si="0"/>
        <v>335396.71000000002</v>
      </c>
    </row>
    <row r="7" spans="1:6" x14ac:dyDescent="0.25">
      <c r="A7" s="177">
        <v>43840</v>
      </c>
      <c r="B7" s="175" t="s">
        <v>90</v>
      </c>
      <c r="C7" s="176">
        <v>120189.55</v>
      </c>
      <c r="D7" s="177"/>
      <c r="E7" s="176"/>
      <c r="F7" s="173">
        <f t="shared" si="0"/>
        <v>455586.26</v>
      </c>
    </row>
    <row r="8" spans="1:6" x14ac:dyDescent="0.25">
      <c r="A8" s="177">
        <v>43840</v>
      </c>
      <c r="B8" s="175" t="s">
        <v>91</v>
      </c>
      <c r="C8" s="176">
        <v>3031</v>
      </c>
      <c r="D8" s="177"/>
      <c r="E8" s="176"/>
      <c r="F8" s="173">
        <f t="shared" si="0"/>
        <v>458617.26</v>
      </c>
    </row>
    <row r="9" spans="1:6" x14ac:dyDescent="0.25">
      <c r="A9" s="177">
        <v>43841</v>
      </c>
      <c r="B9" s="175" t="s">
        <v>92</v>
      </c>
      <c r="C9" s="176">
        <v>136774.39999999999</v>
      </c>
      <c r="D9" s="177"/>
      <c r="E9" s="176"/>
      <c r="F9" s="173">
        <f t="shared" si="0"/>
        <v>595391.66</v>
      </c>
    </row>
    <row r="10" spans="1:6" x14ac:dyDescent="0.25">
      <c r="A10" s="177">
        <v>43841</v>
      </c>
      <c r="B10" s="175" t="s">
        <v>93</v>
      </c>
      <c r="C10" s="176">
        <v>1766.6</v>
      </c>
      <c r="D10" s="177"/>
      <c r="E10" s="176"/>
      <c r="F10" s="173">
        <f t="shared" si="0"/>
        <v>597158.26</v>
      </c>
    </row>
    <row r="11" spans="1:6" x14ac:dyDescent="0.25">
      <c r="A11" s="174">
        <v>43842</v>
      </c>
      <c r="B11" s="175" t="s">
        <v>94</v>
      </c>
      <c r="C11" s="176">
        <v>9876</v>
      </c>
      <c r="D11" s="177">
        <v>43843</v>
      </c>
      <c r="E11" s="176">
        <v>607034.26</v>
      </c>
      <c r="F11" s="173">
        <f t="shared" si="0"/>
        <v>0</v>
      </c>
    </row>
    <row r="12" spans="1:6" x14ac:dyDescent="0.25">
      <c r="A12" s="177">
        <v>43843</v>
      </c>
      <c r="B12" s="175" t="s">
        <v>95</v>
      </c>
      <c r="C12" s="176">
        <v>51267.96</v>
      </c>
      <c r="D12" s="177"/>
      <c r="E12" s="176"/>
      <c r="F12" s="173">
        <f t="shared" si="0"/>
        <v>51267.96</v>
      </c>
    </row>
    <row r="13" spans="1:6" x14ac:dyDescent="0.25">
      <c r="A13" s="177">
        <v>43844</v>
      </c>
      <c r="B13" s="175" t="s">
        <v>96</v>
      </c>
      <c r="C13" s="176">
        <v>100845.65</v>
      </c>
      <c r="D13" s="177"/>
      <c r="E13" s="176"/>
      <c r="F13" s="173">
        <f t="shared" si="0"/>
        <v>152113.60999999999</v>
      </c>
    </row>
    <row r="14" spans="1:6" x14ac:dyDescent="0.25">
      <c r="A14" s="177">
        <v>43845</v>
      </c>
      <c r="B14" s="175" t="s">
        <v>97</v>
      </c>
      <c r="C14" s="176">
        <v>138607.79999999999</v>
      </c>
      <c r="D14" s="177"/>
      <c r="E14" s="176"/>
      <c r="F14" s="173">
        <f t="shared" si="0"/>
        <v>290721.40999999997</v>
      </c>
    </row>
    <row r="15" spans="1:6" x14ac:dyDescent="0.25">
      <c r="A15" s="177">
        <v>43845</v>
      </c>
      <c r="B15" s="175" t="s">
        <v>98</v>
      </c>
      <c r="C15" s="176">
        <v>7932.6</v>
      </c>
      <c r="D15" s="177"/>
      <c r="E15" s="176"/>
      <c r="F15" s="173">
        <f t="shared" si="0"/>
        <v>298654.00999999995</v>
      </c>
    </row>
    <row r="16" spans="1:6" x14ac:dyDescent="0.25">
      <c r="A16" s="177">
        <v>43846</v>
      </c>
      <c r="B16" s="175" t="s">
        <v>99</v>
      </c>
      <c r="C16" s="176">
        <v>2014.8</v>
      </c>
      <c r="D16" s="177"/>
      <c r="E16" s="176"/>
      <c r="F16" s="173">
        <f t="shared" si="0"/>
        <v>300668.80999999994</v>
      </c>
    </row>
    <row r="17" spans="1:6" x14ac:dyDescent="0.25">
      <c r="A17" s="177">
        <v>43846</v>
      </c>
      <c r="B17" s="175" t="s">
        <v>100</v>
      </c>
      <c r="C17" s="176">
        <v>114829.3</v>
      </c>
      <c r="D17" s="177"/>
      <c r="E17" s="176"/>
      <c r="F17" s="173">
        <f t="shared" si="0"/>
        <v>415498.10999999993</v>
      </c>
    </row>
    <row r="18" spans="1:6" x14ac:dyDescent="0.25">
      <c r="A18" s="177">
        <v>43847</v>
      </c>
      <c r="B18" s="175" t="s">
        <v>101</v>
      </c>
      <c r="C18" s="176">
        <v>2560</v>
      </c>
      <c r="D18" s="177"/>
      <c r="E18" s="176"/>
      <c r="F18" s="173">
        <f t="shared" si="0"/>
        <v>418058.10999999993</v>
      </c>
    </row>
    <row r="19" spans="1:6" x14ac:dyDescent="0.25">
      <c r="A19" s="177">
        <v>43847</v>
      </c>
      <c r="B19" s="175" t="s">
        <v>102</v>
      </c>
      <c r="C19" s="176">
        <v>14896</v>
      </c>
      <c r="D19" s="177">
        <v>43848</v>
      </c>
      <c r="E19" s="176">
        <v>432954.11</v>
      </c>
      <c r="F19" s="173">
        <f t="shared" si="0"/>
        <v>0</v>
      </c>
    </row>
    <row r="20" spans="1:6" x14ac:dyDescent="0.25">
      <c r="A20" s="177">
        <v>43848</v>
      </c>
      <c r="B20" s="175" t="s">
        <v>103</v>
      </c>
      <c r="C20" s="176">
        <v>133304</v>
      </c>
      <c r="D20" s="177"/>
      <c r="E20" s="176"/>
      <c r="F20" s="173">
        <f t="shared" si="0"/>
        <v>133304</v>
      </c>
    </row>
    <row r="21" spans="1:6" x14ac:dyDescent="0.25">
      <c r="A21" s="177">
        <v>43848</v>
      </c>
      <c r="B21" s="175" t="s">
        <v>104</v>
      </c>
      <c r="C21" s="176">
        <v>71669.45</v>
      </c>
      <c r="D21" s="177"/>
      <c r="E21" s="176"/>
      <c r="F21" s="173">
        <f t="shared" si="0"/>
        <v>204973.45</v>
      </c>
    </row>
    <row r="22" spans="1:6" x14ac:dyDescent="0.25">
      <c r="A22" s="177">
        <v>43849</v>
      </c>
      <c r="B22" s="175" t="s">
        <v>105</v>
      </c>
      <c r="C22" s="176">
        <v>3967.2</v>
      </c>
      <c r="D22" s="177"/>
      <c r="E22" s="176"/>
      <c r="F22" s="173">
        <f t="shared" si="0"/>
        <v>208940.65000000002</v>
      </c>
    </row>
    <row r="23" spans="1:6" x14ac:dyDescent="0.25">
      <c r="A23" s="177">
        <v>43849</v>
      </c>
      <c r="B23" s="175" t="s">
        <v>106</v>
      </c>
      <c r="C23" s="176">
        <v>2893.2</v>
      </c>
      <c r="D23" s="177"/>
      <c r="E23" s="176"/>
      <c r="F23" s="173">
        <f t="shared" si="0"/>
        <v>211833.85000000003</v>
      </c>
    </row>
    <row r="24" spans="1:6" x14ac:dyDescent="0.25">
      <c r="A24" s="177">
        <v>43851</v>
      </c>
      <c r="B24" s="175" t="s">
        <v>107</v>
      </c>
      <c r="C24" s="176">
        <v>137808.56</v>
      </c>
      <c r="D24" s="177"/>
      <c r="E24" s="176"/>
      <c r="F24" s="173">
        <f t="shared" si="0"/>
        <v>349642.41000000003</v>
      </c>
    </row>
    <row r="25" spans="1:6" x14ac:dyDescent="0.25">
      <c r="A25" s="177">
        <v>43851</v>
      </c>
      <c r="B25" s="175" t="s">
        <v>108</v>
      </c>
      <c r="C25" s="176">
        <v>1036</v>
      </c>
      <c r="D25" s="177">
        <v>43852</v>
      </c>
      <c r="E25" s="176">
        <v>350678.41</v>
      </c>
      <c r="F25" s="173">
        <f t="shared" si="0"/>
        <v>0</v>
      </c>
    </row>
    <row r="26" spans="1:6" x14ac:dyDescent="0.25">
      <c r="A26" s="177">
        <v>43850</v>
      </c>
      <c r="B26" s="175" t="s">
        <v>109</v>
      </c>
      <c r="C26" s="176">
        <v>95296.9</v>
      </c>
      <c r="D26" s="177"/>
      <c r="E26" s="176"/>
      <c r="F26" s="173">
        <f t="shared" si="0"/>
        <v>95296.9</v>
      </c>
    </row>
    <row r="27" spans="1:6" x14ac:dyDescent="0.25">
      <c r="A27" s="177">
        <v>43853</v>
      </c>
      <c r="B27" s="175" t="s">
        <v>110</v>
      </c>
      <c r="C27" s="176">
        <v>114983.8</v>
      </c>
      <c r="D27" s="177"/>
      <c r="E27" s="176"/>
      <c r="F27" s="173">
        <f t="shared" si="0"/>
        <v>210280.7</v>
      </c>
    </row>
    <row r="28" spans="1:6" x14ac:dyDescent="0.25">
      <c r="A28" s="174">
        <v>43854</v>
      </c>
      <c r="B28" s="175" t="s">
        <v>111</v>
      </c>
      <c r="C28" s="176">
        <v>97328.45</v>
      </c>
      <c r="D28" s="177"/>
      <c r="E28" s="176"/>
      <c r="F28" s="173">
        <f t="shared" si="0"/>
        <v>307609.15000000002</v>
      </c>
    </row>
    <row r="29" spans="1:6" x14ac:dyDescent="0.25">
      <c r="A29" s="174">
        <v>43855</v>
      </c>
      <c r="B29" s="175" t="s">
        <v>112</v>
      </c>
      <c r="C29" s="176">
        <v>158655.5</v>
      </c>
      <c r="D29" s="177"/>
      <c r="E29" s="176"/>
      <c r="F29" s="173">
        <f t="shared" si="0"/>
        <v>466264.65</v>
      </c>
    </row>
    <row r="30" spans="1:6" x14ac:dyDescent="0.25">
      <c r="A30" s="174">
        <v>43856</v>
      </c>
      <c r="B30" s="175" t="s">
        <v>113</v>
      </c>
      <c r="C30" s="176">
        <v>1244.4000000000001</v>
      </c>
      <c r="D30" s="177"/>
      <c r="E30" s="176"/>
      <c r="F30" s="173">
        <f t="shared" si="0"/>
        <v>467509.05000000005</v>
      </c>
    </row>
    <row r="31" spans="1:6" x14ac:dyDescent="0.25">
      <c r="A31" s="174">
        <v>43856</v>
      </c>
      <c r="B31" s="175" t="s">
        <v>114</v>
      </c>
      <c r="C31" s="176">
        <v>3303</v>
      </c>
      <c r="D31" s="177"/>
      <c r="E31" s="176"/>
      <c r="F31" s="173">
        <f t="shared" si="0"/>
        <v>470812.05000000005</v>
      </c>
    </row>
    <row r="32" spans="1:6" x14ac:dyDescent="0.25">
      <c r="A32" s="174">
        <v>43857</v>
      </c>
      <c r="B32" s="175" t="s">
        <v>115</v>
      </c>
      <c r="C32" s="176">
        <v>8468.2000000000007</v>
      </c>
      <c r="D32" s="177">
        <v>43857</v>
      </c>
      <c r="E32" s="176">
        <v>479280.25</v>
      </c>
      <c r="F32" s="173">
        <f t="shared" si="0"/>
        <v>0</v>
      </c>
    </row>
    <row r="33" spans="1:6" x14ac:dyDescent="0.25">
      <c r="A33" s="174">
        <v>43858</v>
      </c>
      <c r="B33" s="175" t="s">
        <v>116</v>
      </c>
      <c r="C33" s="176">
        <v>43621.7</v>
      </c>
      <c r="D33" s="177"/>
      <c r="E33" s="176"/>
      <c r="F33" s="173">
        <f t="shared" si="0"/>
        <v>43621.7</v>
      </c>
    </row>
    <row r="34" spans="1:6" x14ac:dyDescent="0.25">
      <c r="A34" s="174">
        <v>43859</v>
      </c>
      <c r="B34" s="175" t="s">
        <v>117</v>
      </c>
      <c r="C34" s="176">
        <v>65222.16</v>
      </c>
      <c r="D34" s="177"/>
      <c r="E34" s="176"/>
      <c r="F34" s="173">
        <f t="shared" si="0"/>
        <v>108843.86</v>
      </c>
    </row>
    <row r="35" spans="1:6" x14ac:dyDescent="0.25">
      <c r="A35" s="174">
        <v>43861</v>
      </c>
      <c r="B35" s="175" t="s">
        <v>118</v>
      </c>
      <c r="C35" s="176">
        <v>7226.75</v>
      </c>
      <c r="D35" s="177"/>
      <c r="E35" s="176"/>
      <c r="F35" s="173">
        <f t="shared" si="0"/>
        <v>116070.61</v>
      </c>
    </row>
    <row r="36" spans="1:6" x14ac:dyDescent="0.25">
      <c r="A36" s="174">
        <v>43861</v>
      </c>
      <c r="B36" s="175" t="s">
        <v>119</v>
      </c>
      <c r="C36" s="176">
        <v>107062.39999999999</v>
      </c>
      <c r="D36" s="177">
        <v>43861</v>
      </c>
      <c r="E36" s="176">
        <v>223133.01</v>
      </c>
      <c r="F36" s="173">
        <f t="shared" si="0"/>
        <v>0</v>
      </c>
    </row>
    <row r="37" spans="1:6" x14ac:dyDescent="0.25">
      <c r="A37" s="174">
        <v>43861</v>
      </c>
      <c r="B37" s="175" t="s">
        <v>122</v>
      </c>
      <c r="C37" s="176">
        <v>11099.6</v>
      </c>
      <c r="D37" s="177"/>
      <c r="E37" s="176"/>
      <c r="F37" s="173">
        <f t="shared" si="0"/>
        <v>11099.6</v>
      </c>
    </row>
    <row r="38" spans="1:6" x14ac:dyDescent="0.25">
      <c r="A38" s="174">
        <v>43862</v>
      </c>
      <c r="B38" s="175" t="s">
        <v>123</v>
      </c>
      <c r="C38" s="176">
        <v>122864.8</v>
      </c>
      <c r="D38" s="177"/>
      <c r="E38" s="176"/>
      <c r="F38" s="173">
        <f t="shared" si="0"/>
        <v>133964.4</v>
      </c>
    </row>
    <row r="39" spans="1:6" x14ac:dyDescent="0.25">
      <c r="A39" s="174">
        <v>43863</v>
      </c>
      <c r="B39" s="175" t="s">
        <v>124</v>
      </c>
      <c r="C39" s="176">
        <v>8621.7999999999993</v>
      </c>
      <c r="D39" s="177"/>
      <c r="E39" s="176"/>
      <c r="F39" s="173">
        <f t="shared" si="0"/>
        <v>142586.19999999998</v>
      </c>
    </row>
    <row r="40" spans="1:6" x14ac:dyDescent="0.25">
      <c r="A40" s="174">
        <v>43864</v>
      </c>
      <c r="B40" s="175" t="s">
        <v>125</v>
      </c>
      <c r="C40" s="176">
        <v>109336</v>
      </c>
      <c r="D40" s="177"/>
      <c r="E40" s="176"/>
      <c r="F40" s="173">
        <f t="shared" si="0"/>
        <v>251922.19999999998</v>
      </c>
    </row>
    <row r="41" spans="1:6" x14ac:dyDescent="0.25">
      <c r="A41" s="174">
        <v>43866</v>
      </c>
      <c r="B41" s="175" t="s">
        <v>126</v>
      </c>
      <c r="C41" s="176">
        <v>85830.3</v>
      </c>
      <c r="D41" s="177"/>
      <c r="E41" s="176"/>
      <c r="F41" s="173">
        <f t="shared" si="0"/>
        <v>337752.5</v>
      </c>
    </row>
    <row r="42" spans="1:6" x14ac:dyDescent="0.25">
      <c r="A42" s="174">
        <v>43867</v>
      </c>
      <c r="B42" s="175" t="s">
        <v>127</v>
      </c>
      <c r="C42" s="176">
        <v>87095.91</v>
      </c>
      <c r="D42" s="177"/>
      <c r="E42" s="176"/>
      <c r="F42" s="173">
        <f t="shared" si="0"/>
        <v>424848.41000000003</v>
      </c>
    </row>
    <row r="43" spans="1:6" x14ac:dyDescent="0.25">
      <c r="A43" s="174">
        <v>43867</v>
      </c>
      <c r="B43" s="175" t="s">
        <v>128</v>
      </c>
      <c r="C43" s="176">
        <v>540</v>
      </c>
      <c r="D43" s="177">
        <v>43869</v>
      </c>
      <c r="E43" s="176">
        <v>425388.41</v>
      </c>
      <c r="F43" s="173">
        <f t="shared" si="0"/>
        <v>0</v>
      </c>
    </row>
    <row r="44" spans="1:6" x14ac:dyDescent="0.25">
      <c r="A44" s="174"/>
      <c r="B44" s="175"/>
      <c r="C44" s="176"/>
      <c r="D44" s="177"/>
      <c r="E44" s="176"/>
      <c r="F44" s="173">
        <f t="shared" si="0"/>
        <v>0</v>
      </c>
    </row>
    <row r="45" spans="1:6" x14ac:dyDescent="0.25">
      <c r="A45" s="174"/>
      <c r="B45" s="175"/>
      <c r="C45" s="176"/>
      <c r="D45" s="177"/>
      <c r="E45" s="176"/>
      <c r="F45" s="173">
        <f t="shared" si="0"/>
        <v>0</v>
      </c>
    </row>
    <row r="46" spans="1:6" x14ac:dyDescent="0.25">
      <c r="A46" s="174"/>
      <c r="B46" s="175"/>
      <c r="C46" s="176">
        <v>0</v>
      </c>
      <c r="D46" s="177"/>
      <c r="E46" s="176"/>
      <c r="F46" s="173">
        <f t="shared" si="0"/>
        <v>0</v>
      </c>
    </row>
    <row r="47" spans="1:6" x14ac:dyDescent="0.25">
      <c r="A47" s="174"/>
      <c r="B47" s="175"/>
      <c r="C47" s="176">
        <v>0</v>
      </c>
      <c r="D47" s="177"/>
      <c r="E47" s="176"/>
      <c r="F47" s="173">
        <f t="shared" si="0"/>
        <v>0</v>
      </c>
    </row>
    <row r="48" spans="1:6" x14ac:dyDescent="0.25">
      <c r="A48" s="174"/>
      <c r="B48" s="175"/>
      <c r="C48" s="176">
        <v>0</v>
      </c>
      <c r="D48" s="177"/>
      <c r="E48" s="176"/>
      <c r="F48" s="173">
        <f t="shared" si="0"/>
        <v>0</v>
      </c>
    </row>
    <row r="49" spans="1:6" x14ac:dyDescent="0.25">
      <c r="A49" s="174"/>
      <c r="B49" s="175"/>
      <c r="C49" s="176">
        <v>0</v>
      </c>
      <c r="D49" s="177"/>
      <c r="E49" s="176"/>
      <c r="F49" s="173">
        <f t="shared" si="0"/>
        <v>0</v>
      </c>
    </row>
    <row r="50" spans="1:6" ht="15.75" thickBot="1" x14ac:dyDescent="0.3">
      <c r="A50" s="178"/>
      <c r="B50" s="179"/>
      <c r="C50" s="104">
        <v>0</v>
      </c>
      <c r="D50" s="180"/>
      <c r="E50" s="104"/>
      <c r="F50" s="173">
        <f t="shared" si="0"/>
        <v>0</v>
      </c>
    </row>
    <row r="51" spans="1:6" ht="19.5" thickTop="1" x14ac:dyDescent="0.3">
      <c r="B51" s="59"/>
      <c r="C51" s="4">
        <f>SUM(C3:C50)</f>
        <v>2518468.4499999993</v>
      </c>
      <c r="D51" s="1"/>
      <c r="E51" s="4">
        <f>SUM(E3:E50)</f>
        <v>2518468.4500000002</v>
      </c>
      <c r="F51" s="181">
        <f>F50</f>
        <v>0</v>
      </c>
    </row>
    <row r="52" spans="1:6" x14ac:dyDescent="0.25">
      <c r="B52" s="59"/>
      <c r="C52" s="4"/>
      <c r="D52" s="1"/>
      <c r="E52" s="8"/>
      <c r="F52" s="4"/>
    </row>
    <row r="53" spans="1:6" x14ac:dyDescent="0.25">
      <c r="B53" s="59"/>
      <c r="C53" s="4"/>
      <c r="D53" s="1"/>
      <c r="E53" s="8"/>
      <c r="F53" s="4"/>
    </row>
    <row r="54" spans="1:6" x14ac:dyDescent="0.25">
      <c r="A54"/>
      <c r="B54" s="30"/>
      <c r="D54" s="30"/>
    </row>
    <row r="55" spans="1:6" x14ac:dyDescent="0.25">
      <c r="A55"/>
      <c r="B55" s="30"/>
      <c r="D55" s="30"/>
    </row>
    <row r="56" spans="1:6" x14ac:dyDescent="0.25">
      <c r="A56"/>
      <c r="B56" s="30"/>
      <c r="D56" s="30"/>
    </row>
    <row r="57" spans="1:6" x14ac:dyDescent="0.25">
      <c r="A57"/>
      <c r="B57" s="30"/>
      <c r="D57" s="30"/>
      <c r="F57"/>
    </row>
    <row r="58" spans="1:6" x14ac:dyDescent="0.25">
      <c r="A58"/>
      <c r="B58" s="30"/>
      <c r="D58" s="30"/>
      <c r="F58"/>
    </row>
    <row r="59" spans="1:6" x14ac:dyDescent="0.25">
      <c r="A59"/>
      <c r="B59" s="30"/>
      <c r="D59" s="30"/>
      <c r="F59"/>
    </row>
    <row r="60" spans="1:6" x14ac:dyDescent="0.25">
      <c r="A60"/>
      <c r="B60" s="30"/>
      <c r="D60" s="30"/>
      <c r="F60"/>
    </row>
    <row r="61" spans="1:6" x14ac:dyDescent="0.25">
      <c r="A61"/>
      <c r="B61" s="30"/>
      <c r="D61" s="30"/>
      <c r="F61"/>
    </row>
    <row r="62" spans="1:6" x14ac:dyDescent="0.25">
      <c r="A62"/>
      <c r="B62" s="30"/>
      <c r="D62" s="30"/>
      <c r="F62"/>
    </row>
    <row r="63" spans="1:6" x14ac:dyDescent="0.25">
      <c r="A63"/>
      <c r="B63" s="30"/>
      <c r="D63" s="30"/>
      <c r="F63"/>
    </row>
    <row r="64" spans="1:6" x14ac:dyDescent="0.25">
      <c r="A64"/>
      <c r="B64" s="30"/>
      <c r="D64" s="30"/>
      <c r="F64"/>
    </row>
    <row r="65" spans="1:6" x14ac:dyDescent="0.25">
      <c r="A65"/>
      <c r="B65" s="30"/>
      <c r="D65" s="30"/>
      <c r="F65"/>
    </row>
    <row r="66" spans="1:6" x14ac:dyDescent="0.25">
      <c r="A66"/>
      <c r="B66" s="30"/>
      <c r="D66" s="30"/>
      <c r="E66"/>
      <c r="F66"/>
    </row>
    <row r="67" spans="1:6" x14ac:dyDescent="0.25">
      <c r="A67"/>
      <c r="B67" s="30"/>
      <c r="D67" s="30"/>
      <c r="E67"/>
      <c r="F67"/>
    </row>
    <row r="68" spans="1:6" x14ac:dyDescent="0.25">
      <c r="A68"/>
      <c r="B68" s="30"/>
      <c r="D68" s="30"/>
      <c r="E68"/>
      <c r="F68"/>
    </row>
    <row r="69" spans="1:6" x14ac:dyDescent="0.25">
      <c r="A69"/>
      <c r="B69" s="30"/>
      <c r="D69" s="30"/>
      <c r="E69"/>
      <c r="F69"/>
    </row>
    <row r="70" spans="1:6" x14ac:dyDescent="0.25">
      <c r="A70"/>
      <c r="B70" s="30"/>
      <c r="D70" s="30"/>
      <c r="E70"/>
      <c r="F70"/>
    </row>
    <row r="71" spans="1:6" x14ac:dyDescent="0.25">
      <c r="A71"/>
      <c r="B71" s="30"/>
      <c r="D71" s="30"/>
      <c r="E71"/>
      <c r="F71"/>
    </row>
    <row r="72" spans="1:6" x14ac:dyDescent="0.25">
      <c r="B72" s="30"/>
      <c r="D72" s="30"/>
      <c r="E72"/>
    </row>
    <row r="73" spans="1:6" x14ac:dyDescent="0.25">
      <c r="B73" s="30"/>
      <c r="D73" s="30"/>
      <c r="E73"/>
    </row>
    <row r="74" spans="1:6" x14ac:dyDescent="0.25">
      <c r="B74" s="30"/>
      <c r="D74" s="30"/>
      <c r="E74"/>
    </row>
    <row r="75" spans="1:6" x14ac:dyDescent="0.25">
      <c r="B75" s="30"/>
      <c r="D75" s="30"/>
      <c r="E75"/>
    </row>
    <row r="76" spans="1:6" x14ac:dyDescent="0.25">
      <c r="B76" s="30"/>
      <c r="D76" s="30"/>
      <c r="E76"/>
    </row>
    <row r="77" spans="1:6" x14ac:dyDescent="0.25">
      <c r="B77" s="30"/>
      <c r="D77" s="30"/>
      <c r="E77"/>
    </row>
    <row r="78" spans="1:6" x14ac:dyDescent="0.25">
      <c r="B78" s="30"/>
      <c r="D78" s="30"/>
      <c r="E78"/>
    </row>
    <row r="79" spans="1:6" x14ac:dyDescent="0.25">
      <c r="B79" s="30"/>
      <c r="D79" s="30"/>
      <c r="E79"/>
    </row>
    <row r="80" spans="1:6" x14ac:dyDescent="0.25">
      <c r="B80" s="30"/>
      <c r="D80" s="30"/>
      <c r="E80"/>
    </row>
    <row r="81" spans="2:4" x14ac:dyDescent="0.25">
      <c r="B81" s="30"/>
    </row>
    <row r="82" spans="2:4" x14ac:dyDescent="0.25">
      <c r="B82" s="30"/>
    </row>
    <row r="83" spans="2:4" x14ac:dyDescent="0.25">
      <c r="B83" s="30"/>
      <c r="D83" s="30"/>
    </row>
    <row r="84" spans="2:4" x14ac:dyDescent="0.25">
      <c r="B84" s="30"/>
    </row>
    <row r="85" spans="2:4" x14ac:dyDescent="0.25">
      <c r="B85" s="30"/>
    </row>
    <row r="86" spans="2:4" x14ac:dyDescent="0.25">
      <c r="B86" s="30"/>
    </row>
    <row r="87" spans="2:4" ht="18.75" x14ac:dyDescent="0.3">
      <c r="C87" s="14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5AD89-C4EF-4A69-A200-C4E97362FA53}">
  <sheetPr>
    <tabColor theme="7" tint="-0.249977111117893"/>
  </sheetPr>
  <dimension ref="A1:AG80"/>
  <sheetViews>
    <sheetView topLeftCell="A22" workbookViewId="0">
      <selection activeCell="P42" sqref="P42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16" customWidth="1"/>
    <col min="4" max="4" width="15.28515625" customWidth="1"/>
    <col min="6" max="6" width="17.85546875" style="16" customWidth="1"/>
    <col min="7" max="7" width="2.85546875" customWidth="1"/>
    <col min="9" max="9" width="12.140625" style="16" customWidth="1"/>
    <col min="10" max="10" width="11.7109375" style="16" customWidth="1"/>
    <col min="11" max="11" width="17.28515625" customWidth="1"/>
    <col min="12" max="12" width="14.5703125" customWidth="1"/>
    <col min="13" max="13" width="18.140625" style="16" customWidth="1"/>
    <col min="14" max="14" width="14.42578125" style="4" customWidth="1"/>
    <col min="15" max="15" width="4.140625" style="4" customWidth="1"/>
    <col min="16" max="16" width="15.5703125" style="5" bestFit="1" customWidth="1"/>
    <col min="17" max="17" width="14.42578125" style="5" customWidth="1"/>
    <col min="18" max="18" width="4.140625" style="5" customWidth="1"/>
    <col min="19" max="19" width="16.28515625" style="6" bestFit="1" customWidth="1"/>
    <col min="20" max="20" width="14.140625" customWidth="1"/>
    <col min="21" max="21" width="5.85546875" customWidth="1"/>
    <col min="22" max="22" width="13.85546875" customWidth="1"/>
    <col min="24" max="24" width="15.85546875" bestFit="1" customWidth="1"/>
    <col min="25" max="25" width="14.85546875" customWidth="1"/>
    <col min="26" max="26" width="15.140625" customWidth="1"/>
    <col min="27" max="27" width="18.5703125" style="7" customWidth="1"/>
    <col min="28" max="28" width="11.42578125" style="222"/>
    <col min="29" max="29" width="14.7109375" customWidth="1"/>
    <col min="30" max="30" width="11.42578125" style="152"/>
    <col min="31" max="31" width="10.5703125" customWidth="1"/>
    <col min="32" max="32" width="17.140625" bestFit="1" customWidth="1"/>
    <col min="33" max="33" width="13.42578125" customWidth="1"/>
  </cols>
  <sheetData>
    <row r="1" spans="1:33" ht="20.25" customHeight="1" thickBot="1" x14ac:dyDescent="0.4">
      <c r="C1" s="344" t="s">
        <v>136</v>
      </c>
      <c r="D1" s="344"/>
      <c r="E1" s="344"/>
      <c r="F1" s="344"/>
      <c r="G1" s="344"/>
      <c r="H1" s="344"/>
      <c r="I1" s="344"/>
      <c r="J1" s="344"/>
      <c r="K1" s="344"/>
      <c r="L1" s="2"/>
      <c r="M1" s="3"/>
      <c r="AF1" s="358" t="s">
        <v>45</v>
      </c>
      <c r="AG1" s="359"/>
    </row>
    <row r="2" spans="1:33" ht="18" customHeight="1" thickBot="1" x14ac:dyDescent="0.35">
      <c r="C2" s="8"/>
      <c r="E2" s="379" t="s">
        <v>190</v>
      </c>
      <c r="F2" s="379"/>
      <c r="H2" s="233" t="s">
        <v>0</v>
      </c>
      <c r="I2" s="3"/>
      <c r="J2" s="3"/>
      <c r="K2" s="152"/>
      <c r="L2" s="152"/>
      <c r="M2" s="3"/>
      <c r="N2" s="5"/>
      <c r="O2" s="5"/>
      <c r="W2" s="366" t="s">
        <v>4</v>
      </c>
      <c r="X2" s="367"/>
      <c r="AA2" s="363" t="s">
        <v>43</v>
      </c>
      <c r="AB2" s="364"/>
      <c r="AC2" s="365"/>
      <c r="AE2" s="193" t="s">
        <v>44</v>
      </c>
      <c r="AF2" s="360"/>
      <c r="AG2" s="361"/>
    </row>
    <row r="3" spans="1:33" ht="18" customHeight="1" thickBot="1" x14ac:dyDescent="0.35">
      <c r="B3" s="345" t="s">
        <v>1</v>
      </c>
      <c r="C3" s="346"/>
      <c r="D3" s="15"/>
      <c r="E3" s="380"/>
      <c r="F3" s="380"/>
      <c r="I3" s="234" t="s">
        <v>2</v>
      </c>
      <c r="J3" s="235"/>
      <c r="K3" s="236" t="s">
        <v>191</v>
      </c>
      <c r="L3" s="236"/>
      <c r="W3" s="368"/>
      <c r="X3" s="369"/>
      <c r="Y3" s="195" t="s">
        <v>37</v>
      </c>
      <c r="AA3" s="19" t="s">
        <v>49</v>
      </c>
      <c r="AB3" s="167">
        <v>43840</v>
      </c>
      <c r="AC3" s="21">
        <v>2000</v>
      </c>
      <c r="AE3" s="89"/>
      <c r="AF3" s="194"/>
      <c r="AG3" s="75">
        <v>0</v>
      </c>
    </row>
    <row r="4" spans="1:33" ht="20.25" thickTop="1" thickBot="1" x14ac:dyDescent="0.35">
      <c r="A4" s="22" t="s">
        <v>5</v>
      </c>
      <c r="B4" s="23"/>
      <c r="C4" s="216">
        <v>355209.27</v>
      </c>
      <c r="D4" s="215">
        <v>43867</v>
      </c>
      <c r="E4" s="347" t="s">
        <v>6</v>
      </c>
      <c r="F4" s="348"/>
      <c r="H4" s="349" t="s">
        <v>7</v>
      </c>
      <c r="I4" s="350"/>
      <c r="J4" s="24"/>
      <c r="K4" s="24"/>
      <c r="L4" s="24"/>
      <c r="M4" s="25" t="s">
        <v>8</v>
      </c>
      <c r="N4" s="26" t="s">
        <v>9</v>
      </c>
      <c r="O4" s="27"/>
      <c r="P4" s="27"/>
      <c r="Q4" s="28"/>
      <c r="R4" s="28"/>
      <c r="V4" s="29">
        <v>43840</v>
      </c>
      <c r="W4" s="199" t="s">
        <v>11</v>
      </c>
      <c r="X4" s="196">
        <v>5010</v>
      </c>
      <c r="Y4" s="197"/>
      <c r="AA4" s="19" t="s">
        <v>50</v>
      </c>
      <c r="AB4" s="167">
        <v>43844</v>
      </c>
      <c r="AC4" s="21">
        <v>2000</v>
      </c>
      <c r="AE4" s="89"/>
      <c r="AF4" s="20"/>
      <c r="AG4" s="78">
        <v>0</v>
      </c>
    </row>
    <row r="5" spans="1:33" ht="15.75" thickBot="1" x14ac:dyDescent="0.3">
      <c r="A5" s="30" t="s">
        <v>12</v>
      </c>
      <c r="B5" s="149">
        <v>43868</v>
      </c>
      <c r="C5" s="31">
        <v>2409</v>
      </c>
      <c r="D5" s="150" t="s">
        <v>142</v>
      </c>
      <c r="E5" s="151">
        <v>43868</v>
      </c>
      <c r="F5" s="32">
        <v>107443</v>
      </c>
      <c r="G5" s="152"/>
      <c r="H5" s="153">
        <v>43868</v>
      </c>
      <c r="I5" s="33">
        <v>12921</v>
      </c>
      <c r="M5" s="34">
        <v>90780</v>
      </c>
      <c r="N5" s="35">
        <v>2259</v>
      </c>
      <c r="O5" s="36"/>
      <c r="P5" s="36">
        <f>C5+I5+M5+N5</f>
        <v>108369</v>
      </c>
      <c r="Q5" s="198">
        <f>P5-F5</f>
        <v>926</v>
      </c>
      <c r="R5" s="198"/>
      <c r="T5" s="37"/>
      <c r="U5" s="37"/>
      <c r="V5" s="29">
        <v>43840</v>
      </c>
      <c r="W5" s="38" t="s">
        <v>10</v>
      </c>
      <c r="X5" s="196">
        <v>5010</v>
      </c>
      <c r="Y5" s="197"/>
      <c r="AA5" s="19" t="s">
        <v>51</v>
      </c>
      <c r="AB5" s="167">
        <v>43854</v>
      </c>
      <c r="AC5" s="21">
        <v>2000</v>
      </c>
      <c r="AE5" s="89"/>
      <c r="AF5" s="20"/>
      <c r="AG5" s="78">
        <v>0</v>
      </c>
    </row>
    <row r="6" spans="1:33" ht="15.75" thickBot="1" x14ac:dyDescent="0.3">
      <c r="A6" s="30"/>
      <c r="B6" s="149">
        <v>43869</v>
      </c>
      <c r="C6" s="31">
        <v>2754</v>
      </c>
      <c r="D6" s="154" t="s">
        <v>83</v>
      </c>
      <c r="E6" s="151">
        <v>43869</v>
      </c>
      <c r="F6" s="32">
        <v>111950</v>
      </c>
      <c r="G6" s="152"/>
      <c r="H6" s="153">
        <v>43869</v>
      </c>
      <c r="I6" s="39">
        <v>100</v>
      </c>
      <c r="J6" s="40"/>
      <c r="K6" s="41"/>
      <c r="L6" s="42"/>
      <c r="M6" s="34">
        <v>94000</v>
      </c>
      <c r="N6" s="35">
        <v>3547</v>
      </c>
      <c r="O6" s="36" t="s">
        <v>12</v>
      </c>
      <c r="P6" s="36">
        <f>C6+I6+M6+N6+L12</f>
        <v>122237.31</v>
      </c>
      <c r="Q6" s="201">
        <f>P6-F6</f>
        <v>10287.309999999998</v>
      </c>
      <c r="T6" s="37"/>
      <c r="U6" s="37"/>
      <c r="V6" s="43">
        <v>43847</v>
      </c>
      <c r="W6" s="44" t="s">
        <v>11</v>
      </c>
      <c r="X6" s="196">
        <v>5010</v>
      </c>
      <c r="Y6" s="197"/>
      <c r="AA6" s="19" t="s">
        <v>52</v>
      </c>
      <c r="AB6" s="167">
        <v>43860</v>
      </c>
      <c r="AC6" s="21">
        <v>2000</v>
      </c>
      <c r="AE6" s="89"/>
      <c r="AF6" s="20"/>
      <c r="AG6" s="78">
        <v>0</v>
      </c>
    </row>
    <row r="7" spans="1:33" ht="16.5" thickBot="1" x14ac:dyDescent="0.3">
      <c r="A7" s="30"/>
      <c r="B7" s="149">
        <v>43870</v>
      </c>
      <c r="C7" s="31">
        <v>0</v>
      </c>
      <c r="D7" s="155"/>
      <c r="E7" s="151">
        <v>43870</v>
      </c>
      <c r="F7" s="32">
        <v>81407</v>
      </c>
      <c r="G7" s="152"/>
      <c r="H7" s="153">
        <v>43870</v>
      </c>
      <c r="I7" s="39">
        <v>0</v>
      </c>
      <c r="J7" s="45">
        <v>43880</v>
      </c>
      <c r="K7" s="46" t="s">
        <v>13</v>
      </c>
      <c r="L7" s="47">
        <v>896</v>
      </c>
      <c r="M7" s="34">
        <v>77463</v>
      </c>
      <c r="N7" s="35">
        <v>3944</v>
      </c>
      <c r="O7" s="36"/>
      <c r="P7" s="36">
        <f>C7+I7+M7+N7</f>
        <v>81407</v>
      </c>
      <c r="Q7" s="5">
        <f t="shared" ref="Q7:Q11" si="0">P7-F7</f>
        <v>0</v>
      </c>
      <c r="S7" s="5"/>
      <c r="T7" s="4"/>
      <c r="U7" s="4"/>
      <c r="V7" s="48">
        <v>43847</v>
      </c>
      <c r="W7" s="38" t="s">
        <v>10</v>
      </c>
      <c r="X7" s="196">
        <v>5010</v>
      </c>
      <c r="Y7" s="197"/>
      <c r="AA7" s="19" t="s">
        <v>53</v>
      </c>
      <c r="AB7" s="167">
        <v>43868</v>
      </c>
      <c r="AC7" s="21">
        <v>2000</v>
      </c>
      <c r="AE7" s="89"/>
      <c r="AF7" s="20"/>
      <c r="AG7" s="78">
        <v>0</v>
      </c>
    </row>
    <row r="8" spans="1:33" ht="16.5" thickBot="1" x14ac:dyDescent="0.3">
      <c r="A8" s="30"/>
      <c r="B8" s="149">
        <v>43871</v>
      </c>
      <c r="C8" s="31">
        <v>2727</v>
      </c>
      <c r="D8" s="156" t="s">
        <v>168</v>
      </c>
      <c r="E8" s="151">
        <v>43871</v>
      </c>
      <c r="F8" s="32">
        <v>96558</v>
      </c>
      <c r="G8" s="152"/>
      <c r="H8" s="153">
        <v>43871</v>
      </c>
      <c r="I8" s="39">
        <v>0</v>
      </c>
      <c r="J8" s="203"/>
      <c r="K8" s="49" t="s">
        <v>14</v>
      </c>
      <c r="L8" s="50">
        <v>0</v>
      </c>
      <c r="M8" s="34">
        <f>32921+66615</f>
        <v>99536</v>
      </c>
      <c r="N8" s="35">
        <v>539</v>
      </c>
      <c r="O8" s="36"/>
      <c r="P8" s="36">
        <f>C8+I8+M8+N8</f>
        <v>102802</v>
      </c>
      <c r="Q8" s="198">
        <f t="shared" si="0"/>
        <v>6244</v>
      </c>
      <c r="S8" s="5"/>
      <c r="T8" s="4"/>
      <c r="U8" s="4"/>
      <c r="V8" s="29">
        <v>43854</v>
      </c>
      <c r="W8" s="44" t="s">
        <v>11</v>
      </c>
      <c r="X8" s="196">
        <v>5010</v>
      </c>
      <c r="Y8" s="197"/>
      <c r="Z8" s="223" t="s">
        <v>170</v>
      </c>
      <c r="AA8" s="19" t="s">
        <v>54</v>
      </c>
      <c r="AB8" s="167">
        <v>43875</v>
      </c>
      <c r="AC8" s="21">
        <v>2000</v>
      </c>
      <c r="AE8" s="89"/>
      <c r="AF8" s="20"/>
      <c r="AG8" s="78">
        <v>0</v>
      </c>
    </row>
    <row r="9" spans="1:33" ht="16.5" thickBot="1" x14ac:dyDescent="0.3">
      <c r="A9" s="30"/>
      <c r="B9" s="149">
        <v>43872</v>
      </c>
      <c r="C9" s="31">
        <v>12922.9</v>
      </c>
      <c r="D9" s="157" t="s">
        <v>169</v>
      </c>
      <c r="E9" s="151">
        <v>43872</v>
      </c>
      <c r="F9" s="32">
        <v>62266</v>
      </c>
      <c r="G9" s="152"/>
      <c r="H9" s="153">
        <v>43872</v>
      </c>
      <c r="I9" s="39">
        <v>0</v>
      </c>
      <c r="J9" s="51">
        <v>43890</v>
      </c>
      <c r="K9" s="20" t="s">
        <v>15</v>
      </c>
      <c r="L9" s="52">
        <v>20000</v>
      </c>
      <c r="M9" s="34">
        <v>50983</v>
      </c>
      <c r="N9" s="35">
        <v>784</v>
      </c>
      <c r="O9" s="36"/>
      <c r="P9" s="36">
        <f>C9+I9+M9+N9</f>
        <v>64689.9</v>
      </c>
      <c r="Q9" s="198">
        <f t="shared" si="0"/>
        <v>2423.9000000000015</v>
      </c>
      <c r="R9" s="5" t="s">
        <v>12</v>
      </c>
      <c r="S9" s="5"/>
      <c r="T9" s="4"/>
      <c r="U9" s="4"/>
      <c r="V9" s="48">
        <v>43854</v>
      </c>
      <c r="W9" s="38" t="s">
        <v>10</v>
      </c>
      <c r="X9" s="196">
        <v>5010</v>
      </c>
      <c r="Y9" s="197"/>
      <c r="AA9" s="19" t="s">
        <v>55</v>
      </c>
      <c r="AB9" s="167">
        <v>43880</v>
      </c>
      <c r="AC9" s="21">
        <v>2000</v>
      </c>
      <c r="AE9" s="89"/>
      <c r="AF9" s="20"/>
      <c r="AG9" s="78">
        <v>0</v>
      </c>
    </row>
    <row r="10" spans="1:33" ht="16.5" thickBot="1" x14ac:dyDescent="0.3">
      <c r="A10" s="30"/>
      <c r="B10" s="149">
        <v>43873</v>
      </c>
      <c r="C10" s="31">
        <v>1212</v>
      </c>
      <c r="D10" s="154" t="s">
        <v>73</v>
      </c>
      <c r="E10" s="151">
        <v>43873</v>
      </c>
      <c r="F10" s="32">
        <v>78137</v>
      </c>
      <c r="G10" s="152"/>
      <c r="H10" s="153">
        <v>43873</v>
      </c>
      <c r="I10" s="39">
        <v>0</v>
      </c>
      <c r="J10" s="53"/>
      <c r="K10" s="54"/>
      <c r="L10" s="55"/>
      <c r="M10" s="34">
        <f>74850+20950</f>
        <v>95800</v>
      </c>
      <c r="N10" s="35">
        <v>2026</v>
      </c>
      <c r="O10" s="36"/>
      <c r="P10" s="36">
        <f>C10+I10+M10+N10+L11</f>
        <v>99038</v>
      </c>
      <c r="Q10" s="198">
        <f t="shared" si="0"/>
        <v>20901</v>
      </c>
      <c r="T10" s="37"/>
      <c r="U10" s="37"/>
      <c r="V10" s="29">
        <v>43861</v>
      </c>
      <c r="W10" s="44" t="s">
        <v>11</v>
      </c>
      <c r="X10" s="196">
        <v>5010</v>
      </c>
      <c r="Y10" s="197"/>
      <c r="AA10" s="19" t="s">
        <v>56</v>
      </c>
      <c r="AB10" s="167">
        <v>43887</v>
      </c>
      <c r="AC10" s="21">
        <v>2000</v>
      </c>
      <c r="AE10" s="89"/>
      <c r="AF10" s="20"/>
      <c r="AG10" s="78">
        <v>0</v>
      </c>
    </row>
    <row r="11" spans="1:33" ht="15.75" thickBot="1" x14ac:dyDescent="0.3">
      <c r="A11" s="30"/>
      <c r="B11" s="149">
        <v>43874</v>
      </c>
      <c r="C11" s="31">
        <v>1046</v>
      </c>
      <c r="D11" s="154" t="s">
        <v>72</v>
      </c>
      <c r="E11" s="151">
        <v>43874</v>
      </c>
      <c r="F11" s="32">
        <v>72949</v>
      </c>
      <c r="G11" s="152"/>
      <c r="H11" s="153">
        <v>43874</v>
      </c>
      <c r="I11" s="39">
        <v>0</v>
      </c>
      <c r="J11" s="56"/>
      <c r="K11" s="57"/>
      <c r="L11" s="55"/>
      <c r="M11" s="34">
        <v>70313</v>
      </c>
      <c r="N11" s="35">
        <v>1590</v>
      </c>
      <c r="O11" s="36"/>
      <c r="P11" s="36">
        <f>C11+I11+M11+N11</f>
        <v>72949</v>
      </c>
      <c r="Q11" s="5">
        <f t="shared" si="0"/>
        <v>0</v>
      </c>
      <c r="S11" s="58">
        <v>0</v>
      </c>
      <c r="T11" s="37"/>
      <c r="U11" s="37"/>
      <c r="V11" s="29">
        <v>43861</v>
      </c>
      <c r="W11" s="38" t="s">
        <v>10</v>
      </c>
      <c r="X11" s="196">
        <v>5010</v>
      </c>
      <c r="Y11" s="197"/>
      <c r="AA11" s="19" t="s">
        <v>57</v>
      </c>
      <c r="AB11" s="29"/>
      <c r="AC11" s="21">
        <v>0</v>
      </c>
      <c r="AE11" s="89"/>
      <c r="AF11" s="20"/>
      <c r="AG11" s="78">
        <v>0</v>
      </c>
    </row>
    <row r="12" spans="1:33" ht="15.75" thickBot="1" x14ac:dyDescent="0.3">
      <c r="A12" s="30"/>
      <c r="B12" s="149">
        <v>43875</v>
      </c>
      <c r="C12" s="31">
        <v>765</v>
      </c>
      <c r="D12" s="154" t="s">
        <v>72</v>
      </c>
      <c r="E12" s="151">
        <v>43875</v>
      </c>
      <c r="F12" s="32">
        <v>145714</v>
      </c>
      <c r="G12" s="152"/>
      <c r="H12" s="153">
        <v>43875</v>
      </c>
      <c r="I12" s="39">
        <v>12058</v>
      </c>
      <c r="J12" s="60">
        <v>43869</v>
      </c>
      <c r="K12" s="20" t="s">
        <v>32</v>
      </c>
      <c r="L12" s="55">
        <f>15502.64+400+4000+1933.67</f>
        <v>21836.309999999998</v>
      </c>
      <c r="M12" s="34">
        <v>126480</v>
      </c>
      <c r="N12" s="35">
        <v>6411</v>
      </c>
      <c r="O12" s="36"/>
      <c r="P12" s="36">
        <f>C12+I12+M12+N12</f>
        <v>145714</v>
      </c>
      <c r="Q12" s="5">
        <f>P12-F12</f>
        <v>0</v>
      </c>
      <c r="S12" s="58">
        <v>10287.31</v>
      </c>
      <c r="T12" s="61" t="s">
        <v>32</v>
      </c>
      <c r="U12" s="61"/>
      <c r="V12" s="29">
        <v>43868</v>
      </c>
      <c r="W12" s="44" t="s">
        <v>11</v>
      </c>
      <c r="X12" s="196">
        <v>5010</v>
      </c>
      <c r="Y12" s="197"/>
      <c r="AA12" s="19" t="s">
        <v>58</v>
      </c>
      <c r="AB12" s="167"/>
      <c r="AC12" s="21">
        <v>0</v>
      </c>
      <c r="AE12" s="41"/>
      <c r="AF12" s="20"/>
      <c r="AG12" s="78">
        <v>0</v>
      </c>
    </row>
    <row r="13" spans="1:33" ht="15.75" thickBot="1" x14ac:dyDescent="0.3">
      <c r="A13" s="30"/>
      <c r="B13" s="149">
        <v>43876</v>
      </c>
      <c r="C13" s="31">
        <v>2230</v>
      </c>
      <c r="D13" s="156" t="s">
        <v>83</v>
      </c>
      <c r="E13" s="151">
        <v>43876</v>
      </c>
      <c r="F13" s="32">
        <v>157236</v>
      </c>
      <c r="G13" s="152"/>
      <c r="H13" s="153">
        <v>43876</v>
      </c>
      <c r="I13" s="39">
        <v>2853.6</v>
      </c>
      <c r="J13" s="60">
        <v>43876</v>
      </c>
      <c r="K13" s="20" t="s">
        <v>33</v>
      </c>
      <c r="L13" s="55">
        <f>15002.67+5010.2+4000+400</f>
        <v>24412.87</v>
      </c>
      <c r="M13" s="34">
        <f>121478+10574+3796.57</f>
        <v>135848.57</v>
      </c>
      <c r="N13" s="35">
        <v>4465</v>
      </c>
      <c r="O13" s="36"/>
      <c r="P13" s="36">
        <f>C13+I13+M13+N13+L13</f>
        <v>169810.04</v>
      </c>
      <c r="Q13" s="201">
        <f>P13-F13</f>
        <v>12574.040000000008</v>
      </c>
      <c r="S13" s="58">
        <v>12574.04</v>
      </c>
      <c r="T13" s="61" t="s">
        <v>33</v>
      </c>
      <c r="U13" s="61"/>
      <c r="V13" s="29">
        <v>43868</v>
      </c>
      <c r="W13" s="38" t="s">
        <v>10</v>
      </c>
      <c r="X13" s="196">
        <v>5010</v>
      </c>
      <c r="Y13" s="197"/>
      <c r="AA13" s="19" t="s">
        <v>59</v>
      </c>
      <c r="AB13" s="167"/>
      <c r="AC13" s="21">
        <v>0</v>
      </c>
    </row>
    <row r="14" spans="1:33" ht="15.75" thickBot="1" x14ac:dyDescent="0.3">
      <c r="A14" s="30"/>
      <c r="B14" s="149">
        <v>43877</v>
      </c>
      <c r="C14" s="31">
        <v>3060</v>
      </c>
      <c r="D14" s="155" t="s">
        <v>171</v>
      </c>
      <c r="E14" s="151">
        <v>43877</v>
      </c>
      <c r="F14" s="32">
        <v>110400</v>
      </c>
      <c r="G14" s="152"/>
      <c r="H14" s="153">
        <v>43877</v>
      </c>
      <c r="I14" s="39">
        <v>0</v>
      </c>
      <c r="J14" s="60">
        <v>43883</v>
      </c>
      <c r="K14" s="20" t="s">
        <v>137</v>
      </c>
      <c r="L14" s="55">
        <f>13295.5+1928.57+400+4000</f>
        <v>19624.07</v>
      </c>
      <c r="M14" s="34">
        <v>105942</v>
      </c>
      <c r="N14" s="35">
        <v>1398</v>
      </c>
      <c r="O14" s="36"/>
      <c r="P14" s="36">
        <f>C14+I14+M14+N14+L20</f>
        <v>110400</v>
      </c>
      <c r="Q14" s="5">
        <f>P14-F14</f>
        <v>0</v>
      </c>
      <c r="S14" s="58">
        <v>9209.07</v>
      </c>
      <c r="T14" s="61" t="s">
        <v>137</v>
      </c>
      <c r="U14" s="61"/>
      <c r="V14" s="29">
        <v>43875</v>
      </c>
      <c r="W14" s="44" t="s">
        <v>11</v>
      </c>
      <c r="X14" s="196">
        <v>5010</v>
      </c>
      <c r="Y14" s="197"/>
      <c r="AA14" s="19" t="s">
        <v>60</v>
      </c>
      <c r="AB14" s="167"/>
      <c r="AC14" s="21">
        <v>0</v>
      </c>
    </row>
    <row r="15" spans="1:33" ht="15.75" thickBot="1" x14ac:dyDescent="0.3">
      <c r="A15" s="30"/>
      <c r="B15" s="149">
        <v>43878</v>
      </c>
      <c r="C15" s="31">
        <v>3416</v>
      </c>
      <c r="D15" s="154" t="s">
        <v>172</v>
      </c>
      <c r="E15" s="151">
        <v>43878</v>
      </c>
      <c r="F15" s="32">
        <v>87481</v>
      </c>
      <c r="G15" s="152"/>
      <c r="H15" s="153">
        <v>43878</v>
      </c>
      <c r="I15" s="39">
        <v>0</v>
      </c>
      <c r="J15" s="60">
        <v>43890</v>
      </c>
      <c r="K15" s="20" t="s">
        <v>138</v>
      </c>
      <c r="L15" s="55">
        <f>12164.45+400+4000</f>
        <v>16564.45</v>
      </c>
      <c r="M15" s="34">
        <v>82750</v>
      </c>
      <c r="N15" s="35">
        <v>1320</v>
      </c>
      <c r="O15" s="36"/>
      <c r="P15" s="36">
        <f>C15+I15+M15+N15</f>
        <v>87486</v>
      </c>
      <c r="Q15" s="224">
        <f t="shared" ref="Q15:Q31" si="1">P15-F15</f>
        <v>5</v>
      </c>
      <c r="S15" s="58">
        <v>10113.450000000001</v>
      </c>
      <c r="T15" s="61" t="s">
        <v>138</v>
      </c>
      <c r="U15" s="61"/>
      <c r="V15" s="29">
        <v>43875</v>
      </c>
      <c r="W15" s="38" t="s">
        <v>10</v>
      </c>
      <c r="X15" s="196">
        <v>5010</v>
      </c>
      <c r="Y15" s="197"/>
      <c r="AA15" s="19" t="s">
        <v>61</v>
      </c>
      <c r="AB15" s="167"/>
      <c r="AC15" s="21">
        <v>0</v>
      </c>
    </row>
    <row r="16" spans="1:33" ht="15.75" thickBot="1" x14ac:dyDescent="0.3">
      <c r="A16" s="30"/>
      <c r="B16" s="149">
        <v>43879</v>
      </c>
      <c r="C16" s="31">
        <v>1059</v>
      </c>
      <c r="D16" s="154" t="s">
        <v>72</v>
      </c>
      <c r="E16" s="151">
        <v>43879</v>
      </c>
      <c r="F16" s="32">
        <v>90467</v>
      </c>
      <c r="G16" s="152"/>
      <c r="H16" s="153">
        <v>43879</v>
      </c>
      <c r="I16" s="39">
        <v>0</v>
      </c>
      <c r="J16" s="60"/>
      <c r="K16" s="20" t="s">
        <v>139</v>
      </c>
      <c r="L16" s="5">
        <v>0</v>
      </c>
      <c r="M16" s="34">
        <v>88759</v>
      </c>
      <c r="N16" s="35">
        <v>649</v>
      </c>
      <c r="O16" s="36"/>
      <c r="P16" s="36">
        <f>C16+I16+M16+N16</f>
        <v>90467</v>
      </c>
      <c r="Q16" s="5">
        <f t="shared" si="1"/>
        <v>0</v>
      </c>
      <c r="S16" s="58">
        <v>0</v>
      </c>
      <c r="T16" s="61" t="s">
        <v>139</v>
      </c>
      <c r="U16" s="61"/>
      <c r="V16" s="30">
        <v>43882</v>
      </c>
      <c r="W16" s="44" t="s">
        <v>11</v>
      </c>
      <c r="X16" s="196">
        <v>5010</v>
      </c>
      <c r="Y16" s="41"/>
      <c r="AA16" s="19" t="s">
        <v>62</v>
      </c>
      <c r="AB16" s="29"/>
      <c r="AC16" s="21">
        <v>0</v>
      </c>
    </row>
    <row r="17" spans="1:29" ht="16.5" thickBot="1" x14ac:dyDescent="0.3">
      <c r="A17" s="30"/>
      <c r="B17" s="149">
        <v>43880</v>
      </c>
      <c r="C17" s="31">
        <v>3507</v>
      </c>
      <c r="D17" s="156" t="s">
        <v>173</v>
      </c>
      <c r="E17" s="151">
        <v>43880</v>
      </c>
      <c r="F17" s="32">
        <v>60491</v>
      </c>
      <c r="G17" s="152"/>
      <c r="H17" s="153">
        <v>43880</v>
      </c>
      <c r="I17" s="39">
        <v>2400</v>
      </c>
      <c r="J17" s="67"/>
      <c r="K17" s="20" t="s">
        <v>140</v>
      </c>
      <c r="L17" s="68"/>
      <c r="M17" s="34">
        <v>52262</v>
      </c>
      <c r="N17" s="35">
        <v>1426</v>
      </c>
      <c r="O17" s="36"/>
      <c r="P17" s="36">
        <f>C17+I17+M17+N17+L7</f>
        <v>60491</v>
      </c>
      <c r="Q17" s="5">
        <f t="shared" si="1"/>
        <v>0</v>
      </c>
      <c r="S17" s="58">
        <v>0</v>
      </c>
      <c r="T17" s="188" t="s">
        <v>141</v>
      </c>
      <c r="U17" s="221"/>
      <c r="V17" s="225">
        <v>43882</v>
      </c>
      <c r="W17" s="38" t="s">
        <v>10</v>
      </c>
      <c r="X17" s="196">
        <v>5010</v>
      </c>
      <c r="Y17" s="41"/>
      <c r="AA17" s="19" t="s">
        <v>63</v>
      </c>
      <c r="AB17" s="167"/>
      <c r="AC17" s="21">
        <v>0</v>
      </c>
    </row>
    <row r="18" spans="1:29" ht="15.75" thickBot="1" x14ac:dyDescent="0.3">
      <c r="A18" s="30"/>
      <c r="B18" s="149">
        <v>43881</v>
      </c>
      <c r="C18" s="31">
        <v>1105</v>
      </c>
      <c r="D18" s="154" t="s">
        <v>72</v>
      </c>
      <c r="E18" s="151">
        <v>43881</v>
      </c>
      <c r="F18" s="32">
        <v>88871</v>
      </c>
      <c r="G18" s="152"/>
      <c r="H18" s="153">
        <v>43881</v>
      </c>
      <c r="I18" s="39">
        <v>56</v>
      </c>
      <c r="J18" s="67"/>
      <c r="K18" s="71"/>
      <c r="L18" s="55"/>
      <c r="M18" s="34">
        <f>78218+7506.22</f>
        <v>85724.22</v>
      </c>
      <c r="N18" s="35">
        <v>1986</v>
      </c>
      <c r="O18" s="36"/>
      <c r="P18" s="36">
        <f>C18+I18+M18+N18</f>
        <v>88871.22</v>
      </c>
      <c r="Q18" s="5">
        <f t="shared" si="1"/>
        <v>0.22000000000116415</v>
      </c>
      <c r="S18" s="5">
        <f>SUM(S11:S17)</f>
        <v>42183.869999999995</v>
      </c>
      <c r="T18" s="37" t="s">
        <v>17</v>
      </c>
      <c r="U18" s="37"/>
      <c r="V18" s="30">
        <v>43889</v>
      </c>
      <c r="W18" s="44" t="s">
        <v>11</v>
      </c>
      <c r="X18" s="196">
        <v>5010</v>
      </c>
      <c r="Y18" s="41"/>
      <c r="AA18" s="19" t="s">
        <v>64</v>
      </c>
      <c r="AB18" s="167"/>
      <c r="AC18" s="21">
        <v>0</v>
      </c>
    </row>
    <row r="19" spans="1:29" ht="15.75" thickBot="1" x14ac:dyDescent="0.3">
      <c r="A19" s="30"/>
      <c r="B19" s="149">
        <v>43882</v>
      </c>
      <c r="C19" s="31">
        <v>520</v>
      </c>
      <c r="D19" s="154" t="s">
        <v>72</v>
      </c>
      <c r="E19" s="151">
        <v>43882</v>
      </c>
      <c r="F19" s="32">
        <v>151976</v>
      </c>
      <c r="G19" s="152"/>
      <c r="H19" s="153">
        <v>43882</v>
      </c>
      <c r="I19" s="39">
        <v>10096</v>
      </c>
      <c r="J19" s="67"/>
      <c r="K19" s="72"/>
      <c r="L19" s="73"/>
      <c r="M19" s="34">
        <v>138317</v>
      </c>
      <c r="N19" s="35">
        <v>3043</v>
      </c>
      <c r="O19" s="36" t="s">
        <v>12</v>
      </c>
      <c r="P19" s="36">
        <f>C19+I19+M19+N19</f>
        <v>151976</v>
      </c>
      <c r="Q19" s="5">
        <f t="shared" si="1"/>
        <v>0</v>
      </c>
      <c r="T19" s="8"/>
      <c r="U19" s="8"/>
      <c r="V19" s="30">
        <v>43889</v>
      </c>
      <c r="W19" s="38" t="s">
        <v>10</v>
      </c>
      <c r="X19" s="196">
        <v>5010</v>
      </c>
      <c r="Y19" s="41"/>
      <c r="AA19" s="19" t="s">
        <v>65</v>
      </c>
      <c r="AB19" s="29"/>
      <c r="AC19" s="21">
        <v>0</v>
      </c>
    </row>
    <row r="20" spans="1:29" ht="15.75" thickBot="1" x14ac:dyDescent="0.3">
      <c r="A20" s="30"/>
      <c r="B20" s="149">
        <v>43883</v>
      </c>
      <c r="C20" s="31">
        <v>1891</v>
      </c>
      <c r="D20" s="154" t="s">
        <v>174</v>
      </c>
      <c r="E20" s="151">
        <v>43883</v>
      </c>
      <c r="F20" s="32">
        <v>137427</v>
      </c>
      <c r="G20" s="152"/>
      <c r="H20" s="153">
        <v>43883</v>
      </c>
      <c r="I20" s="39">
        <v>0</v>
      </c>
      <c r="J20" s="60"/>
      <c r="K20" s="220"/>
      <c r="L20" s="68"/>
      <c r="M20" s="34">
        <v>122813</v>
      </c>
      <c r="N20" s="35">
        <v>2308</v>
      </c>
      <c r="O20" s="36"/>
      <c r="P20" s="36">
        <f>C20+I20+M20+N20+L14</f>
        <v>146636.07</v>
      </c>
      <c r="Q20" s="201">
        <f t="shared" si="1"/>
        <v>9209.070000000007</v>
      </c>
      <c r="T20" s="8"/>
      <c r="U20" s="8"/>
      <c r="W20" s="44" t="s">
        <v>11</v>
      </c>
      <c r="X20" s="196">
        <v>0</v>
      </c>
      <c r="Y20" s="41"/>
      <c r="AA20" s="19" t="s">
        <v>66</v>
      </c>
      <c r="AB20" s="167"/>
      <c r="AC20" s="21">
        <v>0</v>
      </c>
    </row>
    <row r="21" spans="1:29" ht="16.5" thickBot="1" x14ac:dyDescent="0.3">
      <c r="A21" s="30"/>
      <c r="B21" s="149">
        <v>43884</v>
      </c>
      <c r="C21" s="31">
        <v>2482</v>
      </c>
      <c r="D21" s="154" t="s">
        <v>69</v>
      </c>
      <c r="E21" s="151">
        <v>43884</v>
      </c>
      <c r="F21" s="32">
        <v>93067</v>
      </c>
      <c r="G21" s="152"/>
      <c r="H21" s="153">
        <v>43884</v>
      </c>
      <c r="I21" s="39">
        <v>0</v>
      </c>
      <c r="J21" s="67"/>
      <c r="K21" s="74"/>
      <c r="L21" s="68"/>
      <c r="M21" s="34">
        <v>85702</v>
      </c>
      <c r="N21" s="35">
        <v>4883</v>
      </c>
      <c r="O21" s="36"/>
      <c r="P21" s="36">
        <f>C21+I21+M21+N21+L21</f>
        <v>93067</v>
      </c>
      <c r="Q21" s="5">
        <f t="shared" si="1"/>
        <v>0</v>
      </c>
      <c r="T21" s="8"/>
      <c r="U21" s="8"/>
      <c r="V21" s="29"/>
      <c r="W21" s="38" t="s">
        <v>10</v>
      </c>
      <c r="X21" s="196">
        <v>0</v>
      </c>
      <c r="Y21" s="41"/>
      <c r="AA21" s="19" t="s">
        <v>67</v>
      </c>
      <c r="AB21" s="167"/>
      <c r="AC21" s="21">
        <v>0</v>
      </c>
    </row>
    <row r="22" spans="1:29" ht="15.75" thickBot="1" x14ac:dyDescent="0.3">
      <c r="A22" s="30"/>
      <c r="B22" s="149">
        <v>43885</v>
      </c>
      <c r="C22" s="31">
        <v>7312</v>
      </c>
      <c r="D22" s="154" t="s">
        <v>175</v>
      </c>
      <c r="E22" s="151">
        <v>43885</v>
      </c>
      <c r="F22" s="32">
        <v>86951</v>
      </c>
      <c r="G22" s="152"/>
      <c r="H22" s="153">
        <v>43885</v>
      </c>
      <c r="I22" s="39">
        <v>0</v>
      </c>
      <c r="J22" s="76"/>
      <c r="K22" s="59"/>
      <c r="L22" s="77"/>
      <c r="M22" s="34">
        <v>79114</v>
      </c>
      <c r="N22" s="35">
        <v>525</v>
      </c>
      <c r="O22" s="36"/>
      <c r="P22" s="36">
        <f>C22+I22+M22+N22</f>
        <v>86951</v>
      </c>
      <c r="Q22" s="5">
        <f>P22-F22</f>
        <v>0</v>
      </c>
      <c r="T22" s="8"/>
      <c r="U22" s="8"/>
      <c r="V22" s="29"/>
      <c r="W22" s="44" t="s">
        <v>11</v>
      </c>
      <c r="X22" s="196">
        <v>0</v>
      </c>
      <c r="Y22" s="41"/>
      <c r="AA22" s="19" t="s">
        <v>143</v>
      </c>
      <c r="AB22" s="167"/>
      <c r="AC22" s="21">
        <v>0</v>
      </c>
    </row>
    <row r="23" spans="1:29" ht="15.75" thickBot="1" x14ac:dyDescent="0.3">
      <c r="A23" s="30"/>
      <c r="B23" s="149">
        <v>43886</v>
      </c>
      <c r="C23" s="31">
        <v>3990.5</v>
      </c>
      <c r="D23" s="154" t="s">
        <v>178</v>
      </c>
      <c r="E23" s="151">
        <v>43886</v>
      </c>
      <c r="F23" s="32">
        <v>119228</v>
      </c>
      <c r="G23" s="152"/>
      <c r="H23" s="153">
        <v>43886</v>
      </c>
      <c r="I23" s="39">
        <v>0</v>
      </c>
      <c r="J23" s="79"/>
      <c r="K23" s="166"/>
      <c r="L23" s="68"/>
      <c r="M23" s="34">
        <v>106387</v>
      </c>
      <c r="N23" s="35">
        <v>1560</v>
      </c>
      <c r="O23" s="36"/>
      <c r="P23" s="36">
        <f t="shared" ref="P23" si="2">C23+I23+M23+N23</f>
        <v>111937.5</v>
      </c>
      <c r="Q23" s="5">
        <v>0</v>
      </c>
      <c r="T23" s="8"/>
      <c r="U23" s="8"/>
      <c r="V23" s="29"/>
      <c r="W23" s="38" t="s">
        <v>10</v>
      </c>
      <c r="X23" s="196">
        <v>0</v>
      </c>
      <c r="Y23" s="41"/>
      <c r="AA23" s="19" t="s">
        <v>144</v>
      </c>
      <c r="AB23" s="167"/>
      <c r="AC23" s="21">
        <v>0</v>
      </c>
    </row>
    <row r="24" spans="1:29" ht="15.75" thickBot="1" x14ac:dyDescent="0.3">
      <c r="A24" s="30"/>
      <c r="B24" s="149">
        <v>43887</v>
      </c>
      <c r="C24" s="31">
        <v>3244</v>
      </c>
      <c r="D24" s="154" t="s">
        <v>176</v>
      </c>
      <c r="E24" s="151">
        <v>43887</v>
      </c>
      <c r="F24" s="32">
        <v>72097</v>
      </c>
      <c r="G24" s="152"/>
      <c r="H24" s="153">
        <v>43887</v>
      </c>
      <c r="I24" s="39">
        <v>7290</v>
      </c>
      <c r="J24" s="80"/>
      <c r="K24" s="81"/>
      <c r="L24" s="82"/>
      <c r="M24" s="34">
        <f>47912+13104</f>
        <v>61016</v>
      </c>
      <c r="N24" s="35">
        <v>547</v>
      </c>
      <c r="O24" s="36"/>
      <c r="P24" s="36">
        <f>C24+I24+M24+N24</f>
        <v>72097</v>
      </c>
      <c r="Q24" s="5">
        <f t="shared" si="1"/>
        <v>0</v>
      </c>
      <c r="T24" s="8"/>
      <c r="U24" s="8"/>
      <c r="V24" s="29"/>
      <c r="W24" s="44" t="s">
        <v>11</v>
      </c>
      <c r="X24" s="196">
        <v>0</v>
      </c>
      <c r="Y24" s="41"/>
      <c r="Z24" t="s">
        <v>12</v>
      </c>
      <c r="AA24" s="19" t="s">
        <v>145</v>
      </c>
      <c r="AB24" s="167"/>
      <c r="AC24" s="21">
        <v>0</v>
      </c>
    </row>
    <row r="25" spans="1:29" ht="15.75" thickBot="1" x14ac:dyDescent="0.3">
      <c r="A25" s="30"/>
      <c r="B25" s="149">
        <v>43888</v>
      </c>
      <c r="C25" s="31">
        <v>3212</v>
      </c>
      <c r="D25" s="154" t="s">
        <v>177</v>
      </c>
      <c r="E25" s="151">
        <v>43888</v>
      </c>
      <c r="F25" s="32">
        <v>77692</v>
      </c>
      <c r="G25" s="152"/>
      <c r="H25" s="153">
        <v>43888</v>
      </c>
      <c r="I25" s="39">
        <v>0</v>
      </c>
      <c r="J25" s="83"/>
      <c r="K25" s="84"/>
      <c r="L25" s="62"/>
      <c r="M25" s="34">
        <v>70182</v>
      </c>
      <c r="N25" s="35">
        <v>4298</v>
      </c>
      <c r="O25" s="36" t="s">
        <v>12</v>
      </c>
      <c r="P25" s="36">
        <f>C25+I25+M25+N25</f>
        <v>77692</v>
      </c>
      <c r="Q25" s="5">
        <f t="shared" si="1"/>
        <v>0</v>
      </c>
      <c r="V25" s="29"/>
      <c r="W25" s="38" t="s">
        <v>10</v>
      </c>
      <c r="X25" s="196">
        <v>0</v>
      </c>
      <c r="Y25" s="41"/>
      <c r="AA25" s="19" t="s">
        <v>146</v>
      </c>
      <c r="AB25" s="167"/>
      <c r="AC25" s="21">
        <v>0</v>
      </c>
    </row>
    <row r="26" spans="1:29" ht="15.75" thickBot="1" x14ac:dyDescent="0.3">
      <c r="A26" s="30"/>
      <c r="B26" s="149">
        <v>43889</v>
      </c>
      <c r="C26" s="31">
        <v>0</v>
      </c>
      <c r="D26" s="154"/>
      <c r="E26" s="151">
        <v>43889</v>
      </c>
      <c r="F26" s="32">
        <v>103702</v>
      </c>
      <c r="G26" s="152"/>
      <c r="H26" s="153">
        <v>43889</v>
      </c>
      <c r="I26" s="39">
        <v>10020</v>
      </c>
      <c r="J26" s="67"/>
      <c r="K26" s="85"/>
      <c r="L26" s="55"/>
      <c r="M26" s="34">
        <v>92684</v>
      </c>
      <c r="N26" s="35">
        <v>998</v>
      </c>
      <c r="O26" s="36"/>
      <c r="P26" s="36">
        <f>C26+I26+M26+N26++L19</f>
        <v>103702</v>
      </c>
      <c r="Q26" s="5">
        <f t="shared" si="1"/>
        <v>0</v>
      </c>
      <c r="S26" s="86"/>
      <c r="T26" s="86"/>
      <c r="U26" s="86"/>
      <c r="V26" s="29"/>
      <c r="W26" s="44" t="s">
        <v>11</v>
      </c>
      <c r="X26" s="196">
        <v>0</v>
      </c>
      <c r="Y26" s="41"/>
      <c r="AA26" s="19" t="s">
        <v>147</v>
      </c>
      <c r="AB26" s="167"/>
      <c r="AC26" s="21">
        <v>0</v>
      </c>
    </row>
    <row r="27" spans="1:29" ht="15" customHeight="1" thickBot="1" x14ac:dyDescent="0.3">
      <c r="A27" s="30"/>
      <c r="B27" s="149">
        <v>43890</v>
      </c>
      <c r="C27" s="31">
        <v>1569</v>
      </c>
      <c r="D27" s="154" t="s">
        <v>83</v>
      </c>
      <c r="E27" s="151">
        <v>43890</v>
      </c>
      <c r="F27" s="32">
        <v>160854</v>
      </c>
      <c r="G27" s="152"/>
      <c r="H27" s="153">
        <v>43890</v>
      </c>
      <c r="I27" s="39">
        <v>3850</v>
      </c>
      <c r="J27" s="87"/>
      <c r="K27" s="88"/>
      <c r="L27" s="62"/>
      <c r="M27" s="34">
        <f>118089+2519+2241</f>
        <v>122849</v>
      </c>
      <c r="N27" s="35">
        <v>6135</v>
      </c>
      <c r="O27" s="36"/>
      <c r="P27" s="36">
        <f>C27+I27+M27+N27+L9+L15</f>
        <v>170967.45</v>
      </c>
      <c r="Q27" s="201">
        <f t="shared" si="1"/>
        <v>10113.450000000012</v>
      </c>
      <c r="R27" s="198"/>
      <c r="V27" s="29"/>
      <c r="W27" s="38" t="s">
        <v>10</v>
      </c>
      <c r="X27" s="196">
        <v>0</v>
      </c>
      <c r="Y27" s="41"/>
      <c r="AA27" s="19" t="s">
        <v>148</v>
      </c>
      <c r="AB27" s="167"/>
      <c r="AC27" s="21">
        <v>0</v>
      </c>
    </row>
    <row r="28" spans="1:29" ht="15.75" thickBot="1" x14ac:dyDescent="0.3">
      <c r="A28" s="30"/>
      <c r="B28" s="149">
        <v>43891</v>
      </c>
      <c r="C28" s="31">
        <v>1624</v>
      </c>
      <c r="D28" s="154" t="s">
        <v>72</v>
      </c>
      <c r="E28" s="151">
        <v>43891</v>
      </c>
      <c r="F28" s="32">
        <v>101012</v>
      </c>
      <c r="G28" s="152"/>
      <c r="H28" s="153">
        <v>43891</v>
      </c>
      <c r="I28" s="39">
        <v>0</v>
      </c>
      <c r="J28" s="87"/>
      <c r="K28" s="90"/>
      <c r="L28" s="62"/>
      <c r="M28" s="34">
        <v>95579</v>
      </c>
      <c r="N28" s="35">
        <v>3809</v>
      </c>
      <c r="O28" s="36"/>
      <c r="P28" s="36">
        <f>C28+I28+M28+N28</f>
        <v>101012</v>
      </c>
      <c r="Q28" s="5">
        <f t="shared" si="1"/>
        <v>0</v>
      </c>
      <c r="V28" s="29"/>
      <c r="W28" s="44" t="s">
        <v>11</v>
      </c>
      <c r="X28" s="196">
        <v>0</v>
      </c>
      <c r="Y28" s="41"/>
      <c r="AA28" s="19" t="s">
        <v>149</v>
      </c>
      <c r="AB28" s="167"/>
      <c r="AC28" s="21">
        <v>0</v>
      </c>
    </row>
    <row r="29" spans="1:29" ht="15.75" thickBot="1" x14ac:dyDescent="0.3">
      <c r="A29" s="30"/>
      <c r="B29" s="149">
        <v>43892</v>
      </c>
      <c r="C29" s="31">
        <v>817</v>
      </c>
      <c r="D29" s="154" t="s">
        <v>72</v>
      </c>
      <c r="E29" s="151">
        <v>43892</v>
      </c>
      <c r="F29" s="32">
        <v>64009</v>
      </c>
      <c r="G29" s="152"/>
      <c r="H29" s="153">
        <v>43892</v>
      </c>
      <c r="I29" s="39">
        <v>0</v>
      </c>
      <c r="J29" s="87"/>
      <c r="K29" s="84"/>
      <c r="L29" s="62"/>
      <c r="M29" s="34">
        <v>61516</v>
      </c>
      <c r="N29" s="35">
        <v>1676</v>
      </c>
      <c r="O29" s="36"/>
      <c r="P29" s="36">
        <f>C29+I29+M29+N29+L16</f>
        <v>64009</v>
      </c>
      <c r="Q29" s="5">
        <f t="shared" si="1"/>
        <v>0</v>
      </c>
      <c r="S29" s="6" t="s">
        <v>12</v>
      </c>
      <c r="V29" s="29"/>
      <c r="W29" s="38" t="s">
        <v>10</v>
      </c>
      <c r="X29" s="196">
        <v>0</v>
      </c>
      <c r="Y29" s="41"/>
      <c r="AA29" s="19" t="s">
        <v>150</v>
      </c>
      <c r="AB29" s="167"/>
      <c r="AC29" s="21">
        <v>0</v>
      </c>
    </row>
    <row r="30" spans="1:29" ht="16.5" thickBot="1" x14ac:dyDescent="0.3">
      <c r="A30" s="30"/>
      <c r="B30" s="149">
        <v>43893</v>
      </c>
      <c r="C30" s="31">
        <v>5684</v>
      </c>
      <c r="D30" s="154" t="s">
        <v>179</v>
      </c>
      <c r="E30" s="151">
        <v>43893</v>
      </c>
      <c r="F30" s="32">
        <v>71953</v>
      </c>
      <c r="G30" s="152"/>
      <c r="H30" s="153">
        <v>43893</v>
      </c>
      <c r="I30" s="158">
        <v>76</v>
      </c>
      <c r="J30" s="159" t="s">
        <v>184</v>
      </c>
      <c r="K30" s="230" t="s">
        <v>189</v>
      </c>
      <c r="L30" s="161">
        <v>9540.1</v>
      </c>
      <c r="M30" s="34">
        <v>64764</v>
      </c>
      <c r="N30" s="35">
        <v>1429</v>
      </c>
      <c r="O30" s="36"/>
      <c r="P30" s="36">
        <f t="shared" ref="P30:P32" si="3">C30+I30+M30+N30+L17</f>
        <v>71953</v>
      </c>
      <c r="Q30" s="5">
        <f t="shared" si="1"/>
        <v>0</v>
      </c>
      <c r="V30" s="29"/>
      <c r="W30" s="44" t="s">
        <v>11</v>
      </c>
      <c r="X30" s="196">
        <v>0</v>
      </c>
      <c r="Y30" s="41"/>
      <c r="AA30" s="19" t="s">
        <v>151</v>
      </c>
      <c r="AB30" s="167"/>
      <c r="AC30" s="21">
        <v>0</v>
      </c>
    </row>
    <row r="31" spans="1:29" ht="16.5" thickBot="1" x14ac:dyDescent="0.3">
      <c r="A31" s="30"/>
      <c r="B31" s="149">
        <v>43894</v>
      </c>
      <c r="C31" s="91">
        <v>1901</v>
      </c>
      <c r="D31" s="154" t="s">
        <v>72</v>
      </c>
      <c r="E31" s="151">
        <v>43894</v>
      </c>
      <c r="F31" s="32">
        <v>71376</v>
      </c>
      <c r="G31" s="152"/>
      <c r="H31" s="153">
        <v>43894</v>
      </c>
      <c r="I31" s="92">
        <v>0</v>
      </c>
      <c r="J31" s="159" t="s">
        <v>184</v>
      </c>
      <c r="K31" s="230" t="s">
        <v>188</v>
      </c>
      <c r="L31" s="161">
        <v>2600</v>
      </c>
      <c r="M31" s="34">
        <v>68573</v>
      </c>
      <c r="N31" s="35">
        <v>902</v>
      </c>
      <c r="O31" s="36"/>
      <c r="P31" s="36">
        <f t="shared" si="3"/>
        <v>71376</v>
      </c>
      <c r="Q31" s="5">
        <f t="shared" si="1"/>
        <v>0</v>
      </c>
      <c r="V31" s="29"/>
      <c r="W31" s="38" t="s">
        <v>10</v>
      </c>
      <c r="X31" s="196">
        <v>0</v>
      </c>
      <c r="Y31" s="41"/>
      <c r="AA31" s="19" t="s">
        <v>152</v>
      </c>
      <c r="AB31" s="167"/>
      <c r="AC31" s="21">
        <v>0</v>
      </c>
    </row>
    <row r="32" spans="1:29" ht="15.75" thickBot="1" x14ac:dyDescent="0.3">
      <c r="A32" s="30"/>
      <c r="B32" s="149">
        <v>43895</v>
      </c>
      <c r="C32" s="91">
        <v>675</v>
      </c>
      <c r="D32" s="154" t="s">
        <v>180</v>
      </c>
      <c r="E32" s="151">
        <v>43895</v>
      </c>
      <c r="F32" s="32">
        <v>110121</v>
      </c>
      <c r="G32" s="152"/>
      <c r="H32" s="153">
        <v>43895</v>
      </c>
      <c r="I32" s="92">
        <v>396</v>
      </c>
      <c r="J32" s="228" t="s">
        <v>184</v>
      </c>
      <c r="K32" s="163" t="s">
        <v>187</v>
      </c>
      <c r="L32" s="161">
        <v>1392</v>
      </c>
      <c r="M32" s="34">
        <v>105811</v>
      </c>
      <c r="N32" s="35">
        <v>3239</v>
      </c>
      <c r="O32" s="36"/>
      <c r="P32" s="36">
        <f t="shared" si="3"/>
        <v>110121</v>
      </c>
      <c r="Q32" s="5">
        <v>0</v>
      </c>
      <c r="V32" s="29"/>
      <c r="W32" s="44" t="s">
        <v>11</v>
      </c>
      <c r="X32" s="196">
        <v>0</v>
      </c>
      <c r="Y32" s="41"/>
      <c r="AA32" s="19" t="s">
        <v>153</v>
      </c>
      <c r="AB32" s="167"/>
      <c r="AC32" s="21">
        <v>0</v>
      </c>
    </row>
    <row r="33" spans="1:29" ht="15.75" x14ac:dyDescent="0.25">
      <c r="A33" s="30"/>
      <c r="B33" s="208">
        <v>43872</v>
      </c>
      <c r="C33" s="227">
        <v>10988.8</v>
      </c>
      <c r="D33" s="209" t="s">
        <v>80</v>
      </c>
      <c r="E33" s="98"/>
      <c r="F33" s="36"/>
      <c r="H33" s="153"/>
      <c r="I33" s="99"/>
      <c r="J33" s="228" t="s">
        <v>184</v>
      </c>
      <c r="K33" s="218" t="s">
        <v>130</v>
      </c>
      <c r="L33" s="162">
        <v>2682.16</v>
      </c>
      <c r="M33" s="34">
        <v>0</v>
      </c>
      <c r="N33" s="35">
        <v>0</v>
      </c>
      <c r="O33" s="36"/>
      <c r="P33" s="36">
        <v>0</v>
      </c>
      <c r="Q33" s="36">
        <v>0</v>
      </c>
      <c r="R33" s="36"/>
      <c r="V33" s="29"/>
      <c r="W33" s="44" t="s">
        <v>11</v>
      </c>
      <c r="X33" s="196">
        <v>0</v>
      </c>
      <c r="Y33" s="41"/>
      <c r="AA33" s="19" t="s">
        <v>154</v>
      </c>
      <c r="AB33" s="167"/>
      <c r="AC33" s="21">
        <v>0</v>
      </c>
    </row>
    <row r="34" spans="1:29" ht="15.75" x14ac:dyDescent="0.25">
      <c r="A34" s="30"/>
      <c r="B34" s="19">
        <v>43874</v>
      </c>
      <c r="C34" s="226">
        <v>9660.16</v>
      </c>
      <c r="D34" s="210" t="s">
        <v>80</v>
      </c>
      <c r="E34" s="98"/>
      <c r="F34" s="36"/>
      <c r="H34" s="153"/>
      <c r="I34" s="36"/>
      <c r="J34" s="228" t="s">
        <v>184</v>
      </c>
      <c r="K34" s="163" t="s">
        <v>186</v>
      </c>
      <c r="L34" s="161">
        <v>1697.17</v>
      </c>
      <c r="M34" s="34">
        <v>0</v>
      </c>
      <c r="N34" s="35">
        <v>0</v>
      </c>
      <c r="O34" s="36"/>
      <c r="P34" s="36">
        <v>0</v>
      </c>
      <c r="Q34" s="36">
        <v>0</v>
      </c>
      <c r="R34" s="36"/>
      <c r="V34" s="29"/>
      <c r="W34" s="38" t="s">
        <v>10</v>
      </c>
      <c r="X34" s="196">
        <v>0</v>
      </c>
      <c r="Y34" s="41"/>
      <c r="AA34" s="19" t="s">
        <v>155</v>
      </c>
      <c r="AB34" s="167"/>
      <c r="AC34" s="21">
        <v>0</v>
      </c>
    </row>
    <row r="35" spans="1:29" ht="15.75" x14ac:dyDescent="0.25">
      <c r="A35" s="30"/>
      <c r="B35" s="19">
        <v>43876</v>
      </c>
      <c r="C35" s="226">
        <v>10852.12</v>
      </c>
      <c r="D35" s="210" t="s">
        <v>80</v>
      </c>
      <c r="E35" s="98"/>
      <c r="F35" s="36"/>
      <c r="H35" s="153"/>
      <c r="I35" s="36"/>
      <c r="J35" s="228" t="s">
        <v>184</v>
      </c>
      <c r="K35" s="163" t="s">
        <v>133</v>
      </c>
      <c r="L35" s="161">
        <v>0</v>
      </c>
      <c r="M35" s="34">
        <v>0</v>
      </c>
      <c r="N35" s="35">
        <v>0</v>
      </c>
      <c r="O35" s="36"/>
      <c r="P35" s="36">
        <v>0</v>
      </c>
      <c r="Q35" s="36">
        <v>0</v>
      </c>
      <c r="R35" s="36"/>
      <c r="V35" s="29"/>
      <c r="W35" s="44" t="s">
        <v>11</v>
      </c>
      <c r="X35" s="196">
        <v>0</v>
      </c>
      <c r="Y35" s="41"/>
      <c r="AA35" s="19" t="s">
        <v>156</v>
      </c>
      <c r="AB35" s="167"/>
      <c r="AC35" s="21">
        <v>0</v>
      </c>
    </row>
    <row r="36" spans="1:29" ht="15.75" x14ac:dyDescent="0.25">
      <c r="A36" s="30"/>
      <c r="B36" s="19">
        <v>43879</v>
      </c>
      <c r="C36" s="226">
        <v>8990.7199999999993</v>
      </c>
      <c r="D36" s="210" t="s">
        <v>80</v>
      </c>
      <c r="E36" s="98"/>
      <c r="F36" s="36"/>
      <c r="H36" s="153"/>
      <c r="I36" s="36"/>
      <c r="J36" s="228" t="s">
        <v>184</v>
      </c>
      <c r="K36" s="164" t="s">
        <v>134</v>
      </c>
      <c r="L36" s="161">
        <v>24077</v>
      </c>
      <c r="M36" s="34">
        <v>0</v>
      </c>
      <c r="N36" s="35">
        <v>0</v>
      </c>
      <c r="O36" s="36"/>
      <c r="P36" s="36">
        <v>0</v>
      </c>
      <c r="Q36" s="36">
        <v>0</v>
      </c>
      <c r="R36" s="36"/>
      <c r="V36" s="29"/>
      <c r="W36" s="38" t="s">
        <v>10</v>
      </c>
      <c r="X36" s="196">
        <v>0</v>
      </c>
      <c r="Y36" s="41"/>
      <c r="AA36" s="19" t="s">
        <v>157</v>
      </c>
      <c r="AB36" s="167"/>
      <c r="AC36" s="21">
        <v>0</v>
      </c>
    </row>
    <row r="37" spans="1:29" ht="15.75" x14ac:dyDescent="0.25">
      <c r="A37" s="30"/>
      <c r="B37" s="19">
        <v>43882</v>
      </c>
      <c r="C37" s="226">
        <v>16447.240000000002</v>
      </c>
      <c r="D37" s="210" t="s">
        <v>80</v>
      </c>
      <c r="E37" s="98"/>
      <c r="F37" s="36"/>
      <c r="H37" s="153"/>
      <c r="I37" s="36"/>
      <c r="J37" s="228" t="s">
        <v>184</v>
      </c>
      <c r="K37" s="163" t="s">
        <v>135</v>
      </c>
      <c r="L37" s="161">
        <v>1315.86</v>
      </c>
      <c r="M37" s="34">
        <v>0</v>
      </c>
      <c r="N37" s="35">
        <v>0</v>
      </c>
      <c r="O37" s="36"/>
      <c r="P37" s="36">
        <v>0</v>
      </c>
      <c r="Q37" s="36">
        <v>0</v>
      </c>
      <c r="R37" s="36"/>
      <c r="V37" s="29"/>
      <c r="W37" s="44" t="s">
        <v>11</v>
      </c>
      <c r="X37" s="196">
        <v>0</v>
      </c>
      <c r="Y37" s="41"/>
      <c r="AA37" s="19" t="s">
        <v>158</v>
      </c>
      <c r="AB37" s="167"/>
      <c r="AC37" s="21">
        <v>0</v>
      </c>
    </row>
    <row r="38" spans="1:29" ht="15.75" x14ac:dyDescent="0.25">
      <c r="A38" s="30"/>
      <c r="B38" s="19">
        <v>43885</v>
      </c>
      <c r="C38" s="226">
        <v>9276.7999999999993</v>
      </c>
      <c r="D38" s="210" t="s">
        <v>80</v>
      </c>
      <c r="E38" s="98"/>
      <c r="F38" s="36"/>
      <c r="H38" s="153"/>
      <c r="I38" s="36"/>
      <c r="J38" s="228" t="s">
        <v>184</v>
      </c>
      <c r="K38" s="163" t="s">
        <v>181</v>
      </c>
      <c r="L38" s="161">
        <v>29939.599999999999</v>
      </c>
      <c r="M38" s="34">
        <v>0</v>
      </c>
      <c r="N38" s="35">
        <v>0</v>
      </c>
      <c r="O38" s="36"/>
      <c r="P38" s="36">
        <v>0</v>
      </c>
      <c r="Q38" s="36">
        <v>0</v>
      </c>
      <c r="R38" s="36"/>
      <c r="V38" s="29"/>
      <c r="W38" s="38" t="s">
        <v>10</v>
      </c>
      <c r="X38" s="196">
        <v>0</v>
      </c>
      <c r="Y38" s="41"/>
      <c r="AA38" s="19" t="s">
        <v>159</v>
      </c>
      <c r="AB38" s="167"/>
      <c r="AC38" s="21">
        <v>0</v>
      </c>
    </row>
    <row r="39" spans="1:29" ht="15.75" x14ac:dyDescent="0.25">
      <c r="A39" s="30"/>
      <c r="B39" s="19">
        <v>43889</v>
      </c>
      <c r="C39" s="261">
        <v>12541.92</v>
      </c>
      <c r="D39" s="210" t="s">
        <v>80</v>
      </c>
      <c r="E39" s="98"/>
      <c r="F39" s="36"/>
      <c r="H39" s="153"/>
      <c r="I39" s="36"/>
      <c r="J39" s="228" t="s">
        <v>184</v>
      </c>
      <c r="K39" s="163" t="s">
        <v>182</v>
      </c>
      <c r="L39" s="161">
        <v>15800</v>
      </c>
      <c r="M39" s="34">
        <v>0</v>
      </c>
      <c r="N39" s="35">
        <v>0</v>
      </c>
      <c r="O39" s="36"/>
      <c r="P39" s="36">
        <v>0</v>
      </c>
      <c r="Q39" s="36">
        <v>0</v>
      </c>
      <c r="R39" s="36"/>
      <c r="V39" s="29"/>
      <c r="W39" s="44" t="s">
        <v>11</v>
      </c>
      <c r="X39" s="196">
        <v>0</v>
      </c>
      <c r="Y39" s="41"/>
      <c r="AA39" s="19" t="s">
        <v>160</v>
      </c>
      <c r="AB39" s="167"/>
      <c r="AC39" s="21">
        <v>0</v>
      </c>
    </row>
    <row r="40" spans="1:29" ht="16.5" thickBot="1" x14ac:dyDescent="0.3">
      <c r="A40" s="30"/>
      <c r="B40" s="211">
        <v>43893</v>
      </c>
      <c r="C40" s="262">
        <v>10238.76</v>
      </c>
      <c r="D40" s="213" t="s">
        <v>80</v>
      </c>
      <c r="E40" s="98"/>
      <c r="F40" s="36"/>
      <c r="H40" s="153"/>
      <c r="I40" s="36"/>
      <c r="J40" s="228" t="s">
        <v>184</v>
      </c>
      <c r="K40" s="165" t="s">
        <v>183</v>
      </c>
      <c r="L40" s="161">
        <v>2685</v>
      </c>
      <c r="M40" s="36"/>
      <c r="N40" s="36"/>
      <c r="O40" s="36"/>
      <c r="P40" s="104">
        <v>0</v>
      </c>
      <c r="Q40" s="104">
        <v>0</v>
      </c>
      <c r="R40" s="36"/>
      <c r="V40" s="29"/>
      <c r="W40" s="38" t="s">
        <v>10</v>
      </c>
      <c r="X40" s="196">
        <v>0</v>
      </c>
      <c r="Y40" s="41"/>
      <c r="AA40" s="19" t="s">
        <v>161</v>
      </c>
      <c r="AB40" s="167"/>
      <c r="AC40" s="21">
        <v>0</v>
      </c>
    </row>
    <row r="41" spans="1:29" ht="16.5" thickBot="1" x14ac:dyDescent="0.3">
      <c r="A41" s="105"/>
      <c r="B41" s="106"/>
      <c r="C41" s="107"/>
      <c r="D41" s="204"/>
      <c r="E41" s="108"/>
      <c r="F41" s="109"/>
      <c r="G41" s="110"/>
      <c r="H41" s="153">
        <v>43907</v>
      </c>
      <c r="I41" s="109"/>
      <c r="J41" s="228" t="s">
        <v>184</v>
      </c>
      <c r="K41" s="229" t="s">
        <v>185</v>
      </c>
      <c r="L41" s="77">
        <v>3442.3</v>
      </c>
      <c r="M41" s="112">
        <f>SUM(M5:M40)</f>
        <v>2531947.79</v>
      </c>
      <c r="N41" s="113">
        <f>SUM(N5:N40)</f>
        <v>67696</v>
      </c>
      <c r="O41" s="114"/>
      <c r="P41" s="114">
        <f>SUM(P5:P40)</f>
        <v>2838228.49</v>
      </c>
      <c r="Q41" s="114">
        <f>SUM(Q5:Q40)</f>
        <v>72683.99000000002</v>
      </c>
      <c r="R41" s="114"/>
      <c r="W41" s="44" t="s">
        <v>11</v>
      </c>
      <c r="X41" s="196">
        <v>0</v>
      </c>
      <c r="Y41" s="41"/>
      <c r="AA41" s="19" t="s">
        <v>162</v>
      </c>
      <c r="AB41" s="167"/>
      <c r="AC41" s="21">
        <v>0</v>
      </c>
    </row>
    <row r="42" spans="1:29" ht="16.5" thickBot="1" x14ac:dyDescent="0.3">
      <c r="B42" s="115" t="s">
        <v>16</v>
      </c>
      <c r="C42" s="116">
        <f>SUM(C5:C41)</f>
        <v>162130.92000000001</v>
      </c>
      <c r="D42" s="117"/>
      <c r="E42" s="118" t="s">
        <v>16</v>
      </c>
      <c r="F42" s="119">
        <f>SUM(F5:F41)</f>
        <v>2772835</v>
      </c>
      <c r="G42" s="117"/>
      <c r="H42" s="120" t="s">
        <v>16</v>
      </c>
      <c r="I42" s="121">
        <f>SUM(I5:I41)</f>
        <v>62116.6</v>
      </c>
      <c r="J42" s="93"/>
      <c r="K42" s="122" t="s">
        <v>16</v>
      </c>
      <c r="L42" s="123">
        <f>SUM(L6:L41)</f>
        <v>198504.88999999998</v>
      </c>
      <c r="O42" s="5"/>
      <c r="P42" s="36"/>
      <c r="Q42" s="36"/>
      <c r="R42" s="36"/>
      <c r="V42" s="8"/>
      <c r="W42" s="38" t="s">
        <v>10</v>
      </c>
      <c r="X42" s="196">
        <v>0</v>
      </c>
      <c r="Y42" s="41"/>
      <c r="AA42" s="19" t="s">
        <v>163</v>
      </c>
      <c r="AB42" s="167"/>
      <c r="AC42" s="21">
        <v>0</v>
      </c>
    </row>
    <row r="43" spans="1:29" ht="20.25" thickTop="1" thickBot="1" x14ac:dyDescent="0.3">
      <c r="C43" s="8" t="s">
        <v>12</v>
      </c>
      <c r="M43" s="351">
        <f>N41+M41</f>
        <v>2599643.79</v>
      </c>
      <c r="N43" s="352"/>
      <c r="O43" s="124"/>
      <c r="P43" s="124"/>
      <c r="V43" s="8"/>
      <c r="W43" s="44" t="s">
        <v>11</v>
      </c>
      <c r="X43" s="196">
        <v>0</v>
      </c>
      <c r="Y43" s="41"/>
      <c r="AA43" s="19" t="s">
        <v>164</v>
      </c>
      <c r="AB43" s="167"/>
      <c r="AC43" s="21">
        <v>0</v>
      </c>
    </row>
    <row r="44" spans="1:29" ht="15.75" x14ac:dyDescent="0.25">
      <c r="A44" s="59"/>
      <c r="B44" s="125"/>
      <c r="C44" s="4"/>
      <c r="H44" s="353" t="s">
        <v>18</v>
      </c>
      <c r="I44" s="354"/>
      <c r="J44" s="219"/>
      <c r="K44" s="355">
        <f>I42+L42</f>
        <v>260621.49</v>
      </c>
      <c r="L44" s="356"/>
      <c r="P44" s="127"/>
      <c r="S44" s="5"/>
      <c r="T44" s="128"/>
      <c r="U44" s="128"/>
      <c r="V44" s="8"/>
      <c r="W44" s="38" t="s">
        <v>10</v>
      </c>
      <c r="X44" s="196">
        <v>0</v>
      </c>
      <c r="Y44" s="41"/>
      <c r="AA44" s="19" t="s">
        <v>165</v>
      </c>
      <c r="AB44" s="167"/>
      <c r="AC44" s="21">
        <v>0</v>
      </c>
    </row>
    <row r="45" spans="1:29" ht="15.75" x14ac:dyDescent="0.25">
      <c r="D45" s="357" t="s">
        <v>19</v>
      </c>
      <c r="E45" s="357"/>
      <c r="F45" s="129">
        <f>F42-K44-C42</f>
        <v>2350082.59</v>
      </c>
      <c r="I45" s="130"/>
      <c r="J45" s="130"/>
      <c r="P45" s="127"/>
      <c r="V45" s="8"/>
      <c r="W45" s="44" t="s">
        <v>11</v>
      </c>
      <c r="X45" s="196">
        <v>0</v>
      </c>
      <c r="Y45" s="41"/>
      <c r="AA45" s="19" t="s">
        <v>166</v>
      </c>
      <c r="AB45" s="167"/>
      <c r="AC45" s="21">
        <v>0</v>
      </c>
    </row>
    <row r="46" spans="1:29" ht="18.75" x14ac:dyDescent="0.3">
      <c r="D46" s="339" t="s">
        <v>20</v>
      </c>
      <c r="E46" s="339"/>
      <c r="F46" s="131">
        <v>-2289599.25</v>
      </c>
      <c r="I46" s="340" t="s">
        <v>21</v>
      </c>
      <c r="J46" s="341"/>
      <c r="K46" s="342">
        <f>F51</f>
        <v>442869.79999999981</v>
      </c>
      <c r="L46" s="343"/>
      <c r="P46" s="127"/>
      <c r="V46" s="8"/>
      <c r="W46" s="38" t="s">
        <v>10</v>
      </c>
      <c r="X46" s="196">
        <v>0</v>
      </c>
      <c r="Y46" s="41"/>
      <c r="AA46" s="19" t="s">
        <v>167</v>
      </c>
      <c r="AB46" s="167"/>
      <c r="AC46" s="21">
        <v>0</v>
      </c>
    </row>
    <row r="47" spans="1:29" ht="4.5" customHeight="1" thickBot="1" x14ac:dyDescent="0.35">
      <c r="D47" s="132"/>
      <c r="E47" s="133"/>
      <c r="F47" s="134" t="s">
        <v>12</v>
      </c>
      <c r="I47" s="135"/>
      <c r="J47" s="135"/>
      <c r="K47" s="136"/>
      <c r="L47" s="136"/>
      <c r="P47" s="127"/>
      <c r="V47" s="8"/>
      <c r="W47" s="44" t="s">
        <v>11</v>
      </c>
      <c r="X47" s="196">
        <v>0</v>
      </c>
    </row>
    <row r="48" spans="1:29" ht="20.25" thickTop="1" thickBot="1" x14ac:dyDescent="0.35">
      <c r="C48" s="16" t="s">
        <v>12</v>
      </c>
      <c r="E48" s="59" t="s">
        <v>22</v>
      </c>
      <c r="F48" s="131">
        <f>SUM(F45:F47)</f>
        <v>60483.339999999851</v>
      </c>
      <c r="H48" s="30"/>
      <c r="I48" s="137" t="s">
        <v>23</v>
      </c>
      <c r="J48" s="138"/>
      <c r="K48" s="370">
        <f>-C4</f>
        <v>-355209.27</v>
      </c>
      <c r="L48" s="371"/>
      <c r="M48" s="214"/>
      <c r="P48" s="127"/>
      <c r="V48" s="8"/>
      <c r="W48" s="65" t="s">
        <v>16</v>
      </c>
      <c r="X48" s="66">
        <f>SUM(X4:X14)</f>
        <v>55110</v>
      </c>
    </row>
    <row r="49" spans="2:22" ht="16.5" thickBot="1" x14ac:dyDescent="0.3">
      <c r="D49" s="139" t="s">
        <v>24</v>
      </c>
      <c r="E49" s="59" t="s">
        <v>25</v>
      </c>
      <c r="F49" s="140">
        <v>18020.8</v>
      </c>
      <c r="P49" s="127"/>
      <c r="V49" s="8"/>
    </row>
    <row r="50" spans="2:22" ht="20.25" thickTop="1" thickBot="1" x14ac:dyDescent="0.35">
      <c r="C50" s="231">
        <v>43895</v>
      </c>
      <c r="D50" s="372" t="s">
        <v>26</v>
      </c>
      <c r="E50" s="373"/>
      <c r="F50" s="142">
        <v>364365.66</v>
      </c>
      <c r="I50" s="374" t="s">
        <v>129</v>
      </c>
      <c r="J50" s="375"/>
      <c r="K50" s="376">
        <f>K46+K48</f>
        <v>87660.529999999795</v>
      </c>
      <c r="L50" s="377"/>
      <c r="P50" s="127"/>
    </row>
    <row r="51" spans="2:22" ht="18.75" x14ac:dyDescent="0.3">
      <c r="C51" s="143"/>
      <c r="D51" s="144"/>
      <c r="E51" s="61" t="s">
        <v>27</v>
      </c>
      <c r="F51" s="145">
        <f>F48+F49+F50</f>
        <v>442869.79999999981</v>
      </c>
      <c r="J51" s="9"/>
      <c r="M51" s="146"/>
      <c r="P51" s="36"/>
    </row>
    <row r="52" spans="2:22" x14ac:dyDescent="0.25">
      <c r="P52" s="36"/>
    </row>
    <row r="53" spans="2:22" x14ac:dyDescent="0.25">
      <c r="B53"/>
      <c r="C53"/>
      <c r="D53" s="378"/>
      <c r="E53" s="378"/>
      <c r="M53" s="147"/>
      <c r="N53" s="59"/>
      <c r="O53" s="59"/>
      <c r="P53" s="128"/>
      <c r="Q53" s="186"/>
      <c r="R53" s="186"/>
    </row>
    <row r="54" spans="2:22" x14ac:dyDescent="0.25">
      <c r="B54"/>
      <c r="C54"/>
      <c r="M54" s="147"/>
      <c r="N54" s="59"/>
      <c r="O54" s="59"/>
      <c r="P54" s="59"/>
      <c r="Q54" s="186"/>
      <c r="R54" s="186"/>
    </row>
    <row r="55" spans="2:22" x14ac:dyDescent="0.25">
      <c r="B55"/>
      <c r="C55"/>
      <c r="N55" s="59"/>
      <c r="O55" s="59"/>
      <c r="P55" s="59"/>
      <c r="Q55" s="186"/>
      <c r="R55" s="186"/>
    </row>
    <row r="56" spans="2:22" x14ac:dyDescent="0.25">
      <c r="B56"/>
      <c r="C56"/>
      <c r="F56"/>
      <c r="I56"/>
      <c r="J56"/>
      <c r="M56"/>
      <c r="N56" s="59"/>
      <c r="O56" s="59"/>
      <c r="P56" s="59"/>
      <c r="Q56" s="186"/>
      <c r="R56" s="186"/>
    </row>
    <row r="57" spans="2:22" x14ac:dyDescent="0.25">
      <c r="B57"/>
      <c r="C57"/>
      <c r="F57" s="148"/>
      <c r="N57" s="59"/>
      <c r="O57" s="59"/>
      <c r="P57" s="59"/>
      <c r="Q57" s="186"/>
      <c r="R57" s="186"/>
    </row>
    <row r="58" spans="2:22" x14ac:dyDescent="0.25">
      <c r="F58" s="36"/>
      <c r="M58" s="4"/>
      <c r="N58" s="59"/>
      <c r="O58" s="59"/>
      <c r="P58" s="59"/>
      <c r="Q58" s="186"/>
      <c r="R58" s="186"/>
    </row>
    <row r="59" spans="2:22" x14ac:dyDescent="0.25">
      <c r="F59" s="36"/>
      <c r="M59" s="4"/>
      <c r="N59" s="59"/>
      <c r="O59" s="59"/>
      <c r="P59" s="59"/>
      <c r="Q59" s="186"/>
      <c r="R59" s="186"/>
    </row>
    <row r="60" spans="2:22" x14ac:dyDescent="0.25">
      <c r="F60" s="36"/>
      <c r="M60" s="4"/>
      <c r="N60" s="59"/>
      <c r="O60" s="59"/>
      <c r="P60" s="59"/>
      <c r="Q60" s="186"/>
      <c r="R60" s="186"/>
    </row>
    <row r="61" spans="2:22" x14ac:dyDescent="0.25">
      <c r="F61" s="36"/>
      <c r="M61" s="4"/>
      <c r="N61" s="59"/>
      <c r="O61" s="59"/>
      <c r="P61" s="59"/>
      <c r="Q61" s="186"/>
      <c r="R61" s="186"/>
    </row>
    <row r="62" spans="2:22" x14ac:dyDescent="0.25">
      <c r="F62" s="36"/>
      <c r="M62" s="4"/>
    </row>
    <row r="63" spans="2:22" x14ac:dyDescent="0.25">
      <c r="F63" s="36"/>
      <c r="M63" s="4"/>
    </row>
    <row r="64" spans="2:22" x14ac:dyDescent="0.25">
      <c r="F64" s="36"/>
      <c r="M64" s="4"/>
    </row>
    <row r="65" spans="6:13" x14ac:dyDescent="0.25">
      <c r="F65" s="36"/>
      <c r="M65" s="4"/>
    </row>
    <row r="66" spans="6:13" x14ac:dyDescent="0.25">
      <c r="F66" s="36"/>
      <c r="M66" s="4"/>
    </row>
    <row r="67" spans="6:13" x14ac:dyDescent="0.25">
      <c r="F67" s="148"/>
      <c r="M67" s="4"/>
    </row>
    <row r="68" spans="6:13" x14ac:dyDescent="0.25">
      <c r="M68" s="4"/>
    </row>
    <row r="69" spans="6:13" x14ac:dyDescent="0.25">
      <c r="M69" s="4"/>
    </row>
    <row r="70" spans="6:13" x14ac:dyDescent="0.25">
      <c r="M70" s="4"/>
    </row>
    <row r="71" spans="6:13" x14ac:dyDescent="0.25">
      <c r="M71" s="4"/>
    </row>
    <row r="72" spans="6:13" x14ac:dyDescent="0.25">
      <c r="M72" s="4"/>
    </row>
    <row r="73" spans="6:13" x14ac:dyDescent="0.25">
      <c r="M73" s="4"/>
    </row>
    <row r="74" spans="6:13" x14ac:dyDescent="0.25">
      <c r="M74" s="4"/>
    </row>
    <row r="75" spans="6:13" x14ac:dyDescent="0.25">
      <c r="M75" s="4"/>
    </row>
    <row r="76" spans="6:13" x14ac:dyDescent="0.25">
      <c r="M76" s="4"/>
    </row>
    <row r="77" spans="6:13" x14ac:dyDescent="0.25">
      <c r="M77" s="4"/>
    </row>
    <row r="78" spans="6:13" x14ac:dyDescent="0.25">
      <c r="M78" s="4"/>
    </row>
    <row r="79" spans="6:13" x14ac:dyDescent="0.25">
      <c r="M79" s="4"/>
    </row>
    <row r="80" spans="6:13" x14ac:dyDescent="0.25">
      <c r="M80" s="4"/>
    </row>
  </sheetData>
  <mergeCells count="20">
    <mergeCell ref="K48:L48"/>
    <mergeCell ref="D50:E50"/>
    <mergeCell ref="I50:J50"/>
    <mergeCell ref="K50:L50"/>
    <mergeCell ref="D53:E53"/>
    <mergeCell ref="M43:N43"/>
    <mergeCell ref="H44:I44"/>
    <mergeCell ref="K44:L44"/>
    <mergeCell ref="D45:E45"/>
    <mergeCell ref="D46:E46"/>
    <mergeCell ref="I46:J46"/>
    <mergeCell ref="K46:L46"/>
    <mergeCell ref="E4:F4"/>
    <mergeCell ref="H4:I4"/>
    <mergeCell ref="C1:K1"/>
    <mergeCell ref="AF1:AG2"/>
    <mergeCell ref="W2:X3"/>
    <mergeCell ref="AA2:AC2"/>
    <mergeCell ref="B3:C3"/>
    <mergeCell ref="E2:F3"/>
  </mergeCells>
  <phoneticPr fontId="30" type="noConversion"/>
  <pageMargins left="0.23622047244094491" right="0.19685039370078741" top="0.31496062992125984" bottom="0.31496062992125984" header="0.31496062992125984" footer="0.31496062992125984"/>
  <pageSetup scale="70" orientation="landscape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A9725-C66D-4FD9-9EF9-F7E093C7CEDD}">
  <sheetPr>
    <tabColor theme="7" tint="-0.249977111117893"/>
  </sheetPr>
  <dimension ref="A1:F87"/>
  <sheetViews>
    <sheetView topLeftCell="A31" workbookViewId="0">
      <selection activeCell="A44" sqref="A44"/>
    </sheetView>
  </sheetViews>
  <sheetFormatPr baseColWidth="10" defaultRowHeight="15" x14ac:dyDescent="0.25"/>
  <cols>
    <col min="1" max="1" width="13.42578125" style="59" bestFit="1" customWidth="1"/>
    <col min="2" max="2" width="12.85546875" bestFit="1" customWidth="1"/>
    <col min="3" max="3" width="15.85546875" style="16" bestFit="1" customWidth="1"/>
    <col min="4" max="4" width="12.42578125" bestFit="1" customWidth="1"/>
    <col min="5" max="5" width="15.140625" style="16" bestFit="1" customWidth="1"/>
    <col min="6" max="6" width="19.5703125" style="16" bestFit="1" customWidth="1"/>
  </cols>
  <sheetData>
    <row r="1" spans="1:6" ht="36.75" customHeight="1" x14ac:dyDescent="0.35">
      <c r="B1" s="185" t="s">
        <v>192</v>
      </c>
      <c r="C1" s="182"/>
      <c r="D1" s="183"/>
      <c r="E1" s="182"/>
      <c r="F1" s="184"/>
    </row>
    <row r="2" spans="1:6" ht="16.5" thickBot="1" x14ac:dyDescent="0.3">
      <c r="A2" s="169" t="s">
        <v>37</v>
      </c>
      <c r="B2" s="169" t="s">
        <v>38</v>
      </c>
      <c r="C2" s="170" t="s">
        <v>39</v>
      </c>
      <c r="D2" s="169" t="s">
        <v>40</v>
      </c>
      <c r="E2" s="170" t="s">
        <v>41</v>
      </c>
      <c r="F2" s="170" t="s">
        <v>39</v>
      </c>
    </row>
    <row r="3" spans="1:6" x14ac:dyDescent="0.25">
      <c r="A3" s="171">
        <v>43869</v>
      </c>
      <c r="B3" s="172">
        <v>4106</v>
      </c>
      <c r="C3" s="5">
        <v>145478.92000000001</v>
      </c>
      <c r="D3" s="63"/>
      <c r="E3" s="5"/>
      <c r="F3" s="173">
        <f>C3-E3</f>
        <v>145478.92000000001</v>
      </c>
    </row>
    <row r="4" spans="1:6" x14ac:dyDescent="0.25">
      <c r="A4" s="174">
        <v>43869</v>
      </c>
      <c r="B4" s="175">
        <v>4113</v>
      </c>
      <c r="C4" s="176">
        <v>4191.3</v>
      </c>
      <c r="D4" s="177"/>
      <c r="E4" s="176"/>
      <c r="F4" s="173">
        <f>F3+C4-E4</f>
        <v>149670.22</v>
      </c>
    </row>
    <row r="5" spans="1:6" x14ac:dyDescent="0.25">
      <c r="A5" s="177">
        <v>43870</v>
      </c>
      <c r="B5" s="175">
        <v>4213</v>
      </c>
      <c r="C5" s="176">
        <v>3434.3</v>
      </c>
      <c r="D5" s="177"/>
      <c r="E5" s="176"/>
      <c r="F5" s="173">
        <f t="shared" ref="F5:F50" si="0">F4+C5-E5</f>
        <v>153104.51999999999</v>
      </c>
    </row>
    <row r="6" spans="1:6" x14ac:dyDescent="0.25">
      <c r="A6" s="177">
        <v>43870</v>
      </c>
      <c r="B6" s="175">
        <v>4228</v>
      </c>
      <c r="C6" s="176">
        <v>5048</v>
      </c>
      <c r="D6" s="177"/>
      <c r="E6" s="176"/>
      <c r="F6" s="173">
        <f t="shared" si="0"/>
        <v>158152.51999999999</v>
      </c>
    </row>
    <row r="7" spans="1:6" x14ac:dyDescent="0.25">
      <c r="A7" s="177">
        <v>43870</v>
      </c>
      <c r="B7" s="175">
        <v>4262</v>
      </c>
      <c r="C7" s="176">
        <v>100796.5</v>
      </c>
      <c r="D7" s="177"/>
      <c r="E7" s="176"/>
      <c r="F7" s="173">
        <f t="shared" si="0"/>
        <v>258949.02</v>
      </c>
    </row>
    <row r="8" spans="1:6" x14ac:dyDescent="0.25">
      <c r="A8" s="177">
        <v>43872</v>
      </c>
      <c r="B8" s="175">
        <v>4445</v>
      </c>
      <c r="C8" s="176">
        <v>140862.12</v>
      </c>
      <c r="D8" s="177"/>
      <c r="E8" s="176"/>
      <c r="F8" s="173">
        <f t="shared" si="0"/>
        <v>399811.14</v>
      </c>
    </row>
    <row r="9" spans="1:6" x14ac:dyDescent="0.25">
      <c r="A9" s="177">
        <v>43872</v>
      </c>
      <c r="B9" s="175">
        <v>4457</v>
      </c>
      <c r="C9" s="176">
        <v>5400</v>
      </c>
      <c r="D9" s="177">
        <v>43873</v>
      </c>
      <c r="E9" s="176">
        <v>405211.14</v>
      </c>
      <c r="F9" s="173">
        <f t="shared" si="0"/>
        <v>0</v>
      </c>
    </row>
    <row r="10" spans="1:6" x14ac:dyDescent="0.25">
      <c r="A10" s="177">
        <v>43873</v>
      </c>
      <c r="B10" s="175">
        <v>4549</v>
      </c>
      <c r="C10" s="176">
        <v>32080.46</v>
      </c>
      <c r="D10" s="177"/>
      <c r="E10" s="176"/>
      <c r="F10" s="173">
        <f t="shared" si="0"/>
        <v>32080.46</v>
      </c>
    </row>
    <row r="11" spans="1:6" x14ac:dyDescent="0.25">
      <c r="A11" s="174">
        <v>43873</v>
      </c>
      <c r="B11" s="175">
        <v>4560</v>
      </c>
      <c r="C11" s="176">
        <v>3300</v>
      </c>
      <c r="D11" s="177"/>
      <c r="E11" s="176"/>
      <c r="F11" s="173">
        <f t="shared" si="0"/>
        <v>35380.46</v>
      </c>
    </row>
    <row r="12" spans="1:6" x14ac:dyDescent="0.25">
      <c r="A12" s="177">
        <v>43875</v>
      </c>
      <c r="B12" s="175">
        <v>4790</v>
      </c>
      <c r="C12" s="176">
        <v>133306.85999999999</v>
      </c>
      <c r="D12" s="177"/>
      <c r="E12" s="176"/>
      <c r="F12" s="173">
        <f t="shared" si="0"/>
        <v>168687.31999999998</v>
      </c>
    </row>
    <row r="13" spans="1:6" x14ac:dyDescent="0.25">
      <c r="A13" s="177">
        <v>43875</v>
      </c>
      <c r="B13" s="175">
        <v>4801</v>
      </c>
      <c r="C13" s="176">
        <v>23398.2</v>
      </c>
      <c r="D13" s="177"/>
      <c r="E13" s="176"/>
      <c r="F13" s="173">
        <f t="shared" si="0"/>
        <v>192085.52</v>
      </c>
    </row>
    <row r="14" spans="1:6" x14ac:dyDescent="0.25">
      <c r="A14" s="177">
        <v>43875</v>
      </c>
      <c r="B14" s="175">
        <v>4859</v>
      </c>
      <c r="C14" s="176">
        <v>19477.8</v>
      </c>
      <c r="D14" s="177"/>
      <c r="E14" s="176"/>
      <c r="F14" s="173">
        <f t="shared" si="0"/>
        <v>211563.31999999998</v>
      </c>
    </row>
    <row r="15" spans="1:6" x14ac:dyDescent="0.25">
      <c r="A15" s="177">
        <v>43876</v>
      </c>
      <c r="B15" s="175">
        <v>4958</v>
      </c>
      <c r="C15" s="176">
        <v>75357.899999999994</v>
      </c>
      <c r="D15" s="177"/>
      <c r="E15" s="176"/>
      <c r="F15" s="173">
        <f t="shared" si="0"/>
        <v>286921.21999999997</v>
      </c>
    </row>
    <row r="16" spans="1:6" x14ac:dyDescent="0.25">
      <c r="A16" s="177">
        <v>43876</v>
      </c>
      <c r="B16" s="175">
        <v>4965</v>
      </c>
      <c r="C16" s="176">
        <v>28216.12</v>
      </c>
      <c r="D16" s="177"/>
      <c r="E16" s="176"/>
      <c r="F16" s="173">
        <f t="shared" si="0"/>
        <v>315137.33999999997</v>
      </c>
    </row>
    <row r="17" spans="1:6" x14ac:dyDescent="0.25">
      <c r="A17" s="177">
        <v>43876</v>
      </c>
      <c r="B17" s="175">
        <v>5022</v>
      </c>
      <c r="C17" s="176">
        <v>12587.6</v>
      </c>
      <c r="D17" s="177"/>
      <c r="E17" s="176"/>
      <c r="F17" s="173">
        <f t="shared" si="0"/>
        <v>327724.93999999994</v>
      </c>
    </row>
    <row r="18" spans="1:6" x14ac:dyDescent="0.25">
      <c r="A18" s="177">
        <v>43877</v>
      </c>
      <c r="B18" s="175">
        <v>5073</v>
      </c>
      <c r="C18" s="176">
        <v>16065.2</v>
      </c>
      <c r="D18" s="177"/>
      <c r="E18" s="176"/>
      <c r="F18" s="173">
        <f t="shared" si="0"/>
        <v>343790.13999999996</v>
      </c>
    </row>
    <row r="19" spans="1:6" x14ac:dyDescent="0.25">
      <c r="A19" s="177">
        <v>43877</v>
      </c>
      <c r="B19" s="175">
        <v>5084</v>
      </c>
      <c r="C19" s="176">
        <v>78089.3</v>
      </c>
      <c r="D19" s="177"/>
      <c r="E19" s="176"/>
      <c r="F19" s="173">
        <f t="shared" si="0"/>
        <v>421879.43999999994</v>
      </c>
    </row>
    <row r="20" spans="1:6" x14ac:dyDescent="0.25">
      <c r="A20" s="177">
        <v>43877</v>
      </c>
      <c r="B20" s="175">
        <v>5091</v>
      </c>
      <c r="C20" s="176">
        <v>2860</v>
      </c>
      <c r="D20" s="177"/>
      <c r="E20" s="176"/>
      <c r="F20" s="173">
        <f t="shared" si="0"/>
        <v>424739.43999999994</v>
      </c>
    </row>
    <row r="21" spans="1:6" x14ac:dyDescent="0.25">
      <c r="A21" s="177">
        <v>43878</v>
      </c>
      <c r="B21" s="175">
        <v>5206</v>
      </c>
      <c r="C21" s="176">
        <v>42173.48</v>
      </c>
      <c r="D21" s="177"/>
      <c r="E21" s="176"/>
      <c r="F21" s="173">
        <f t="shared" si="0"/>
        <v>466912.91999999993</v>
      </c>
    </row>
    <row r="22" spans="1:6" x14ac:dyDescent="0.25">
      <c r="A22" s="177">
        <v>43879</v>
      </c>
      <c r="B22" s="175">
        <v>5261</v>
      </c>
      <c r="C22" s="176">
        <v>107603.26</v>
      </c>
      <c r="D22" s="177">
        <v>43879</v>
      </c>
      <c r="E22" s="176">
        <v>574516.18000000005</v>
      </c>
      <c r="F22" s="173">
        <f t="shared" si="0"/>
        <v>0</v>
      </c>
    </row>
    <row r="23" spans="1:6" x14ac:dyDescent="0.25">
      <c r="A23" s="177">
        <v>43880</v>
      </c>
      <c r="B23" s="175">
        <v>5339</v>
      </c>
      <c r="C23" s="176">
        <v>520</v>
      </c>
      <c r="D23" s="177"/>
      <c r="E23" s="176"/>
      <c r="F23" s="173">
        <f t="shared" si="0"/>
        <v>520</v>
      </c>
    </row>
    <row r="24" spans="1:6" x14ac:dyDescent="0.25">
      <c r="A24" s="177">
        <v>43881</v>
      </c>
      <c r="B24" s="175">
        <v>5456</v>
      </c>
      <c r="C24" s="176">
        <v>78381.75</v>
      </c>
      <c r="D24" s="177"/>
      <c r="E24" s="176"/>
      <c r="F24" s="173">
        <f t="shared" si="0"/>
        <v>78901.75</v>
      </c>
    </row>
    <row r="25" spans="1:6" x14ac:dyDescent="0.25">
      <c r="A25" s="177">
        <v>43881</v>
      </c>
      <c r="B25" s="175">
        <v>5565</v>
      </c>
      <c r="C25" s="176">
        <v>122502.8</v>
      </c>
      <c r="D25" s="177"/>
      <c r="E25" s="176"/>
      <c r="F25" s="173">
        <f t="shared" si="0"/>
        <v>201404.55</v>
      </c>
    </row>
    <row r="26" spans="1:6" x14ac:dyDescent="0.25">
      <c r="A26" s="177">
        <v>43882</v>
      </c>
      <c r="B26" s="175">
        <v>5625</v>
      </c>
      <c r="C26" s="176">
        <v>75406.320000000007</v>
      </c>
      <c r="D26" s="177"/>
      <c r="E26" s="176"/>
      <c r="F26" s="173">
        <f t="shared" si="0"/>
        <v>276810.87</v>
      </c>
    </row>
    <row r="27" spans="1:6" x14ac:dyDescent="0.25">
      <c r="A27" s="177">
        <v>43883</v>
      </c>
      <c r="B27" s="175">
        <v>5788</v>
      </c>
      <c r="C27" s="176">
        <v>9910.6</v>
      </c>
      <c r="D27" s="177"/>
      <c r="E27" s="176"/>
      <c r="F27" s="173">
        <f t="shared" si="0"/>
        <v>286721.46999999997</v>
      </c>
    </row>
    <row r="28" spans="1:6" x14ac:dyDescent="0.25">
      <c r="A28" s="174">
        <v>43883</v>
      </c>
      <c r="B28" s="175">
        <v>5811</v>
      </c>
      <c r="C28" s="176">
        <v>133044.6</v>
      </c>
      <c r="D28" s="177"/>
      <c r="E28" s="176"/>
      <c r="F28" s="173">
        <f t="shared" si="0"/>
        <v>419766.06999999995</v>
      </c>
    </row>
    <row r="29" spans="1:6" x14ac:dyDescent="0.25">
      <c r="A29" s="174">
        <v>43883</v>
      </c>
      <c r="B29" s="175">
        <v>5844</v>
      </c>
      <c r="C29" s="176">
        <v>43547.5</v>
      </c>
      <c r="D29" s="177"/>
      <c r="E29" s="176"/>
      <c r="F29" s="173">
        <f t="shared" si="0"/>
        <v>463313.56999999995</v>
      </c>
    </row>
    <row r="30" spans="1:6" x14ac:dyDescent="0.25">
      <c r="A30" s="174">
        <v>43885</v>
      </c>
      <c r="B30" s="175">
        <v>5919</v>
      </c>
      <c r="C30" s="176">
        <v>48182.2</v>
      </c>
      <c r="D30" s="177">
        <v>43885</v>
      </c>
      <c r="E30" s="176">
        <v>511495.77</v>
      </c>
      <c r="F30" s="173">
        <f t="shared" si="0"/>
        <v>0</v>
      </c>
    </row>
    <row r="31" spans="1:6" x14ac:dyDescent="0.25">
      <c r="A31" s="174">
        <v>43886</v>
      </c>
      <c r="B31" s="175">
        <v>6112</v>
      </c>
      <c r="C31" s="176">
        <v>106051.2</v>
      </c>
      <c r="D31" s="177"/>
      <c r="E31" s="176"/>
      <c r="F31" s="173">
        <f t="shared" si="0"/>
        <v>106051.2</v>
      </c>
    </row>
    <row r="32" spans="1:6" x14ac:dyDescent="0.25">
      <c r="A32" s="174">
        <v>43887</v>
      </c>
      <c r="B32" s="175">
        <v>6196</v>
      </c>
      <c r="C32" s="176">
        <v>1239.9000000000001</v>
      </c>
      <c r="D32" s="177"/>
      <c r="E32" s="176"/>
      <c r="F32" s="173">
        <f t="shared" si="0"/>
        <v>107291.09999999999</v>
      </c>
    </row>
    <row r="33" spans="1:6" x14ac:dyDescent="0.25">
      <c r="A33" s="174">
        <v>43887</v>
      </c>
      <c r="B33" s="175">
        <v>6198</v>
      </c>
      <c r="C33" s="176">
        <v>129872.43</v>
      </c>
      <c r="D33" s="177"/>
      <c r="E33" s="176"/>
      <c r="F33" s="173">
        <f t="shared" si="0"/>
        <v>237163.52999999997</v>
      </c>
    </row>
    <row r="34" spans="1:6" x14ac:dyDescent="0.25">
      <c r="A34" s="174">
        <v>43888</v>
      </c>
      <c r="B34" s="175">
        <v>6265</v>
      </c>
      <c r="C34" s="176">
        <v>65799.55</v>
      </c>
      <c r="D34" s="177">
        <v>43889</v>
      </c>
      <c r="E34" s="176">
        <v>302963.08</v>
      </c>
      <c r="F34" s="173">
        <f t="shared" si="0"/>
        <v>0</v>
      </c>
    </row>
    <row r="35" spans="1:6" x14ac:dyDescent="0.25">
      <c r="A35" s="174">
        <v>43889</v>
      </c>
      <c r="B35" s="175">
        <v>6449</v>
      </c>
      <c r="C35" s="176">
        <v>32266.799999999999</v>
      </c>
      <c r="D35" s="177"/>
      <c r="E35" s="176"/>
      <c r="F35" s="173">
        <f t="shared" si="0"/>
        <v>32266.799999999999</v>
      </c>
    </row>
    <row r="36" spans="1:6" x14ac:dyDescent="0.25">
      <c r="A36" s="174">
        <v>43889</v>
      </c>
      <c r="B36" s="175">
        <v>6456</v>
      </c>
      <c r="C36" s="176">
        <v>61649.52</v>
      </c>
      <c r="D36" s="177"/>
      <c r="E36" s="176"/>
      <c r="F36" s="173">
        <f t="shared" si="0"/>
        <v>93916.319999999992</v>
      </c>
    </row>
    <row r="37" spans="1:6" x14ac:dyDescent="0.25">
      <c r="A37" s="174">
        <v>43889</v>
      </c>
      <c r="B37" s="175">
        <v>6468</v>
      </c>
      <c r="C37" s="176">
        <v>48393.45</v>
      </c>
      <c r="D37" s="177"/>
      <c r="E37" s="176"/>
      <c r="F37" s="173">
        <f t="shared" si="0"/>
        <v>142309.76999999999</v>
      </c>
    </row>
    <row r="38" spans="1:6" x14ac:dyDescent="0.25">
      <c r="A38" s="174">
        <v>43889</v>
      </c>
      <c r="B38" s="175">
        <v>6469</v>
      </c>
      <c r="C38" s="176">
        <v>976.8</v>
      </c>
      <c r="D38" s="177"/>
      <c r="E38" s="176"/>
      <c r="F38" s="173">
        <f t="shared" si="0"/>
        <v>143286.56999999998</v>
      </c>
    </row>
    <row r="39" spans="1:6" x14ac:dyDescent="0.25">
      <c r="A39" s="174">
        <v>43890</v>
      </c>
      <c r="B39" s="175">
        <v>6563</v>
      </c>
      <c r="C39" s="176">
        <v>63781.2</v>
      </c>
      <c r="D39" s="177"/>
      <c r="E39" s="176"/>
      <c r="F39" s="173">
        <f t="shared" si="0"/>
        <v>207067.76999999996</v>
      </c>
    </row>
    <row r="40" spans="1:6" x14ac:dyDescent="0.25">
      <c r="A40" s="174">
        <v>43890</v>
      </c>
      <c r="B40" s="175">
        <v>6591</v>
      </c>
      <c r="C40" s="176">
        <v>46626</v>
      </c>
      <c r="D40" s="177"/>
      <c r="E40" s="176"/>
      <c r="F40" s="173">
        <f t="shared" si="0"/>
        <v>253693.76999999996</v>
      </c>
    </row>
    <row r="41" spans="1:6" x14ac:dyDescent="0.25">
      <c r="A41" s="174">
        <v>43893</v>
      </c>
      <c r="B41" s="175">
        <v>6825</v>
      </c>
      <c r="C41" s="176">
        <v>107181.42</v>
      </c>
      <c r="D41" s="177"/>
      <c r="E41" s="176"/>
      <c r="F41" s="173">
        <f t="shared" si="0"/>
        <v>360875.18999999994</v>
      </c>
    </row>
    <row r="42" spans="1:6" x14ac:dyDescent="0.25">
      <c r="A42" s="174">
        <v>43865</v>
      </c>
      <c r="B42" s="175">
        <v>6982</v>
      </c>
      <c r="C42" s="176">
        <v>134047.89000000001</v>
      </c>
      <c r="D42" s="177"/>
      <c r="E42" s="176"/>
      <c r="F42" s="173">
        <f t="shared" si="0"/>
        <v>494923.07999999996</v>
      </c>
    </row>
    <row r="43" spans="1:6" x14ac:dyDescent="0.25">
      <c r="A43" s="174">
        <v>43894</v>
      </c>
      <c r="B43" s="175">
        <v>6385</v>
      </c>
      <c r="C43" s="176">
        <v>490</v>
      </c>
      <c r="D43" s="177">
        <v>43897</v>
      </c>
      <c r="E43" s="176">
        <v>495413.08</v>
      </c>
      <c r="F43" s="173">
        <f t="shared" si="0"/>
        <v>0</v>
      </c>
    </row>
    <row r="44" spans="1:6" x14ac:dyDescent="0.25">
      <c r="A44" s="174"/>
      <c r="B44" s="175"/>
      <c r="C44" s="176">
        <v>0</v>
      </c>
      <c r="D44" s="177"/>
      <c r="E44" s="176"/>
      <c r="F44" s="173">
        <f t="shared" si="0"/>
        <v>0</v>
      </c>
    </row>
    <row r="45" spans="1:6" x14ac:dyDescent="0.25">
      <c r="A45" s="174"/>
      <c r="B45" s="175"/>
      <c r="C45" s="176">
        <v>0</v>
      </c>
      <c r="D45" s="177"/>
      <c r="E45" s="176"/>
      <c r="F45" s="173">
        <f t="shared" si="0"/>
        <v>0</v>
      </c>
    </row>
    <row r="46" spans="1:6" x14ac:dyDescent="0.25">
      <c r="A46" s="174"/>
      <c r="B46" s="175"/>
      <c r="C46" s="176">
        <v>0</v>
      </c>
      <c r="D46" s="177"/>
      <c r="E46" s="176"/>
      <c r="F46" s="173">
        <f t="shared" si="0"/>
        <v>0</v>
      </c>
    </row>
    <row r="47" spans="1:6" x14ac:dyDescent="0.25">
      <c r="A47" s="174"/>
      <c r="B47" s="175"/>
      <c r="C47" s="176">
        <v>0</v>
      </c>
      <c r="D47" s="177"/>
      <c r="E47" s="176"/>
      <c r="F47" s="173">
        <f t="shared" si="0"/>
        <v>0</v>
      </c>
    </row>
    <row r="48" spans="1:6" x14ac:dyDescent="0.25">
      <c r="A48" s="174"/>
      <c r="B48" s="175"/>
      <c r="C48" s="176">
        <v>0</v>
      </c>
      <c r="D48" s="177"/>
      <c r="E48" s="176"/>
      <c r="F48" s="173">
        <f t="shared" si="0"/>
        <v>0</v>
      </c>
    </row>
    <row r="49" spans="1:6" x14ac:dyDescent="0.25">
      <c r="A49" s="174"/>
      <c r="B49" s="175"/>
      <c r="C49" s="176">
        <v>0</v>
      </c>
      <c r="D49" s="177"/>
      <c r="E49" s="176"/>
      <c r="F49" s="173">
        <f t="shared" si="0"/>
        <v>0</v>
      </c>
    </row>
    <row r="50" spans="1:6" ht="15.75" thickBot="1" x14ac:dyDescent="0.3">
      <c r="A50" s="178"/>
      <c r="B50" s="179"/>
      <c r="C50" s="104">
        <v>0</v>
      </c>
      <c r="D50" s="180"/>
      <c r="E50" s="104"/>
      <c r="F50" s="173">
        <f t="shared" si="0"/>
        <v>0</v>
      </c>
    </row>
    <row r="51" spans="1:6" ht="19.5" thickTop="1" x14ac:dyDescent="0.3">
      <c r="B51" s="59"/>
      <c r="C51" s="4">
        <f>SUM(C3:C50)</f>
        <v>2289599.25</v>
      </c>
      <c r="D51" s="1"/>
      <c r="E51" s="4">
        <f>SUM(E3:E50)</f>
        <v>2289599.25</v>
      </c>
      <c r="F51" s="181">
        <f>F50</f>
        <v>0</v>
      </c>
    </row>
    <row r="52" spans="1:6" x14ac:dyDescent="0.25">
      <c r="B52" s="59"/>
      <c r="C52" s="4"/>
      <c r="D52" s="1"/>
      <c r="E52" s="8"/>
      <c r="F52" s="4"/>
    </row>
    <row r="53" spans="1:6" x14ac:dyDescent="0.25">
      <c r="B53" s="59"/>
      <c r="C53" s="4"/>
      <c r="D53" s="1"/>
      <c r="E53" s="8"/>
      <c r="F53" s="4"/>
    </row>
    <row r="54" spans="1:6" x14ac:dyDescent="0.25">
      <c r="A54"/>
      <c r="B54" s="30"/>
      <c r="D54" s="30"/>
    </row>
    <row r="55" spans="1:6" x14ac:dyDescent="0.25">
      <c r="A55"/>
      <c r="B55" s="30"/>
      <c r="D55" s="30"/>
    </row>
    <row r="56" spans="1:6" x14ac:dyDescent="0.25">
      <c r="A56"/>
      <c r="B56" s="30"/>
      <c r="D56" s="30"/>
    </row>
    <row r="57" spans="1:6" x14ac:dyDescent="0.25">
      <c r="A57"/>
      <c r="B57" s="30"/>
      <c r="D57" s="30"/>
      <c r="F57"/>
    </row>
    <row r="58" spans="1:6" x14ac:dyDescent="0.25">
      <c r="A58"/>
      <c r="B58" s="30"/>
      <c r="D58" s="30"/>
      <c r="F58"/>
    </row>
    <row r="59" spans="1:6" x14ac:dyDescent="0.25">
      <c r="A59"/>
      <c r="B59" s="30"/>
      <c r="D59" s="30"/>
      <c r="F59"/>
    </row>
    <row r="60" spans="1:6" x14ac:dyDescent="0.25">
      <c r="A60"/>
      <c r="B60" s="30"/>
      <c r="D60" s="30"/>
      <c r="F60"/>
    </row>
    <row r="61" spans="1:6" x14ac:dyDescent="0.25">
      <c r="A61"/>
      <c r="B61" s="30"/>
      <c r="D61" s="30"/>
      <c r="F61"/>
    </row>
    <row r="62" spans="1:6" x14ac:dyDescent="0.25">
      <c r="A62"/>
      <c r="B62" s="30"/>
      <c r="D62" s="30"/>
      <c r="F62"/>
    </row>
    <row r="63" spans="1:6" x14ac:dyDescent="0.25">
      <c r="A63"/>
      <c r="B63" s="30"/>
      <c r="D63" s="30"/>
      <c r="F63"/>
    </row>
    <row r="64" spans="1:6" x14ac:dyDescent="0.25">
      <c r="A64"/>
      <c r="B64" s="30"/>
      <c r="D64" s="30"/>
      <c r="F64"/>
    </row>
    <row r="65" spans="1:6" x14ac:dyDescent="0.25">
      <c r="A65"/>
      <c r="B65" s="30"/>
      <c r="D65" s="30"/>
      <c r="F65"/>
    </row>
    <row r="66" spans="1:6" x14ac:dyDescent="0.25">
      <c r="A66"/>
      <c r="B66" s="30"/>
      <c r="D66" s="30"/>
      <c r="E66"/>
      <c r="F66"/>
    </row>
    <row r="67" spans="1:6" x14ac:dyDescent="0.25">
      <c r="A67"/>
      <c r="B67" s="30"/>
      <c r="D67" s="30"/>
      <c r="E67"/>
      <c r="F67"/>
    </row>
    <row r="68" spans="1:6" x14ac:dyDescent="0.25">
      <c r="A68"/>
      <c r="B68" s="30"/>
      <c r="D68" s="30"/>
      <c r="E68"/>
      <c r="F68"/>
    </row>
    <row r="69" spans="1:6" x14ac:dyDescent="0.25">
      <c r="A69"/>
      <c r="B69" s="30"/>
      <c r="D69" s="30"/>
      <c r="E69"/>
      <c r="F69"/>
    </row>
    <row r="70" spans="1:6" x14ac:dyDescent="0.25">
      <c r="A70"/>
      <c r="B70" s="30"/>
      <c r="D70" s="30"/>
      <c r="E70"/>
      <c r="F70"/>
    </row>
    <row r="71" spans="1:6" x14ac:dyDescent="0.25">
      <c r="A71"/>
      <c r="B71" s="30"/>
      <c r="D71" s="30"/>
      <c r="E71"/>
      <c r="F71"/>
    </row>
    <row r="72" spans="1:6" x14ac:dyDescent="0.25">
      <c r="B72" s="30"/>
      <c r="D72" s="30"/>
      <c r="E72"/>
    </row>
    <row r="73" spans="1:6" x14ac:dyDescent="0.25">
      <c r="B73" s="30"/>
      <c r="D73" s="30"/>
      <c r="E73"/>
    </row>
    <row r="74" spans="1:6" x14ac:dyDescent="0.25">
      <c r="B74" s="30"/>
      <c r="D74" s="30"/>
      <c r="E74"/>
    </row>
    <row r="75" spans="1:6" x14ac:dyDescent="0.25">
      <c r="B75" s="30"/>
      <c r="D75" s="30"/>
      <c r="E75"/>
    </row>
    <row r="76" spans="1:6" x14ac:dyDescent="0.25">
      <c r="B76" s="30"/>
      <c r="D76" s="30"/>
      <c r="E76"/>
    </row>
    <row r="77" spans="1:6" x14ac:dyDescent="0.25">
      <c r="B77" s="30"/>
      <c r="D77" s="30"/>
      <c r="E77"/>
    </row>
    <row r="78" spans="1:6" x14ac:dyDescent="0.25">
      <c r="B78" s="30"/>
      <c r="D78" s="30"/>
      <c r="E78"/>
    </row>
    <row r="79" spans="1:6" x14ac:dyDescent="0.25">
      <c r="B79" s="30"/>
      <c r="D79" s="30"/>
      <c r="E79"/>
    </row>
    <row r="80" spans="1:6" x14ac:dyDescent="0.25">
      <c r="B80" s="30"/>
      <c r="D80" s="30"/>
      <c r="E80"/>
    </row>
    <row r="81" spans="2:4" x14ac:dyDescent="0.25">
      <c r="B81" s="30"/>
    </row>
    <row r="82" spans="2:4" x14ac:dyDescent="0.25">
      <c r="B82" s="30"/>
    </row>
    <row r="83" spans="2:4" x14ac:dyDescent="0.25">
      <c r="B83" s="30"/>
      <c r="D83" s="30"/>
    </row>
    <row r="84" spans="2:4" x14ac:dyDescent="0.25">
      <c r="B84" s="30"/>
    </row>
    <row r="85" spans="2:4" x14ac:dyDescent="0.25">
      <c r="B85" s="30"/>
    </row>
    <row r="86" spans="2:4" x14ac:dyDescent="0.25">
      <c r="B86" s="30"/>
    </row>
    <row r="87" spans="2:4" ht="18.75" x14ac:dyDescent="0.3">
      <c r="C87" s="146"/>
    </row>
  </sheetData>
  <sortState xmlns:xlrd2="http://schemas.microsoft.com/office/spreadsheetml/2017/richdata2" ref="A10:C22">
    <sortCondition ref="B10:B2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CF917-04EB-41F3-BFE5-378D1F4AE0DF}">
  <sheetPr>
    <tabColor rgb="FF00B050"/>
  </sheetPr>
  <dimension ref="A1:AG78"/>
  <sheetViews>
    <sheetView topLeftCell="A23" workbookViewId="0">
      <selection activeCell="P39" sqref="P39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16" customWidth="1"/>
    <col min="4" max="4" width="15.28515625" customWidth="1"/>
    <col min="6" max="6" width="17.85546875" style="16" customWidth="1"/>
    <col min="7" max="7" width="2.85546875" customWidth="1"/>
    <col min="9" max="9" width="12.140625" style="16" customWidth="1"/>
    <col min="10" max="10" width="11.7109375" style="16" customWidth="1"/>
    <col min="11" max="11" width="17.28515625" customWidth="1"/>
    <col min="12" max="12" width="14.5703125" customWidth="1"/>
    <col min="13" max="13" width="18.140625" style="16" customWidth="1"/>
    <col min="14" max="14" width="14.42578125" style="4" customWidth="1"/>
    <col min="15" max="15" width="8.42578125" style="4" customWidth="1"/>
    <col min="16" max="16" width="15.5703125" style="5" bestFit="1" customWidth="1"/>
    <col min="17" max="17" width="14.42578125" style="5" customWidth="1"/>
    <col min="18" max="18" width="4.140625" style="5" customWidth="1"/>
    <col min="19" max="19" width="16.28515625" style="6" bestFit="1" customWidth="1"/>
    <col min="20" max="20" width="14.140625" customWidth="1"/>
    <col min="21" max="21" width="5.85546875" customWidth="1"/>
    <col min="22" max="22" width="13.85546875" customWidth="1"/>
    <col min="24" max="24" width="15.85546875" bestFit="1" customWidth="1"/>
    <col min="25" max="25" width="14.85546875" customWidth="1"/>
    <col min="26" max="26" width="15.140625" customWidth="1"/>
    <col min="27" max="27" width="18.5703125" style="7" customWidth="1"/>
    <col min="28" max="28" width="11.42578125" style="222"/>
    <col min="29" max="29" width="14.7109375" customWidth="1"/>
    <col min="30" max="30" width="11.42578125" style="152"/>
    <col min="31" max="31" width="10.5703125" customWidth="1"/>
    <col min="32" max="32" width="17.140625" bestFit="1" customWidth="1"/>
    <col min="33" max="33" width="13.42578125" customWidth="1"/>
  </cols>
  <sheetData>
    <row r="1" spans="1:33" ht="20.25" customHeight="1" thickBot="1" x14ac:dyDescent="0.4">
      <c r="C1" s="344" t="s">
        <v>237</v>
      </c>
      <c r="D1" s="344"/>
      <c r="E1" s="344"/>
      <c r="F1" s="344"/>
      <c r="G1" s="344"/>
      <c r="H1" s="344"/>
      <c r="I1" s="344"/>
      <c r="J1" s="344"/>
      <c r="K1" s="344"/>
      <c r="L1" s="2"/>
      <c r="M1" s="3"/>
      <c r="AF1" s="358" t="s">
        <v>45</v>
      </c>
      <c r="AG1" s="359"/>
    </row>
    <row r="2" spans="1:33" ht="18" customHeight="1" thickBot="1" x14ac:dyDescent="0.35">
      <c r="C2" s="8"/>
      <c r="E2" s="379" t="s">
        <v>190</v>
      </c>
      <c r="F2" s="379"/>
      <c r="H2" s="233" t="s">
        <v>0</v>
      </c>
      <c r="I2" s="3"/>
      <c r="J2" s="3"/>
      <c r="K2" s="152"/>
      <c r="L2" s="152"/>
      <c r="M2" s="3"/>
      <c r="N2" s="5"/>
      <c r="O2" s="5"/>
      <c r="W2" s="366" t="s">
        <v>4</v>
      </c>
      <c r="X2" s="367"/>
      <c r="AA2" s="363" t="s">
        <v>43</v>
      </c>
      <c r="AB2" s="364"/>
      <c r="AC2" s="365"/>
      <c r="AE2" s="193" t="s">
        <v>44</v>
      </c>
      <c r="AF2" s="360"/>
      <c r="AG2" s="361"/>
    </row>
    <row r="3" spans="1:33" ht="18" customHeight="1" thickBot="1" x14ac:dyDescent="0.35">
      <c r="B3" s="345" t="s">
        <v>1</v>
      </c>
      <c r="C3" s="346"/>
      <c r="D3" s="15"/>
      <c r="E3" s="380"/>
      <c r="F3" s="380"/>
      <c r="I3" s="234" t="s">
        <v>2</v>
      </c>
      <c r="J3" s="235"/>
      <c r="K3" s="236" t="s">
        <v>191</v>
      </c>
      <c r="L3" s="236"/>
      <c r="W3" s="368"/>
      <c r="X3" s="369"/>
      <c r="Y3" s="195" t="s">
        <v>37</v>
      </c>
      <c r="AA3" s="19" t="s">
        <v>49</v>
      </c>
      <c r="AB3" s="167">
        <v>43840</v>
      </c>
      <c r="AC3" s="21">
        <v>2000</v>
      </c>
      <c r="AE3" s="89"/>
      <c r="AF3" s="194"/>
      <c r="AG3" s="75">
        <v>0</v>
      </c>
    </row>
    <row r="4" spans="1:33" ht="20.25" thickTop="1" thickBot="1" x14ac:dyDescent="0.35">
      <c r="A4" s="22" t="s">
        <v>5</v>
      </c>
      <c r="B4" s="23"/>
      <c r="C4" s="216">
        <v>364365.66</v>
      </c>
      <c r="D4" s="263">
        <v>43895</v>
      </c>
      <c r="E4" s="347" t="s">
        <v>6</v>
      </c>
      <c r="F4" s="348"/>
      <c r="H4" s="349" t="s">
        <v>7</v>
      </c>
      <c r="I4" s="350"/>
      <c r="J4" s="24"/>
      <c r="K4" s="24"/>
      <c r="L4" s="24"/>
      <c r="M4" s="25" t="s">
        <v>8</v>
      </c>
      <c r="N4" s="26" t="s">
        <v>9</v>
      </c>
      <c r="O4" s="27"/>
      <c r="P4" s="27"/>
      <c r="Q4" s="28"/>
      <c r="R4" s="28"/>
      <c r="V4" s="29">
        <v>43840</v>
      </c>
      <c r="W4" s="199" t="s">
        <v>11</v>
      </c>
      <c r="X4" s="196">
        <v>5010</v>
      </c>
      <c r="Y4" s="197"/>
      <c r="AA4" s="19" t="s">
        <v>50</v>
      </c>
      <c r="AB4" s="167">
        <v>43844</v>
      </c>
      <c r="AC4" s="21">
        <v>2000</v>
      </c>
      <c r="AE4" s="89"/>
      <c r="AF4" s="20"/>
      <c r="AG4" s="78">
        <v>0</v>
      </c>
    </row>
    <row r="5" spans="1:33" ht="15.75" thickBot="1" x14ac:dyDescent="0.3">
      <c r="A5" s="30" t="s">
        <v>12</v>
      </c>
      <c r="B5" s="149">
        <v>43896</v>
      </c>
      <c r="C5" s="31">
        <v>2567</v>
      </c>
      <c r="D5" s="150" t="s">
        <v>72</v>
      </c>
      <c r="E5" s="151">
        <v>43896</v>
      </c>
      <c r="F5" s="32">
        <v>93525</v>
      </c>
      <c r="G5" s="152"/>
      <c r="H5" s="153">
        <v>43896</v>
      </c>
      <c r="I5" s="33">
        <v>14659</v>
      </c>
      <c r="M5" s="34">
        <v>74142</v>
      </c>
      <c r="N5" s="35">
        <v>662</v>
      </c>
      <c r="O5" s="36"/>
      <c r="P5" s="36">
        <f>C5+I5+M5+N5+L12+L22</f>
        <v>93525</v>
      </c>
      <c r="Q5" s="5">
        <f>P5-F5</f>
        <v>0</v>
      </c>
      <c r="T5" s="37"/>
      <c r="U5" s="37"/>
      <c r="V5" s="29">
        <v>43840</v>
      </c>
      <c r="W5" s="38" t="s">
        <v>10</v>
      </c>
      <c r="X5" s="196">
        <v>5010</v>
      </c>
      <c r="Y5" s="197"/>
      <c r="AA5" s="19" t="s">
        <v>51</v>
      </c>
      <c r="AB5" s="167">
        <v>43854</v>
      </c>
      <c r="AC5" s="21">
        <v>2000</v>
      </c>
      <c r="AE5" s="89"/>
      <c r="AF5" s="20"/>
      <c r="AG5" s="78">
        <v>0</v>
      </c>
    </row>
    <row r="6" spans="1:33" ht="15.75" thickBot="1" x14ac:dyDescent="0.3">
      <c r="A6" s="30"/>
      <c r="B6" s="149">
        <v>43897</v>
      </c>
      <c r="C6" s="31">
        <v>2368</v>
      </c>
      <c r="D6" s="154" t="s">
        <v>180</v>
      </c>
      <c r="E6" s="151">
        <v>43897</v>
      </c>
      <c r="F6" s="32">
        <v>112022</v>
      </c>
      <c r="G6" s="152"/>
      <c r="H6" s="153">
        <v>43897</v>
      </c>
      <c r="I6" s="39">
        <v>130.53</v>
      </c>
      <c r="J6" s="40"/>
      <c r="K6" s="41"/>
      <c r="L6" s="42"/>
      <c r="M6" s="34">
        <v>100685</v>
      </c>
      <c r="N6" s="35">
        <v>3598</v>
      </c>
      <c r="O6" s="36" t="s">
        <v>12</v>
      </c>
      <c r="P6" s="36">
        <f>C6+I6+M6+N6+L13</f>
        <v>126180.9</v>
      </c>
      <c r="Q6" s="201">
        <f>P6-F6</f>
        <v>14158.899999999994</v>
      </c>
      <c r="R6" s="198"/>
      <c r="T6" s="37"/>
      <c r="U6" s="37"/>
      <c r="V6" s="43">
        <v>43847</v>
      </c>
      <c r="W6" s="44" t="s">
        <v>11</v>
      </c>
      <c r="X6" s="196">
        <v>5010</v>
      </c>
      <c r="Y6" s="197"/>
      <c r="AA6" s="19" t="s">
        <v>52</v>
      </c>
      <c r="AB6" s="167">
        <v>43860</v>
      </c>
      <c r="AC6" s="21">
        <v>2000</v>
      </c>
      <c r="AE6" s="89"/>
      <c r="AF6" s="20"/>
      <c r="AG6" s="78">
        <v>0</v>
      </c>
    </row>
    <row r="7" spans="1:33" ht="16.5" thickBot="1" x14ac:dyDescent="0.3">
      <c r="A7" s="30"/>
      <c r="B7" s="149">
        <v>43898</v>
      </c>
      <c r="C7" s="31">
        <v>1938</v>
      </c>
      <c r="D7" s="155" t="s">
        <v>142</v>
      </c>
      <c r="E7" s="151">
        <v>43898</v>
      </c>
      <c r="F7" s="32">
        <v>107431</v>
      </c>
      <c r="G7" s="152"/>
      <c r="H7" s="153">
        <v>43898</v>
      </c>
      <c r="I7" s="39">
        <v>95.75</v>
      </c>
      <c r="J7" s="45"/>
      <c r="K7" s="46" t="s">
        <v>13</v>
      </c>
      <c r="L7" s="47">
        <v>0</v>
      </c>
      <c r="M7" s="34">
        <v>101166</v>
      </c>
      <c r="N7" s="35">
        <v>4232</v>
      </c>
      <c r="O7" s="36"/>
      <c r="P7" s="36">
        <f>C7+I7+M7+N7</f>
        <v>107431.75</v>
      </c>
      <c r="Q7" s="5">
        <f t="shared" ref="Q7:Q11" si="0">P7-F7</f>
        <v>0.75</v>
      </c>
      <c r="S7" s="5"/>
      <c r="T7" s="4"/>
      <c r="U7" s="4"/>
      <c r="V7" s="48">
        <v>43847</v>
      </c>
      <c r="W7" s="38" t="s">
        <v>10</v>
      </c>
      <c r="X7" s="196">
        <v>5010</v>
      </c>
      <c r="Y7" s="197"/>
      <c r="AA7" s="19" t="s">
        <v>53</v>
      </c>
      <c r="AB7" s="167">
        <v>43868</v>
      </c>
      <c r="AC7" s="21">
        <v>2000</v>
      </c>
      <c r="AE7" s="89"/>
      <c r="AF7" s="20"/>
      <c r="AG7" s="78">
        <v>0</v>
      </c>
    </row>
    <row r="8" spans="1:33" ht="16.5" thickBot="1" x14ac:dyDescent="0.3">
      <c r="A8" s="30"/>
      <c r="B8" s="149">
        <v>43899</v>
      </c>
      <c r="C8" s="31">
        <v>12249</v>
      </c>
      <c r="D8" s="156" t="s">
        <v>198</v>
      </c>
      <c r="E8" s="151">
        <v>43899</v>
      </c>
      <c r="F8" s="32">
        <v>81389</v>
      </c>
      <c r="G8" s="152"/>
      <c r="H8" s="153">
        <v>43899</v>
      </c>
      <c r="I8" s="39">
        <v>0</v>
      </c>
      <c r="J8" s="51">
        <v>43917</v>
      </c>
      <c r="K8" s="49" t="s">
        <v>14</v>
      </c>
      <c r="L8" s="50">
        <v>23484</v>
      </c>
      <c r="M8" s="34">
        <v>66222</v>
      </c>
      <c r="N8" s="35">
        <v>2918</v>
      </c>
      <c r="O8" s="36"/>
      <c r="P8" s="36">
        <f>C8+I8+M8+N8</f>
        <v>81389</v>
      </c>
      <c r="Q8" s="5">
        <f t="shared" si="0"/>
        <v>0</v>
      </c>
      <c r="S8" s="5"/>
      <c r="T8" s="4"/>
      <c r="U8" s="4"/>
      <c r="V8" s="29">
        <v>43854</v>
      </c>
      <c r="W8" s="44" t="s">
        <v>11</v>
      </c>
      <c r="X8" s="196">
        <v>5010</v>
      </c>
      <c r="Y8" s="197"/>
      <c r="Z8" s="223" t="s">
        <v>170</v>
      </c>
      <c r="AA8" s="19" t="s">
        <v>54</v>
      </c>
      <c r="AB8" s="167">
        <v>43875</v>
      </c>
      <c r="AC8" s="21">
        <v>2000</v>
      </c>
      <c r="AE8" s="89"/>
      <c r="AF8" s="20"/>
      <c r="AG8" s="78">
        <v>0</v>
      </c>
    </row>
    <row r="9" spans="1:33" ht="16.5" thickBot="1" x14ac:dyDescent="0.3">
      <c r="A9" s="30"/>
      <c r="B9" s="149">
        <v>43900</v>
      </c>
      <c r="C9" s="31">
        <v>15956</v>
      </c>
      <c r="D9" s="157" t="s">
        <v>199</v>
      </c>
      <c r="E9" s="151">
        <v>43900</v>
      </c>
      <c r="F9" s="32">
        <v>65940</v>
      </c>
      <c r="G9" s="152"/>
      <c r="H9" s="153">
        <v>43900</v>
      </c>
      <c r="I9" s="39">
        <v>114</v>
      </c>
      <c r="J9" s="51">
        <v>43920</v>
      </c>
      <c r="K9" s="20" t="s">
        <v>15</v>
      </c>
      <c r="L9" s="52">
        <v>20000</v>
      </c>
      <c r="M9" s="34">
        <v>49557</v>
      </c>
      <c r="N9" s="35">
        <v>313</v>
      </c>
      <c r="O9" s="36"/>
      <c r="P9" s="36">
        <f>C9+I9+M9+N9</f>
        <v>65940</v>
      </c>
      <c r="Q9" s="5">
        <f t="shared" si="0"/>
        <v>0</v>
      </c>
      <c r="R9" s="5" t="s">
        <v>12</v>
      </c>
      <c r="S9" s="5"/>
      <c r="T9" s="4"/>
      <c r="U9" s="4"/>
      <c r="V9" s="48">
        <v>43854</v>
      </c>
      <c r="W9" s="38" t="s">
        <v>10</v>
      </c>
      <c r="X9" s="196">
        <v>5010</v>
      </c>
      <c r="Y9" s="197"/>
      <c r="AA9" s="19" t="s">
        <v>55</v>
      </c>
      <c r="AB9" s="167">
        <v>43880</v>
      </c>
      <c r="AC9" s="21">
        <v>2000</v>
      </c>
      <c r="AE9" s="89"/>
      <c r="AF9" s="20"/>
      <c r="AG9" s="78">
        <v>0</v>
      </c>
    </row>
    <row r="10" spans="1:33" ht="16.5" thickBot="1" x14ac:dyDescent="0.3">
      <c r="A10" s="30"/>
      <c r="B10" s="149">
        <v>43901</v>
      </c>
      <c r="C10" s="31">
        <v>2400</v>
      </c>
      <c r="D10" s="154" t="s">
        <v>200</v>
      </c>
      <c r="E10" s="151">
        <v>43901</v>
      </c>
      <c r="F10" s="32">
        <v>74179</v>
      </c>
      <c r="G10" s="152"/>
      <c r="H10" s="153">
        <v>43901</v>
      </c>
      <c r="I10" s="39">
        <v>0</v>
      </c>
      <c r="J10" s="53"/>
      <c r="K10" s="54"/>
      <c r="L10" s="55"/>
      <c r="M10" s="34">
        <f>64432+18192.5</f>
        <v>82624.5</v>
      </c>
      <c r="N10" s="35">
        <v>1895</v>
      </c>
      <c r="O10" s="36"/>
      <c r="P10" s="36">
        <f>C10+I10+M10+N10+L11</f>
        <v>86919.5</v>
      </c>
      <c r="Q10" s="198">
        <f t="shared" si="0"/>
        <v>12740.5</v>
      </c>
      <c r="T10" s="37"/>
      <c r="U10" s="37"/>
      <c r="V10" s="29">
        <v>43861</v>
      </c>
      <c r="W10" s="44" t="s">
        <v>11</v>
      </c>
      <c r="X10" s="196">
        <v>5010</v>
      </c>
      <c r="Y10" s="197"/>
      <c r="AA10" s="19" t="s">
        <v>56</v>
      </c>
      <c r="AB10" s="167">
        <v>43887</v>
      </c>
      <c r="AC10" s="21">
        <v>2000</v>
      </c>
      <c r="AE10" s="89"/>
      <c r="AF10" s="20"/>
      <c r="AG10" s="78">
        <v>0</v>
      </c>
    </row>
    <row r="11" spans="1:33" ht="15.75" thickBot="1" x14ac:dyDescent="0.3">
      <c r="A11" s="30"/>
      <c r="B11" s="149">
        <v>43902</v>
      </c>
      <c r="C11" s="31">
        <v>4852</v>
      </c>
      <c r="D11" s="154" t="s">
        <v>201</v>
      </c>
      <c r="E11" s="151">
        <v>43902</v>
      </c>
      <c r="F11" s="32">
        <v>59539</v>
      </c>
      <c r="G11" s="152"/>
      <c r="H11" s="153">
        <v>43902</v>
      </c>
      <c r="I11" s="39">
        <v>250</v>
      </c>
      <c r="J11" s="56"/>
      <c r="K11" s="57"/>
      <c r="L11" s="55"/>
      <c r="M11" s="34">
        <v>53273</v>
      </c>
      <c r="N11" s="35">
        <v>1164</v>
      </c>
      <c r="O11" s="36"/>
      <c r="P11" s="36">
        <f>C11+I11+M11+N11</f>
        <v>59539</v>
      </c>
      <c r="Q11" s="5">
        <f t="shared" si="0"/>
        <v>0</v>
      </c>
      <c r="S11" s="58">
        <v>300</v>
      </c>
      <c r="T11" s="37"/>
      <c r="U11" s="37"/>
      <c r="V11" s="29">
        <v>43861</v>
      </c>
      <c r="W11" s="38" t="s">
        <v>10</v>
      </c>
      <c r="X11" s="196">
        <v>5010</v>
      </c>
      <c r="Y11" s="197"/>
      <c r="AA11" s="19" t="s">
        <v>57</v>
      </c>
      <c r="AB11" s="29">
        <v>43896</v>
      </c>
      <c r="AC11" s="21">
        <v>2000</v>
      </c>
      <c r="AE11" s="89"/>
      <c r="AF11" s="20"/>
      <c r="AG11" s="78">
        <v>0</v>
      </c>
    </row>
    <row r="12" spans="1:33" ht="15.75" thickBot="1" x14ac:dyDescent="0.3">
      <c r="A12" s="30"/>
      <c r="B12" s="149">
        <v>43903</v>
      </c>
      <c r="C12" s="31">
        <v>12830</v>
      </c>
      <c r="D12" s="154" t="s">
        <v>202</v>
      </c>
      <c r="E12" s="151">
        <v>43903</v>
      </c>
      <c r="F12" s="32">
        <v>105602</v>
      </c>
      <c r="G12" s="152"/>
      <c r="H12" s="153">
        <v>43903</v>
      </c>
      <c r="I12" s="39">
        <v>12050</v>
      </c>
      <c r="J12" s="60">
        <v>43896</v>
      </c>
      <c r="K12" s="20" t="s">
        <v>140</v>
      </c>
      <c r="L12" s="55">
        <v>300</v>
      </c>
      <c r="M12" s="34">
        <v>76891</v>
      </c>
      <c r="N12" s="35">
        <v>3831</v>
      </c>
      <c r="O12" s="36"/>
      <c r="P12" s="36">
        <f>C12+I12+M12+N12</f>
        <v>105602</v>
      </c>
      <c r="Q12" s="5">
        <f>P12-F12</f>
        <v>0</v>
      </c>
      <c r="S12" s="58">
        <f>4878.74+4000</f>
        <v>8878.74</v>
      </c>
      <c r="T12" s="61" t="s">
        <v>139</v>
      </c>
      <c r="U12" s="61"/>
      <c r="V12" s="29">
        <v>43868</v>
      </c>
      <c r="W12" s="44" t="s">
        <v>11</v>
      </c>
      <c r="X12" s="196">
        <v>5010</v>
      </c>
      <c r="Y12" s="197"/>
      <c r="AA12" s="19" t="s">
        <v>58</v>
      </c>
      <c r="AB12" s="167">
        <v>43903</v>
      </c>
      <c r="AC12" s="21">
        <v>2000</v>
      </c>
      <c r="AE12" s="41"/>
      <c r="AF12" s="20"/>
      <c r="AG12" s="78">
        <v>0</v>
      </c>
    </row>
    <row r="13" spans="1:33" ht="15.75" thickBot="1" x14ac:dyDescent="0.3">
      <c r="A13" s="30"/>
      <c r="B13" s="149">
        <v>43904</v>
      </c>
      <c r="C13" s="31">
        <v>1672</v>
      </c>
      <c r="D13" s="156" t="s">
        <v>174</v>
      </c>
      <c r="E13" s="151">
        <v>43904</v>
      </c>
      <c r="F13" s="32">
        <v>140032</v>
      </c>
      <c r="G13" s="152"/>
      <c r="H13" s="153">
        <v>43904</v>
      </c>
      <c r="I13" s="39">
        <v>0</v>
      </c>
      <c r="J13" s="60">
        <v>43897</v>
      </c>
      <c r="K13" s="20" t="s">
        <v>139</v>
      </c>
      <c r="L13" s="55">
        <f>14999.37+400+4000</f>
        <v>19399.370000000003</v>
      </c>
      <c r="M13" s="34">
        <v>119896</v>
      </c>
      <c r="N13" s="35">
        <v>7615</v>
      </c>
      <c r="O13" s="36"/>
      <c r="P13" s="36">
        <f>C13+I13+M13+N13+L14</f>
        <v>148910.94</v>
      </c>
      <c r="Q13" s="201">
        <f>P13-F13</f>
        <v>8878.9400000000023</v>
      </c>
      <c r="S13" s="58">
        <f>4878.74+4000</f>
        <v>8878.74</v>
      </c>
      <c r="T13" s="61" t="s">
        <v>141</v>
      </c>
      <c r="U13" s="61"/>
      <c r="V13" s="29">
        <v>43868</v>
      </c>
      <c r="W13" s="38" t="s">
        <v>10</v>
      </c>
      <c r="X13" s="196">
        <v>5010</v>
      </c>
      <c r="Y13" s="197"/>
      <c r="AA13" s="19" t="s">
        <v>59</v>
      </c>
      <c r="AB13" s="167">
        <v>43908</v>
      </c>
      <c r="AC13" s="21">
        <v>2000</v>
      </c>
    </row>
    <row r="14" spans="1:33" ht="15.75" thickBot="1" x14ac:dyDescent="0.3">
      <c r="A14" s="30"/>
      <c r="B14" s="149">
        <v>43905</v>
      </c>
      <c r="C14" s="31">
        <v>6794</v>
      </c>
      <c r="D14" s="155" t="s">
        <v>203</v>
      </c>
      <c r="E14" s="151">
        <v>43905</v>
      </c>
      <c r="F14" s="32">
        <v>105562</v>
      </c>
      <c r="G14" s="152"/>
      <c r="H14" s="153">
        <v>43905</v>
      </c>
      <c r="I14" s="39">
        <v>0</v>
      </c>
      <c r="J14" s="60">
        <v>43904</v>
      </c>
      <c r="K14" s="20" t="s">
        <v>141</v>
      </c>
      <c r="L14" s="55">
        <f>15327.94+400+4000</f>
        <v>19727.940000000002</v>
      </c>
      <c r="M14" s="34">
        <v>95097</v>
      </c>
      <c r="N14" s="35">
        <v>3671</v>
      </c>
      <c r="O14" s="36"/>
      <c r="P14" s="36">
        <f>C14+I14+M14+N14+L20</f>
        <v>105562</v>
      </c>
      <c r="Q14" s="5">
        <f>P14-F14</f>
        <v>0</v>
      </c>
      <c r="S14" s="58">
        <v>8727.19</v>
      </c>
      <c r="T14" s="61" t="s">
        <v>193</v>
      </c>
      <c r="U14" s="61"/>
      <c r="V14" s="29">
        <v>43875</v>
      </c>
      <c r="W14" s="44" t="s">
        <v>11</v>
      </c>
      <c r="X14" s="196">
        <v>5010</v>
      </c>
      <c r="Y14" s="197"/>
      <c r="AA14" s="19" t="s">
        <v>214</v>
      </c>
      <c r="AB14" s="167">
        <v>43922</v>
      </c>
      <c r="AC14" s="21">
        <v>4000</v>
      </c>
    </row>
    <row r="15" spans="1:33" ht="15.75" thickBot="1" x14ac:dyDescent="0.3">
      <c r="A15" s="30"/>
      <c r="B15" s="149">
        <v>43906</v>
      </c>
      <c r="C15" s="31">
        <v>1302</v>
      </c>
      <c r="D15" s="154" t="s">
        <v>72</v>
      </c>
      <c r="E15" s="151">
        <v>43906</v>
      </c>
      <c r="F15" s="32">
        <v>93609</v>
      </c>
      <c r="G15" s="152"/>
      <c r="H15" s="153">
        <v>43906</v>
      </c>
      <c r="I15" s="39">
        <v>0</v>
      </c>
      <c r="J15" s="60">
        <v>43911</v>
      </c>
      <c r="K15" s="20" t="s">
        <v>193</v>
      </c>
      <c r="L15" s="55">
        <f>15387.83+400+4000</f>
        <v>19787.830000000002</v>
      </c>
      <c r="M15" s="34">
        <v>87646</v>
      </c>
      <c r="N15" s="35">
        <v>4661</v>
      </c>
      <c r="O15" s="36"/>
      <c r="P15" s="36">
        <f>C15+I15+M15+N15</f>
        <v>93609</v>
      </c>
      <c r="Q15" s="5">
        <f t="shared" ref="Q15:Q38" si="1">P15-F15</f>
        <v>0</v>
      </c>
      <c r="S15" s="58">
        <v>8126.57</v>
      </c>
      <c r="T15" s="61" t="s">
        <v>194</v>
      </c>
      <c r="U15" s="61"/>
      <c r="V15" s="29">
        <v>43875</v>
      </c>
      <c r="W15" s="38" t="s">
        <v>10</v>
      </c>
      <c r="X15" s="196">
        <v>5010</v>
      </c>
      <c r="Y15" s="197"/>
      <c r="AA15" s="19" t="s">
        <v>62</v>
      </c>
      <c r="AB15" s="167"/>
      <c r="AC15" s="21">
        <v>0</v>
      </c>
    </row>
    <row r="16" spans="1:33" ht="15.75" thickBot="1" x14ac:dyDescent="0.3">
      <c r="A16" s="30"/>
      <c r="B16" s="149">
        <v>43907</v>
      </c>
      <c r="C16" s="31">
        <v>12675</v>
      </c>
      <c r="D16" s="154" t="s">
        <v>47</v>
      </c>
      <c r="E16" s="151">
        <v>43907</v>
      </c>
      <c r="F16" s="32">
        <v>71910</v>
      </c>
      <c r="G16" s="152"/>
      <c r="H16" s="153">
        <v>43907</v>
      </c>
      <c r="I16" s="39">
        <v>76</v>
      </c>
      <c r="J16" s="60">
        <v>43918</v>
      </c>
      <c r="K16" s="20" t="s">
        <v>194</v>
      </c>
      <c r="L16" s="5">
        <f>13441.57+400+4000</f>
        <v>17841.57</v>
      </c>
      <c r="M16" s="34">
        <v>57332</v>
      </c>
      <c r="N16" s="35">
        <v>1827</v>
      </c>
      <c r="O16" s="36"/>
      <c r="P16" s="36">
        <f>C16+I16+M16+N16</f>
        <v>71910</v>
      </c>
      <c r="Q16" s="5">
        <f t="shared" si="1"/>
        <v>0</v>
      </c>
      <c r="S16" s="58">
        <v>8878.57</v>
      </c>
      <c r="T16" s="61" t="s">
        <v>195</v>
      </c>
      <c r="U16" s="61"/>
      <c r="V16" s="30">
        <v>43882</v>
      </c>
      <c r="W16" s="44" t="s">
        <v>11</v>
      </c>
      <c r="X16" s="196">
        <v>5010</v>
      </c>
      <c r="Y16" s="41"/>
      <c r="AA16" s="19" t="s">
        <v>63</v>
      </c>
      <c r="AB16" s="29"/>
      <c r="AC16" s="21">
        <v>0</v>
      </c>
    </row>
    <row r="17" spans="1:29" ht="16.5" thickBot="1" x14ac:dyDescent="0.3">
      <c r="A17" s="30"/>
      <c r="B17" s="149">
        <v>43908</v>
      </c>
      <c r="C17" s="31">
        <v>1868</v>
      </c>
      <c r="D17" s="156" t="s">
        <v>204</v>
      </c>
      <c r="E17" s="151">
        <v>43908</v>
      </c>
      <c r="F17" s="32">
        <v>83114</v>
      </c>
      <c r="G17" s="152"/>
      <c r="H17" s="153">
        <v>43908</v>
      </c>
      <c r="I17" s="39">
        <v>2000</v>
      </c>
      <c r="J17" s="67">
        <v>43925</v>
      </c>
      <c r="K17" s="20" t="s">
        <v>197</v>
      </c>
      <c r="L17" s="68">
        <f>15048.57+400+4000</f>
        <v>19448.57</v>
      </c>
      <c r="M17" s="34">
        <v>77484</v>
      </c>
      <c r="N17" s="35">
        <v>1762</v>
      </c>
      <c r="O17" s="36"/>
      <c r="P17" s="36">
        <f>C17+I17+M17+N17+L7</f>
        <v>83114</v>
      </c>
      <c r="Q17" s="5">
        <f t="shared" si="1"/>
        <v>0</v>
      </c>
      <c r="S17" s="58">
        <v>0</v>
      </c>
      <c r="T17" s="188" t="s">
        <v>140</v>
      </c>
      <c r="U17" s="221"/>
      <c r="V17" s="225">
        <v>43882</v>
      </c>
      <c r="W17" s="38" t="s">
        <v>10</v>
      </c>
      <c r="X17" s="196">
        <v>5010</v>
      </c>
      <c r="Y17" s="41"/>
      <c r="AA17" s="19" t="s">
        <v>64</v>
      </c>
      <c r="AB17" s="167"/>
      <c r="AC17" s="21">
        <v>0</v>
      </c>
    </row>
    <row r="18" spans="1:29" ht="15.75" thickBot="1" x14ac:dyDescent="0.3">
      <c r="A18" s="30"/>
      <c r="B18" s="149">
        <v>43909</v>
      </c>
      <c r="C18" s="31">
        <v>1767</v>
      </c>
      <c r="D18" s="154" t="s">
        <v>180</v>
      </c>
      <c r="E18" s="151">
        <v>43909</v>
      </c>
      <c r="F18" s="32">
        <v>74875</v>
      </c>
      <c r="G18" s="152"/>
      <c r="H18" s="153">
        <v>43909</v>
      </c>
      <c r="I18" s="39">
        <v>0</v>
      </c>
      <c r="J18" s="67"/>
      <c r="K18" s="71"/>
      <c r="L18" s="55"/>
      <c r="M18" s="34">
        <v>70484</v>
      </c>
      <c r="N18" s="35">
        <v>2624</v>
      </c>
      <c r="O18" s="36"/>
      <c r="P18" s="36">
        <f>C18+I18+M18+N18</f>
        <v>74875</v>
      </c>
      <c r="Q18" s="5">
        <f t="shared" si="1"/>
        <v>0</v>
      </c>
      <c r="S18" s="5">
        <f>SUM(S11:S17)</f>
        <v>43789.81</v>
      </c>
      <c r="T18" s="37" t="s">
        <v>17</v>
      </c>
      <c r="U18" s="37"/>
      <c r="V18" s="30">
        <v>43889</v>
      </c>
      <c r="W18" s="44" t="s">
        <v>11</v>
      </c>
      <c r="X18" s="196">
        <v>5010</v>
      </c>
      <c r="Y18" s="41"/>
      <c r="AA18" s="19" t="s">
        <v>65</v>
      </c>
      <c r="AB18" s="167"/>
      <c r="AC18" s="21">
        <v>0</v>
      </c>
    </row>
    <row r="19" spans="1:29" ht="15.75" thickBot="1" x14ac:dyDescent="0.3">
      <c r="A19" s="30"/>
      <c r="B19" s="149">
        <v>43910</v>
      </c>
      <c r="C19" s="31">
        <v>24587</v>
      </c>
      <c r="D19" s="154" t="s">
        <v>205</v>
      </c>
      <c r="E19" s="151">
        <v>43910</v>
      </c>
      <c r="F19" s="32">
        <v>99486</v>
      </c>
      <c r="G19" s="152"/>
      <c r="H19" s="153">
        <v>43910</v>
      </c>
      <c r="I19" s="39">
        <v>0</v>
      </c>
      <c r="J19" s="67"/>
      <c r="K19" s="72"/>
      <c r="L19" s="73"/>
      <c r="M19" s="34">
        <v>70171</v>
      </c>
      <c r="N19" s="35">
        <v>4728</v>
      </c>
      <c r="O19" s="36" t="s">
        <v>12</v>
      </c>
      <c r="P19" s="36">
        <f>C19+I19+M19+N19</f>
        <v>99486</v>
      </c>
      <c r="Q19" s="5">
        <f t="shared" si="1"/>
        <v>0</v>
      </c>
      <c r="T19" s="8"/>
      <c r="U19" s="8"/>
      <c r="V19" s="30">
        <v>43889</v>
      </c>
      <c r="W19" s="38" t="s">
        <v>10</v>
      </c>
      <c r="X19" s="196">
        <v>5010</v>
      </c>
      <c r="Y19" s="41"/>
      <c r="AA19" s="19" t="s">
        <v>66</v>
      </c>
      <c r="AB19" s="29"/>
      <c r="AC19" s="21">
        <v>0</v>
      </c>
    </row>
    <row r="20" spans="1:29" ht="15.75" thickBot="1" x14ac:dyDescent="0.3">
      <c r="A20" s="30"/>
      <c r="B20" s="149">
        <v>43911</v>
      </c>
      <c r="C20" s="31">
        <v>2303</v>
      </c>
      <c r="D20" s="154" t="s">
        <v>206</v>
      </c>
      <c r="E20" s="151">
        <v>43911</v>
      </c>
      <c r="F20" s="32">
        <v>140852</v>
      </c>
      <c r="G20" s="152"/>
      <c r="H20" s="153">
        <v>43911</v>
      </c>
      <c r="I20" s="39">
        <v>250</v>
      </c>
      <c r="J20" s="60"/>
      <c r="K20" s="220"/>
      <c r="L20" s="68"/>
      <c r="M20" s="34">
        <v>118978</v>
      </c>
      <c r="N20" s="35">
        <v>8260</v>
      </c>
      <c r="O20" s="36"/>
      <c r="P20" s="36">
        <f>C20+I20+M20+N20+L15</f>
        <v>149578.83000000002</v>
      </c>
      <c r="Q20" s="201">
        <f t="shared" si="1"/>
        <v>8726.8300000000163</v>
      </c>
      <c r="T20" s="8"/>
      <c r="U20" s="8"/>
      <c r="V20" s="245">
        <v>43896</v>
      </c>
      <c r="W20" s="44" t="s">
        <v>11</v>
      </c>
      <c r="X20" s="196">
        <v>5010</v>
      </c>
      <c r="Y20" s="41"/>
      <c r="AA20" s="19" t="s">
        <v>67</v>
      </c>
      <c r="AB20" s="167"/>
      <c r="AC20" s="21">
        <v>0</v>
      </c>
    </row>
    <row r="21" spans="1:29" ht="16.5" thickBot="1" x14ac:dyDescent="0.3">
      <c r="A21" s="30"/>
      <c r="B21" s="149">
        <v>43912</v>
      </c>
      <c r="C21" s="31">
        <v>4929</v>
      </c>
      <c r="D21" s="154" t="s">
        <v>207</v>
      </c>
      <c r="E21" s="151">
        <v>43912</v>
      </c>
      <c r="F21" s="32">
        <v>131316</v>
      </c>
      <c r="G21" s="152"/>
      <c r="H21" s="153">
        <v>43912</v>
      </c>
      <c r="I21" s="39">
        <v>800</v>
      </c>
      <c r="J21" s="67"/>
      <c r="K21" s="74"/>
      <c r="L21" s="68"/>
      <c r="M21" s="34">
        <v>121395</v>
      </c>
      <c r="N21" s="35">
        <v>4192</v>
      </c>
      <c r="O21" s="36"/>
      <c r="P21" s="36">
        <f>C21+I21+M21+N21+L21</f>
        <v>131316</v>
      </c>
      <c r="Q21" s="5">
        <f t="shared" si="1"/>
        <v>0</v>
      </c>
      <c r="T21" s="8"/>
      <c r="U21" s="8"/>
      <c r="V21" s="29">
        <v>43896</v>
      </c>
      <c r="W21" s="38" t="s">
        <v>10</v>
      </c>
      <c r="X21" s="196">
        <v>5010</v>
      </c>
      <c r="Y21" s="41"/>
      <c r="AA21" s="19" t="s">
        <v>143</v>
      </c>
      <c r="AB21" s="167"/>
      <c r="AC21" s="21">
        <v>0</v>
      </c>
    </row>
    <row r="22" spans="1:29" ht="15.75" thickBot="1" x14ac:dyDescent="0.3">
      <c r="A22" s="30"/>
      <c r="B22" s="149">
        <v>43913</v>
      </c>
      <c r="C22" s="31">
        <v>15643</v>
      </c>
      <c r="D22" s="154" t="s">
        <v>208</v>
      </c>
      <c r="E22" s="151">
        <v>43913</v>
      </c>
      <c r="F22" s="32">
        <v>77087</v>
      </c>
      <c r="G22" s="152"/>
      <c r="H22" s="153">
        <v>43913</v>
      </c>
      <c r="I22" s="39">
        <v>120</v>
      </c>
      <c r="J22" s="76">
        <v>43896</v>
      </c>
      <c r="K22" s="59" t="s">
        <v>196</v>
      </c>
      <c r="L22" s="77">
        <v>1195</v>
      </c>
      <c r="M22" s="34">
        <v>57526</v>
      </c>
      <c r="N22" s="35">
        <v>3798</v>
      </c>
      <c r="O22" s="36"/>
      <c r="P22" s="36">
        <f>C22+I22+M22+N22</f>
        <v>77087</v>
      </c>
      <c r="Q22" s="5">
        <f>P22-F22</f>
        <v>0</v>
      </c>
      <c r="T22" s="8"/>
      <c r="U22" s="8"/>
      <c r="V22" s="29">
        <v>43903</v>
      </c>
      <c r="W22" s="44" t="s">
        <v>11</v>
      </c>
      <c r="X22" s="196">
        <v>5010</v>
      </c>
      <c r="Y22" s="41"/>
      <c r="AA22" s="19" t="s">
        <v>144</v>
      </c>
      <c r="AB22" s="167"/>
      <c r="AC22" s="21">
        <v>0</v>
      </c>
    </row>
    <row r="23" spans="1:29" ht="15.75" thickBot="1" x14ac:dyDescent="0.3">
      <c r="A23" s="30"/>
      <c r="B23" s="149">
        <v>43914</v>
      </c>
      <c r="C23" s="31">
        <v>2072</v>
      </c>
      <c r="D23" s="154" t="s">
        <v>209</v>
      </c>
      <c r="E23" s="151">
        <v>43914</v>
      </c>
      <c r="F23" s="32">
        <v>79388</v>
      </c>
      <c r="G23" s="152"/>
      <c r="H23" s="153">
        <v>43914</v>
      </c>
      <c r="I23" s="39">
        <v>114</v>
      </c>
      <c r="J23" s="79"/>
      <c r="K23" s="166"/>
      <c r="L23" s="68"/>
      <c r="M23" s="34">
        <v>75294</v>
      </c>
      <c r="N23" s="35">
        <v>1908</v>
      </c>
      <c r="O23" s="36"/>
      <c r="P23" s="36">
        <f t="shared" ref="P23" si="2">C23+I23+M23+N23</f>
        <v>79388</v>
      </c>
      <c r="Q23" s="5">
        <v>0</v>
      </c>
      <c r="T23" s="8"/>
      <c r="U23" s="8"/>
      <c r="V23" s="29">
        <v>43903</v>
      </c>
      <c r="W23" s="38" t="s">
        <v>10</v>
      </c>
      <c r="X23" s="196">
        <v>5010</v>
      </c>
      <c r="Y23" s="41"/>
      <c r="AA23" s="19" t="s">
        <v>145</v>
      </c>
      <c r="AB23" s="167"/>
      <c r="AC23" s="21">
        <v>0</v>
      </c>
    </row>
    <row r="24" spans="1:29" ht="15.75" thickBot="1" x14ac:dyDescent="0.3">
      <c r="A24" s="30"/>
      <c r="B24" s="149">
        <v>43915</v>
      </c>
      <c r="C24" s="31">
        <v>19448.5</v>
      </c>
      <c r="D24" s="154" t="s">
        <v>205</v>
      </c>
      <c r="E24" s="151">
        <v>43915</v>
      </c>
      <c r="F24" s="32">
        <v>71607</v>
      </c>
      <c r="G24" s="152"/>
      <c r="H24" s="153">
        <v>43915</v>
      </c>
      <c r="I24" s="39">
        <v>0</v>
      </c>
      <c r="J24" s="80"/>
      <c r="K24" s="81"/>
      <c r="L24" s="82"/>
      <c r="M24" s="34">
        <v>48563.5</v>
      </c>
      <c r="N24" s="35">
        <v>3595</v>
      </c>
      <c r="O24" s="36"/>
      <c r="P24" s="36">
        <f>C24+I24+M24+N24</f>
        <v>71607</v>
      </c>
      <c r="Q24" s="5">
        <f t="shared" si="1"/>
        <v>0</v>
      </c>
      <c r="T24" s="8"/>
      <c r="U24" s="8"/>
      <c r="V24" s="29">
        <v>43916</v>
      </c>
      <c r="W24" s="44" t="s">
        <v>11</v>
      </c>
      <c r="X24" s="196">
        <v>5010</v>
      </c>
      <c r="Y24" s="41"/>
      <c r="Z24" t="s">
        <v>12</v>
      </c>
      <c r="AA24" s="19" t="s">
        <v>146</v>
      </c>
      <c r="AB24" s="167"/>
      <c r="AC24" s="21">
        <v>0</v>
      </c>
    </row>
    <row r="25" spans="1:29" ht="15.75" thickBot="1" x14ac:dyDescent="0.3">
      <c r="A25" s="30"/>
      <c r="B25" s="149">
        <v>43916</v>
      </c>
      <c r="C25" s="31">
        <v>3410</v>
      </c>
      <c r="D25" s="154" t="s">
        <v>210</v>
      </c>
      <c r="E25" s="151">
        <v>43916</v>
      </c>
      <c r="F25" s="32">
        <v>58924</v>
      </c>
      <c r="G25" s="152"/>
      <c r="H25" s="153">
        <v>43916</v>
      </c>
      <c r="I25" s="39">
        <v>5010</v>
      </c>
      <c r="J25" s="83"/>
      <c r="K25" s="84"/>
      <c r="L25" s="62"/>
      <c r="M25" s="34">
        <f>45140+3485</f>
        <v>48625</v>
      </c>
      <c r="N25" s="35">
        <v>1879</v>
      </c>
      <c r="O25" s="36" t="s">
        <v>12</v>
      </c>
      <c r="P25" s="36">
        <f>C25+I25+M25+N25</f>
        <v>58924</v>
      </c>
      <c r="Q25" s="5">
        <f t="shared" si="1"/>
        <v>0</v>
      </c>
      <c r="V25" s="29">
        <v>43924</v>
      </c>
      <c r="W25" s="38" t="s">
        <v>10</v>
      </c>
      <c r="X25" s="196">
        <v>5010</v>
      </c>
      <c r="Y25" s="41"/>
      <c r="AA25" s="19" t="s">
        <v>147</v>
      </c>
      <c r="AB25" s="167"/>
      <c r="AC25" s="21">
        <v>0</v>
      </c>
    </row>
    <row r="26" spans="1:29" ht="15.75" thickBot="1" x14ac:dyDescent="0.3">
      <c r="A26" s="30"/>
      <c r="B26" s="149">
        <v>43917</v>
      </c>
      <c r="C26" s="31">
        <v>3958</v>
      </c>
      <c r="D26" s="154" t="s">
        <v>211</v>
      </c>
      <c r="E26" s="151">
        <v>43917</v>
      </c>
      <c r="F26" s="32">
        <v>87194</v>
      </c>
      <c r="G26" s="152"/>
      <c r="H26" s="153">
        <v>43917</v>
      </c>
      <c r="I26" s="39">
        <v>0</v>
      </c>
      <c r="J26" s="67"/>
      <c r="K26" s="85"/>
      <c r="L26" s="55"/>
      <c r="M26" s="34">
        <f>69835+10601</f>
        <v>80436</v>
      </c>
      <c r="N26" s="35">
        <v>2796</v>
      </c>
      <c r="O26" s="36"/>
      <c r="P26" s="36">
        <f>C26+I26+M26+N26++L19</f>
        <v>87190</v>
      </c>
      <c r="Q26" s="246">
        <f t="shared" si="1"/>
        <v>-4</v>
      </c>
      <c r="S26" s="86"/>
      <c r="T26" s="86"/>
      <c r="U26" s="86"/>
      <c r="V26" s="29">
        <v>43924</v>
      </c>
      <c r="W26" s="44" t="s">
        <v>11</v>
      </c>
      <c r="X26" s="196">
        <v>5010</v>
      </c>
      <c r="Y26" s="41"/>
      <c r="AA26" s="19" t="s">
        <v>148</v>
      </c>
      <c r="AB26" s="167"/>
      <c r="AC26" s="21">
        <v>0</v>
      </c>
    </row>
    <row r="27" spans="1:29" ht="15" customHeight="1" thickBot="1" x14ac:dyDescent="0.3">
      <c r="A27" s="30"/>
      <c r="B27" s="149">
        <v>43918</v>
      </c>
      <c r="C27" s="31">
        <v>9980</v>
      </c>
      <c r="D27" s="154" t="s">
        <v>75</v>
      </c>
      <c r="E27" s="151">
        <v>43918</v>
      </c>
      <c r="F27" s="32">
        <v>132064</v>
      </c>
      <c r="G27" s="152"/>
      <c r="H27" s="153">
        <v>43918</v>
      </c>
      <c r="I27" s="39">
        <v>15155</v>
      </c>
      <c r="J27" s="228" t="s">
        <v>223</v>
      </c>
      <c r="K27" s="163" t="s">
        <v>135</v>
      </c>
      <c r="L27" s="161">
        <v>1315.86</v>
      </c>
      <c r="M27" s="34">
        <v>92765</v>
      </c>
      <c r="N27" s="35">
        <v>4449</v>
      </c>
      <c r="O27" s="36"/>
      <c r="P27" s="36">
        <f>C27+I27+M27+N27+L16</f>
        <v>140190.57</v>
      </c>
      <c r="Q27" s="201">
        <f>P27-F27+5800</f>
        <v>13926.570000000007</v>
      </c>
      <c r="R27" s="247" t="s">
        <v>15</v>
      </c>
      <c r="V27" s="29"/>
      <c r="W27" s="38" t="s">
        <v>10</v>
      </c>
      <c r="X27" s="196">
        <v>0</v>
      </c>
      <c r="Y27" s="41"/>
      <c r="AA27" s="19" t="s">
        <v>149</v>
      </c>
      <c r="AB27" s="167"/>
      <c r="AC27" s="21">
        <v>0</v>
      </c>
    </row>
    <row r="28" spans="1:29" ht="16.5" thickBot="1" x14ac:dyDescent="0.3">
      <c r="A28" s="30"/>
      <c r="B28" s="149">
        <v>43919</v>
      </c>
      <c r="C28" s="248">
        <v>0</v>
      </c>
      <c r="D28" s="266" t="s">
        <v>235</v>
      </c>
      <c r="E28" s="151">
        <v>43919</v>
      </c>
      <c r="F28" s="249">
        <v>0</v>
      </c>
      <c r="G28" s="152"/>
      <c r="H28" s="153">
        <v>43919</v>
      </c>
      <c r="I28" s="250">
        <v>0</v>
      </c>
      <c r="J28" s="228" t="s">
        <v>223</v>
      </c>
      <c r="K28" s="164" t="s">
        <v>234</v>
      </c>
      <c r="L28" s="161">
        <v>4753.2</v>
      </c>
      <c r="M28" s="251">
        <v>0</v>
      </c>
      <c r="N28" s="252">
        <v>0</v>
      </c>
      <c r="O28" s="36"/>
      <c r="P28" s="253">
        <f>C28+I28+M28+N28</f>
        <v>0</v>
      </c>
      <c r="Q28" s="5">
        <f t="shared" si="1"/>
        <v>0</v>
      </c>
      <c r="V28" s="29"/>
      <c r="W28" s="44" t="s">
        <v>11</v>
      </c>
      <c r="X28" s="196">
        <v>0</v>
      </c>
      <c r="Y28" s="41"/>
      <c r="AA28" s="19" t="s">
        <v>150</v>
      </c>
      <c r="AB28" s="167"/>
      <c r="AC28" s="21">
        <v>0</v>
      </c>
    </row>
    <row r="29" spans="1:29" ht="15.75" thickBot="1" x14ac:dyDescent="0.3">
      <c r="A29" s="30"/>
      <c r="B29" s="149">
        <v>43920</v>
      </c>
      <c r="C29" s="31">
        <v>6251</v>
      </c>
      <c r="D29" s="241" t="s">
        <v>212</v>
      </c>
      <c r="E29" s="239">
        <v>43920</v>
      </c>
      <c r="F29" s="32">
        <v>142734</v>
      </c>
      <c r="G29" s="152"/>
      <c r="H29" s="153">
        <v>43920</v>
      </c>
      <c r="I29" s="39">
        <v>4200</v>
      </c>
      <c r="J29" s="228" t="s">
        <v>223</v>
      </c>
      <c r="K29" s="163" t="s">
        <v>230</v>
      </c>
      <c r="L29" s="161">
        <v>3636</v>
      </c>
      <c r="M29" s="34">
        <v>110000</v>
      </c>
      <c r="N29" s="35">
        <v>2298</v>
      </c>
      <c r="O29" s="36"/>
      <c r="P29" s="36">
        <f>C29+I29+M29+N29</f>
        <v>122749</v>
      </c>
      <c r="Q29" s="5">
        <f>P29-F29+L9</f>
        <v>15</v>
      </c>
      <c r="S29" s="6" t="s">
        <v>12</v>
      </c>
      <c r="V29" s="29"/>
      <c r="W29" s="38" t="s">
        <v>10</v>
      </c>
      <c r="X29" s="196">
        <v>0</v>
      </c>
      <c r="Y29" s="41"/>
      <c r="AA29" s="19" t="s">
        <v>151</v>
      </c>
      <c r="AB29" s="167"/>
      <c r="AC29" s="21">
        <v>0</v>
      </c>
    </row>
    <row r="30" spans="1:29" ht="15.75" thickBot="1" x14ac:dyDescent="0.3">
      <c r="A30" s="30"/>
      <c r="B30" s="149">
        <v>43921</v>
      </c>
      <c r="C30" s="242">
        <v>15606</v>
      </c>
      <c r="D30" s="243" t="s">
        <v>205</v>
      </c>
      <c r="E30" s="239">
        <v>43921</v>
      </c>
      <c r="F30" s="32">
        <v>65762</v>
      </c>
      <c r="G30" s="152"/>
      <c r="H30" s="153">
        <v>43921</v>
      </c>
      <c r="I30" s="244">
        <v>525</v>
      </c>
      <c r="J30" s="228" t="s">
        <v>223</v>
      </c>
      <c r="K30" s="260" t="s">
        <v>229</v>
      </c>
      <c r="L30" s="162">
        <v>2104.91</v>
      </c>
      <c r="M30" s="34">
        <v>44900</v>
      </c>
      <c r="N30" s="35">
        <v>4742</v>
      </c>
      <c r="O30" s="36"/>
      <c r="P30" s="36">
        <f>C30+I30+M30+N30</f>
        <v>65773</v>
      </c>
      <c r="Q30" s="5">
        <f t="shared" si="1"/>
        <v>11</v>
      </c>
      <c r="V30" s="29"/>
      <c r="W30" s="44" t="s">
        <v>11</v>
      </c>
      <c r="X30" s="196">
        <v>0</v>
      </c>
      <c r="Y30" s="41"/>
      <c r="AA30" s="19" t="s">
        <v>152</v>
      </c>
      <c r="AB30" s="167"/>
      <c r="AC30" s="21">
        <v>0</v>
      </c>
    </row>
    <row r="31" spans="1:29" ht="15.75" thickBot="1" x14ac:dyDescent="0.3">
      <c r="A31" s="30"/>
      <c r="B31" s="149">
        <v>43922</v>
      </c>
      <c r="C31" s="238">
        <v>4289</v>
      </c>
      <c r="D31" s="243" t="s">
        <v>213</v>
      </c>
      <c r="E31" s="239">
        <v>43922</v>
      </c>
      <c r="F31" s="32">
        <v>64615</v>
      </c>
      <c r="G31" s="152"/>
      <c r="H31" s="153">
        <v>43922</v>
      </c>
      <c r="I31" s="244">
        <v>4181</v>
      </c>
      <c r="J31" s="228" t="s">
        <v>223</v>
      </c>
      <c r="K31" s="164" t="s">
        <v>228</v>
      </c>
      <c r="L31" s="161">
        <v>3219.79</v>
      </c>
      <c r="M31" s="34">
        <v>53018</v>
      </c>
      <c r="N31" s="35">
        <v>3127</v>
      </c>
      <c r="O31" s="36"/>
      <c r="P31" s="36">
        <f t="shared" ref="P31:P38" si="3">C31+I31+M31+N31+L18</f>
        <v>64615</v>
      </c>
      <c r="Q31" s="5">
        <f t="shared" si="1"/>
        <v>0</v>
      </c>
      <c r="V31" s="29"/>
      <c r="W31" s="38" t="s">
        <v>10</v>
      </c>
      <c r="X31" s="196">
        <v>0</v>
      </c>
      <c r="Y31" s="41"/>
      <c r="AA31" s="19" t="s">
        <v>153</v>
      </c>
      <c r="AB31" s="167"/>
      <c r="AC31" s="21">
        <v>0</v>
      </c>
    </row>
    <row r="32" spans="1:29" ht="15.75" thickBot="1" x14ac:dyDescent="0.3">
      <c r="A32" s="30"/>
      <c r="B32" s="149">
        <v>43923</v>
      </c>
      <c r="C32" s="238">
        <v>20009</v>
      </c>
      <c r="D32" s="243" t="s">
        <v>218</v>
      </c>
      <c r="E32" s="239">
        <v>43923</v>
      </c>
      <c r="F32" s="237">
        <v>66732</v>
      </c>
      <c r="G32" s="152"/>
      <c r="H32" s="153">
        <v>43923</v>
      </c>
      <c r="I32" s="244">
        <v>0</v>
      </c>
      <c r="J32" s="228" t="s">
        <v>223</v>
      </c>
      <c r="K32" s="163" t="s">
        <v>224</v>
      </c>
      <c r="L32" s="161">
        <v>10000</v>
      </c>
      <c r="M32" s="258">
        <v>40576</v>
      </c>
      <c r="N32" s="35">
        <v>6147</v>
      </c>
      <c r="O32" s="257" t="s">
        <v>220</v>
      </c>
      <c r="P32" s="36">
        <f t="shared" si="3"/>
        <v>66732</v>
      </c>
      <c r="Q32" s="5">
        <f t="shared" si="1"/>
        <v>0</v>
      </c>
      <c r="V32" s="29"/>
      <c r="W32" s="44" t="s">
        <v>11</v>
      </c>
      <c r="X32" s="196">
        <v>0</v>
      </c>
      <c r="Y32" s="41"/>
      <c r="AA32" s="19" t="s">
        <v>215</v>
      </c>
      <c r="AB32" s="167"/>
      <c r="AC32" s="21">
        <v>0</v>
      </c>
    </row>
    <row r="33" spans="1:29" ht="15.75" thickBot="1" x14ac:dyDescent="0.3">
      <c r="A33" s="30"/>
      <c r="B33" s="149">
        <v>43924</v>
      </c>
      <c r="C33" s="238">
        <v>11027.84</v>
      </c>
      <c r="D33" s="255" t="s">
        <v>219</v>
      </c>
      <c r="E33" s="240">
        <v>43924</v>
      </c>
      <c r="F33" s="176">
        <v>77182</v>
      </c>
      <c r="H33" s="153">
        <v>43924</v>
      </c>
      <c r="I33" s="244">
        <v>10020</v>
      </c>
      <c r="J33" s="228" t="s">
        <v>223</v>
      </c>
      <c r="K33" s="165" t="s">
        <v>231</v>
      </c>
      <c r="L33" s="161">
        <v>22305.960999999999</v>
      </c>
      <c r="M33" s="258">
        <v>50516</v>
      </c>
      <c r="N33" s="35">
        <v>5620</v>
      </c>
      <c r="O33" s="256" t="s">
        <v>220</v>
      </c>
      <c r="P33" s="36">
        <f t="shared" si="3"/>
        <v>77183.839999999997</v>
      </c>
      <c r="Q33" s="5">
        <f t="shared" si="1"/>
        <v>1.8399999999965075</v>
      </c>
      <c r="R33" s="36"/>
      <c r="V33" s="29"/>
      <c r="W33" s="44" t="s">
        <v>11</v>
      </c>
      <c r="X33" s="196">
        <v>0</v>
      </c>
      <c r="Y33" s="41"/>
      <c r="AA33" s="19" t="s">
        <v>216</v>
      </c>
      <c r="AB33" s="167"/>
      <c r="AC33" s="21">
        <v>0</v>
      </c>
    </row>
    <row r="34" spans="1:29" ht="15.75" thickBot="1" x14ac:dyDescent="0.3">
      <c r="A34" s="30"/>
      <c r="B34" s="149">
        <v>43925</v>
      </c>
      <c r="C34" s="238">
        <v>4502</v>
      </c>
      <c r="D34" s="254" t="s">
        <v>221</v>
      </c>
      <c r="E34" s="240">
        <v>43925</v>
      </c>
      <c r="F34" s="176">
        <v>106289</v>
      </c>
      <c r="H34" s="153">
        <v>43925</v>
      </c>
      <c r="I34" s="244">
        <v>0</v>
      </c>
      <c r="J34" s="228" t="s">
        <v>223</v>
      </c>
      <c r="K34" s="164" t="s">
        <v>225</v>
      </c>
      <c r="L34" s="161">
        <v>2506.1</v>
      </c>
      <c r="M34" s="258">
        <v>83206</v>
      </c>
      <c r="N34" s="35">
        <v>8011</v>
      </c>
      <c r="O34" s="256" t="s">
        <v>220</v>
      </c>
      <c r="P34" s="36">
        <f>C34+I34+M34+N34+L17</f>
        <v>115167.57</v>
      </c>
      <c r="Q34" s="201">
        <f t="shared" si="1"/>
        <v>8878.570000000007</v>
      </c>
      <c r="R34" s="36"/>
      <c r="V34" s="29"/>
      <c r="W34" s="38" t="s">
        <v>10</v>
      </c>
      <c r="X34" s="196">
        <v>0</v>
      </c>
      <c r="Y34" s="41"/>
      <c r="AA34" s="19" t="s">
        <v>217</v>
      </c>
      <c r="AB34" s="167"/>
      <c r="AC34" s="21">
        <v>0</v>
      </c>
    </row>
    <row r="35" spans="1:29" ht="15.75" thickBot="1" x14ac:dyDescent="0.3">
      <c r="A35" s="30"/>
      <c r="B35" s="149">
        <v>43926</v>
      </c>
      <c r="C35" s="238">
        <v>1317</v>
      </c>
      <c r="D35" s="259" t="s">
        <v>72</v>
      </c>
      <c r="E35" s="240">
        <v>43926</v>
      </c>
      <c r="F35" s="176">
        <v>76644</v>
      </c>
      <c r="H35" s="153">
        <v>43926</v>
      </c>
      <c r="I35" s="244">
        <v>0</v>
      </c>
      <c r="J35" s="228" t="s">
        <v>223</v>
      </c>
      <c r="K35" s="164" t="s">
        <v>227</v>
      </c>
      <c r="L35" s="161">
        <v>555</v>
      </c>
      <c r="M35" s="34">
        <v>72614</v>
      </c>
      <c r="N35" s="35">
        <v>2713</v>
      </c>
      <c r="O35" s="256" t="s">
        <v>17</v>
      </c>
      <c r="P35" s="36">
        <f>C35+I35+M35+N35</f>
        <v>76644</v>
      </c>
      <c r="Q35" s="5">
        <f t="shared" si="1"/>
        <v>0</v>
      </c>
      <c r="R35" s="36"/>
      <c r="V35" s="29"/>
      <c r="W35" s="44" t="s">
        <v>11</v>
      </c>
      <c r="X35" s="196">
        <v>0</v>
      </c>
      <c r="Y35" s="41"/>
      <c r="AA35" s="19" t="s">
        <v>154</v>
      </c>
      <c r="AB35" s="167"/>
      <c r="AC35" s="21">
        <v>0</v>
      </c>
    </row>
    <row r="36" spans="1:29" ht="15.75" thickBot="1" x14ac:dyDescent="0.3">
      <c r="A36" s="30"/>
      <c r="B36" s="149">
        <v>43927</v>
      </c>
      <c r="C36" s="238">
        <v>18453.77</v>
      </c>
      <c r="D36" s="259" t="s">
        <v>222</v>
      </c>
      <c r="E36" s="240">
        <v>43927</v>
      </c>
      <c r="F36" s="176">
        <v>82500</v>
      </c>
      <c r="H36" s="153">
        <v>43927</v>
      </c>
      <c r="I36" s="244">
        <v>0</v>
      </c>
      <c r="J36" s="228" t="s">
        <v>223</v>
      </c>
      <c r="K36" s="164" t="s">
        <v>232</v>
      </c>
      <c r="L36" s="161">
        <v>6017.6</v>
      </c>
      <c r="M36" s="258">
        <v>60250</v>
      </c>
      <c r="N36" s="35">
        <v>3797</v>
      </c>
      <c r="O36" s="256" t="s">
        <v>220</v>
      </c>
      <c r="P36" s="36">
        <f t="shared" si="3"/>
        <v>82500.77</v>
      </c>
      <c r="Q36" s="5">
        <f t="shared" si="1"/>
        <v>0.77000000000407454</v>
      </c>
      <c r="R36" s="36"/>
      <c r="V36" s="29"/>
      <c r="W36" s="38" t="s">
        <v>10</v>
      </c>
      <c r="X36" s="196">
        <v>0</v>
      </c>
      <c r="Y36" s="41"/>
      <c r="AA36" s="19" t="s">
        <v>155</v>
      </c>
      <c r="AB36" s="167"/>
      <c r="AC36" s="21">
        <v>0</v>
      </c>
    </row>
    <row r="37" spans="1:29" ht="15.75" thickBot="1" x14ac:dyDescent="0.3">
      <c r="A37" s="30"/>
      <c r="B37" s="149">
        <v>43928</v>
      </c>
      <c r="C37" s="238">
        <v>3573</v>
      </c>
      <c r="D37" s="259" t="s">
        <v>48</v>
      </c>
      <c r="E37" s="240">
        <v>43928</v>
      </c>
      <c r="F37" s="176">
        <v>81421</v>
      </c>
      <c r="H37" s="153">
        <v>43928</v>
      </c>
      <c r="I37" s="244">
        <v>271</v>
      </c>
      <c r="J37" s="228" t="s">
        <v>223</v>
      </c>
      <c r="K37" s="163" t="s">
        <v>233</v>
      </c>
      <c r="L37" s="161">
        <v>942.07</v>
      </c>
      <c r="M37" s="258">
        <v>74845</v>
      </c>
      <c r="N37" s="35">
        <v>2732</v>
      </c>
      <c r="O37" s="256" t="s">
        <v>220</v>
      </c>
      <c r="P37" s="36">
        <f t="shared" si="3"/>
        <v>81421</v>
      </c>
      <c r="Q37" s="5">
        <f t="shared" si="1"/>
        <v>0</v>
      </c>
      <c r="R37" s="36"/>
      <c r="V37" s="29"/>
      <c r="W37" s="44" t="s">
        <v>11</v>
      </c>
      <c r="X37" s="196">
        <v>0</v>
      </c>
      <c r="Y37" s="41"/>
      <c r="AA37" s="19" t="s">
        <v>156</v>
      </c>
      <c r="AB37" s="167"/>
      <c r="AC37" s="21">
        <v>0</v>
      </c>
    </row>
    <row r="38" spans="1:29" ht="15.75" thickBot="1" x14ac:dyDescent="0.3">
      <c r="A38" s="30"/>
      <c r="B38" s="267">
        <v>43896</v>
      </c>
      <c r="C38" s="268">
        <v>18259.599999999999</v>
      </c>
      <c r="D38" s="259" t="s">
        <v>80</v>
      </c>
      <c r="E38" s="98"/>
      <c r="F38" s="36"/>
      <c r="H38" s="153"/>
      <c r="I38" s="36"/>
      <c r="J38" s="228" t="s">
        <v>223</v>
      </c>
      <c r="K38" s="265" t="s">
        <v>226</v>
      </c>
      <c r="L38" s="77">
        <v>18525</v>
      </c>
      <c r="M38" s="34">
        <v>0</v>
      </c>
      <c r="N38" s="35">
        <v>0</v>
      </c>
      <c r="O38" s="256"/>
      <c r="P38" s="36">
        <f t="shared" si="3"/>
        <v>18259.599999999999</v>
      </c>
      <c r="Q38" s="5">
        <f t="shared" si="1"/>
        <v>18259.599999999999</v>
      </c>
      <c r="R38" s="36"/>
      <c r="V38" s="29"/>
      <c r="W38" s="38" t="s">
        <v>10</v>
      </c>
      <c r="X38" s="196">
        <v>0</v>
      </c>
      <c r="Y38" s="41"/>
      <c r="AA38" s="19" t="s">
        <v>157</v>
      </c>
      <c r="AB38" s="167"/>
      <c r="AC38" s="21">
        <v>0</v>
      </c>
    </row>
    <row r="39" spans="1:29" ht="16.5" thickBot="1" x14ac:dyDescent="0.3">
      <c r="A39" s="105"/>
      <c r="B39" s="106"/>
      <c r="C39" s="107"/>
      <c r="D39" s="204"/>
      <c r="E39" s="108"/>
      <c r="F39" s="109"/>
      <c r="G39" s="110"/>
      <c r="H39" s="153">
        <v>43907</v>
      </c>
      <c r="I39" s="109"/>
      <c r="J39" s="228"/>
      <c r="K39" s="265"/>
      <c r="L39" s="77"/>
      <c r="M39" s="112">
        <f>SUM(M5:M38)</f>
        <v>2416178</v>
      </c>
      <c r="N39" s="113">
        <f>SUM(N5:N38)</f>
        <v>115565</v>
      </c>
      <c r="O39" s="114"/>
      <c r="P39" s="114">
        <f>SUM(P5:P38)</f>
        <v>2970321.27</v>
      </c>
      <c r="Q39" s="114">
        <f>SUM(Q5:Q38)</f>
        <v>85595.270000000019</v>
      </c>
      <c r="R39" s="114"/>
      <c r="W39" s="44" t="s">
        <v>11</v>
      </c>
      <c r="X39" s="196">
        <v>0</v>
      </c>
      <c r="Y39" s="41"/>
      <c r="AA39" s="19" t="s">
        <v>160</v>
      </c>
      <c r="AB39" s="167"/>
      <c r="AC39" s="21">
        <v>0</v>
      </c>
    </row>
    <row r="40" spans="1:29" ht="16.5" thickBot="1" x14ac:dyDescent="0.3">
      <c r="B40" s="115" t="s">
        <v>16</v>
      </c>
      <c r="C40" s="116">
        <f>SUM(C5:C39)</f>
        <v>270856.70999999996</v>
      </c>
      <c r="D40" s="117"/>
      <c r="E40" s="118" t="s">
        <v>16</v>
      </c>
      <c r="F40" s="119">
        <f>SUM(F5:F39)</f>
        <v>2910526</v>
      </c>
      <c r="G40" s="117"/>
      <c r="H40" s="120" t="s">
        <v>16</v>
      </c>
      <c r="I40" s="121">
        <f>SUM(I5:I39)</f>
        <v>70021.279999999999</v>
      </c>
      <c r="J40" s="93"/>
      <c r="K40" s="122" t="s">
        <v>16</v>
      </c>
      <c r="L40" s="123">
        <f>SUM(L6:L39)</f>
        <v>217065.77100000004</v>
      </c>
      <c r="O40" s="5"/>
      <c r="P40" s="36"/>
      <c r="Q40" s="36"/>
      <c r="R40" s="36"/>
      <c r="V40" s="8"/>
      <c r="W40" s="38" t="s">
        <v>10</v>
      </c>
      <c r="X40" s="196">
        <v>0</v>
      </c>
      <c r="Y40" s="41"/>
      <c r="AA40" s="19" t="s">
        <v>161</v>
      </c>
      <c r="AB40" s="167"/>
      <c r="AC40" s="21">
        <v>0</v>
      </c>
    </row>
    <row r="41" spans="1:29" ht="20.25" thickTop="1" thickBot="1" x14ac:dyDescent="0.3">
      <c r="C41" s="8" t="s">
        <v>12</v>
      </c>
      <c r="M41" s="351">
        <f>N39+M39</f>
        <v>2531743</v>
      </c>
      <c r="N41" s="352"/>
      <c r="O41" s="124"/>
      <c r="P41" s="124"/>
      <c r="V41" s="8"/>
      <c r="W41" s="44" t="s">
        <v>11</v>
      </c>
      <c r="X41" s="196">
        <v>0</v>
      </c>
      <c r="Y41" s="41"/>
      <c r="AA41" s="19" t="s">
        <v>162</v>
      </c>
      <c r="AB41" s="167"/>
      <c r="AC41" s="21">
        <v>0</v>
      </c>
    </row>
    <row r="42" spans="1:29" ht="15.75" x14ac:dyDescent="0.25">
      <c r="A42" s="59"/>
      <c r="B42" s="125"/>
      <c r="C42" s="4"/>
      <c r="H42" s="353" t="s">
        <v>18</v>
      </c>
      <c r="I42" s="354"/>
      <c r="J42" s="232"/>
      <c r="K42" s="355">
        <f>I40+L40</f>
        <v>287087.05100000004</v>
      </c>
      <c r="L42" s="356"/>
      <c r="P42" s="127"/>
      <c r="S42" s="5"/>
      <c r="T42" s="128"/>
      <c r="U42" s="128"/>
      <c r="V42" s="8"/>
      <c r="W42" s="38" t="s">
        <v>10</v>
      </c>
      <c r="X42" s="196">
        <v>0</v>
      </c>
      <c r="Y42" s="41"/>
      <c r="AA42" s="19" t="s">
        <v>163</v>
      </c>
      <c r="AB42" s="167"/>
      <c r="AC42" s="21">
        <v>0</v>
      </c>
    </row>
    <row r="43" spans="1:29" ht="15.75" x14ac:dyDescent="0.25">
      <c r="D43" s="357" t="s">
        <v>19</v>
      </c>
      <c r="E43" s="357"/>
      <c r="F43" s="129">
        <f>F40-K42-C40</f>
        <v>2352582.2390000001</v>
      </c>
      <c r="I43" s="130"/>
      <c r="J43" s="130"/>
      <c r="P43" s="127"/>
      <c r="V43" s="8"/>
      <c r="W43" s="44" t="s">
        <v>11</v>
      </c>
      <c r="X43" s="196">
        <v>0</v>
      </c>
      <c r="Y43" s="41"/>
      <c r="AA43" s="19" t="s">
        <v>164</v>
      </c>
      <c r="AB43" s="167"/>
      <c r="AC43" s="21">
        <v>0</v>
      </c>
    </row>
    <row r="44" spans="1:29" ht="18.75" x14ac:dyDescent="0.3">
      <c r="D44" s="339" t="s">
        <v>20</v>
      </c>
      <c r="E44" s="339"/>
      <c r="F44" s="131">
        <v>-2140783.8199999998</v>
      </c>
      <c r="I44" s="340" t="s">
        <v>21</v>
      </c>
      <c r="J44" s="341"/>
      <c r="K44" s="342">
        <f>F49</f>
        <v>471981.31900000025</v>
      </c>
      <c r="L44" s="343"/>
      <c r="P44" s="127"/>
      <c r="V44" s="8"/>
      <c r="W44" s="38" t="s">
        <v>10</v>
      </c>
      <c r="X44" s="196">
        <v>0</v>
      </c>
      <c r="Y44" s="41"/>
      <c r="AA44" s="19" t="s">
        <v>165</v>
      </c>
      <c r="AB44" s="167"/>
      <c r="AC44" s="21">
        <v>0</v>
      </c>
    </row>
    <row r="45" spans="1:29" ht="4.5" customHeight="1" thickBot="1" x14ac:dyDescent="0.35">
      <c r="D45" s="132"/>
      <c r="E45" s="133"/>
      <c r="F45" s="134" t="s">
        <v>12</v>
      </c>
      <c r="I45" s="135"/>
      <c r="J45" s="135"/>
      <c r="K45" s="136"/>
      <c r="L45" s="136"/>
      <c r="P45" s="127"/>
      <c r="V45" s="8"/>
      <c r="W45" s="44" t="s">
        <v>11</v>
      </c>
      <c r="X45" s="196">
        <v>0</v>
      </c>
    </row>
    <row r="46" spans="1:29" ht="20.25" thickTop="1" thickBot="1" x14ac:dyDescent="0.35">
      <c r="C46" s="16" t="s">
        <v>12</v>
      </c>
      <c r="E46" s="59" t="s">
        <v>22</v>
      </c>
      <c r="F46" s="131">
        <f>SUM(F43:F45)</f>
        <v>211798.41900000023</v>
      </c>
      <c r="H46" s="30"/>
      <c r="I46" s="137" t="s">
        <v>23</v>
      </c>
      <c r="J46" s="138"/>
      <c r="K46" s="370">
        <f>-C4</f>
        <v>-364365.66</v>
      </c>
      <c r="L46" s="371"/>
      <c r="M46" s="214"/>
      <c r="P46" s="127"/>
      <c r="V46" s="8"/>
      <c r="W46" s="65" t="s">
        <v>16</v>
      </c>
      <c r="X46" s="66">
        <f>SUM(X4:X14)</f>
        <v>55110</v>
      </c>
    </row>
    <row r="47" spans="1:29" ht="16.5" thickBot="1" x14ac:dyDescent="0.3">
      <c r="D47" s="139" t="s">
        <v>24</v>
      </c>
      <c r="E47" s="59" t="s">
        <v>25</v>
      </c>
      <c r="F47" s="140">
        <v>17981</v>
      </c>
      <c r="P47" s="127"/>
      <c r="V47" s="8"/>
    </row>
    <row r="48" spans="1:29" ht="20.25" thickTop="1" thickBot="1" x14ac:dyDescent="0.35">
      <c r="C48" s="231">
        <v>43928</v>
      </c>
      <c r="D48" s="372" t="s">
        <v>26</v>
      </c>
      <c r="E48" s="373"/>
      <c r="F48" s="142">
        <v>242201.9</v>
      </c>
      <c r="I48" s="374" t="s">
        <v>129</v>
      </c>
      <c r="J48" s="375"/>
      <c r="K48" s="376">
        <f>K44+K46</f>
        <v>107615.65900000028</v>
      </c>
      <c r="L48" s="377"/>
      <c r="P48" s="127"/>
    </row>
    <row r="49" spans="2:18" ht="18.75" x14ac:dyDescent="0.3">
      <c r="C49" s="143"/>
      <c r="D49" s="144"/>
      <c r="E49" s="61" t="s">
        <v>27</v>
      </c>
      <c r="F49" s="145">
        <f>F46+F47+F48</f>
        <v>471981.31900000025</v>
      </c>
      <c r="J49" s="9"/>
      <c r="M49" s="146"/>
      <c r="P49" s="36"/>
    </row>
    <row r="50" spans="2:18" x14ac:dyDescent="0.25">
      <c r="P50" s="36"/>
    </row>
    <row r="51" spans="2:18" x14ac:dyDescent="0.25">
      <c r="B51"/>
      <c r="C51"/>
      <c r="D51" s="378"/>
      <c r="E51" s="378"/>
      <c r="M51" s="147"/>
      <c r="N51" s="59"/>
      <c r="O51" s="59"/>
      <c r="P51" s="128"/>
      <c r="Q51" s="186"/>
      <c r="R51" s="186"/>
    </row>
    <row r="52" spans="2:18" x14ac:dyDescent="0.25">
      <c r="B52"/>
      <c r="C52"/>
      <c r="M52" s="147"/>
      <c r="N52" s="59"/>
      <c r="O52" s="59"/>
      <c r="P52" s="59"/>
      <c r="Q52" s="186"/>
      <c r="R52" s="186"/>
    </row>
    <row r="53" spans="2:18" x14ac:dyDescent="0.25">
      <c r="B53"/>
      <c r="C53"/>
      <c r="N53" s="59"/>
      <c r="O53" s="59"/>
      <c r="P53" s="59"/>
      <c r="Q53" s="186"/>
      <c r="R53" s="186"/>
    </row>
    <row r="54" spans="2:18" x14ac:dyDescent="0.25">
      <c r="B54"/>
      <c r="C54"/>
      <c r="F54"/>
      <c r="I54"/>
      <c r="J54"/>
      <c r="M54"/>
      <c r="N54" s="59"/>
      <c r="O54" s="59"/>
      <c r="P54" s="59"/>
      <c r="Q54" s="186"/>
      <c r="R54" s="186"/>
    </row>
    <row r="55" spans="2:18" x14ac:dyDescent="0.25">
      <c r="B55"/>
      <c r="C55"/>
      <c r="F55" s="148"/>
      <c r="N55" s="59"/>
      <c r="O55" s="59"/>
      <c r="P55" s="59"/>
      <c r="Q55" s="186"/>
      <c r="R55" s="186"/>
    </row>
    <row r="56" spans="2:18" x14ac:dyDescent="0.25">
      <c r="F56" s="36"/>
      <c r="M56" s="4"/>
      <c r="N56" s="59"/>
      <c r="O56" s="59"/>
      <c r="P56" s="59"/>
      <c r="Q56" s="186"/>
      <c r="R56" s="186"/>
    </row>
    <row r="57" spans="2:18" x14ac:dyDescent="0.25">
      <c r="F57" s="36"/>
      <c r="M57" s="4"/>
      <c r="N57" s="59"/>
      <c r="O57" s="59"/>
      <c r="P57" s="59"/>
      <c r="Q57" s="186"/>
      <c r="R57" s="186"/>
    </row>
    <row r="58" spans="2:18" x14ac:dyDescent="0.25">
      <c r="F58" s="36"/>
      <c r="M58" s="4"/>
      <c r="N58" s="59"/>
      <c r="O58" s="59"/>
      <c r="P58" s="59"/>
      <c r="Q58" s="186"/>
      <c r="R58" s="186"/>
    </row>
    <row r="59" spans="2:18" x14ac:dyDescent="0.25">
      <c r="F59" s="36"/>
      <c r="M59" s="4"/>
      <c r="N59" s="59"/>
      <c r="O59" s="59"/>
      <c r="P59" s="59"/>
      <c r="Q59" s="186"/>
      <c r="R59" s="186"/>
    </row>
    <row r="60" spans="2:18" x14ac:dyDescent="0.25">
      <c r="F60" s="36"/>
      <c r="M60" s="4"/>
    </row>
    <row r="61" spans="2:18" x14ac:dyDescent="0.25">
      <c r="F61" s="36"/>
      <c r="M61" s="4"/>
    </row>
    <row r="62" spans="2:18" x14ac:dyDescent="0.25">
      <c r="F62" s="36"/>
      <c r="M62" s="4"/>
    </row>
    <row r="63" spans="2:18" x14ac:dyDescent="0.25">
      <c r="F63" s="36"/>
      <c r="M63" s="4"/>
    </row>
    <row r="64" spans="2:18" x14ac:dyDescent="0.25">
      <c r="F64" s="36"/>
      <c r="M64" s="4"/>
    </row>
    <row r="65" spans="6:13" x14ac:dyDescent="0.25">
      <c r="F65" s="148"/>
      <c r="M65" s="4"/>
    </row>
    <row r="66" spans="6:13" x14ac:dyDescent="0.25">
      <c r="M66" s="4"/>
    </row>
    <row r="67" spans="6:13" x14ac:dyDescent="0.25">
      <c r="M67" s="4"/>
    </row>
    <row r="68" spans="6:13" x14ac:dyDescent="0.25">
      <c r="M68" s="4"/>
    </row>
    <row r="69" spans="6:13" x14ac:dyDescent="0.25">
      <c r="M69" s="4"/>
    </row>
    <row r="70" spans="6:13" x14ac:dyDescent="0.25">
      <c r="M70" s="4"/>
    </row>
    <row r="71" spans="6:13" x14ac:dyDescent="0.25">
      <c r="M71" s="4"/>
    </row>
    <row r="72" spans="6:13" x14ac:dyDescent="0.25">
      <c r="M72" s="4"/>
    </row>
    <row r="73" spans="6:13" x14ac:dyDescent="0.25">
      <c r="M73" s="4"/>
    </row>
    <row r="74" spans="6:13" x14ac:dyDescent="0.25">
      <c r="M74" s="4"/>
    </row>
    <row r="75" spans="6:13" x14ac:dyDescent="0.25">
      <c r="M75" s="4"/>
    </row>
    <row r="76" spans="6:13" x14ac:dyDescent="0.25">
      <c r="M76" s="4"/>
    </row>
    <row r="77" spans="6:13" x14ac:dyDescent="0.25">
      <c r="M77" s="4"/>
    </row>
    <row r="78" spans="6:13" x14ac:dyDescent="0.25">
      <c r="M78" s="4"/>
    </row>
  </sheetData>
  <sortState xmlns:xlrd2="http://schemas.microsoft.com/office/spreadsheetml/2017/richdata2" ref="K30:L39">
    <sortCondition ref="K30:K39"/>
  </sortState>
  <mergeCells count="20">
    <mergeCell ref="D51:E51"/>
    <mergeCell ref="D44:E44"/>
    <mergeCell ref="I44:J44"/>
    <mergeCell ref="K44:L44"/>
    <mergeCell ref="K46:L46"/>
    <mergeCell ref="D48:E48"/>
    <mergeCell ref="I48:J48"/>
    <mergeCell ref="K48:L48"/>
    <mergeCell ref="D43:E43"/>
    <mergeCell ref="C1:K1"/>
    <mergeCell ref="AF1:AG2"/>
    <mergeCell ref="E2:F3"/>
    <mergeCell ref="W2:X3"/>
    <mergeCell ref="AA2:AC2"/>
    <mergeCell ref="B3:C3"/>
    <mergeCell ref="E4:F4"/>
    <mergeCell ref="H4:I4"/>
    <mergeCell ref="M41:N41"/>
    <mergeCell ref="H42:I42"/>
    <mergeCell ref="K42:L42"/>
  </mergeCells>
  <phoneticPr fontId="30" type="noConversion"/>
  <pageMargins left="0.19685039370078741" right="0.15748031496062992" top="0.31496062992125984" bottom="0.27559055118110237" header="0.31496062992125984" footer="0.23622047244094491"/>
  <pageSetup scale="73" orientation="landscape" horizontalDpi="0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8D666-CF7B-4E24-9491-9BBCA2792E66}">
  <sheetPr>
    <tabColor rgb="FF00B050"/>
  </sheetPr>
  <dimension ref="A1:F87"/>
  <sheetViews>
    <sheetView topLeftCell="A37" workbookViewId="0">
      <selection activeCell="D44" sqref="D44"/>
    </sheetView>
  </sheetViews>
  <sheetFormatPr baseColWidth="10" defaultRowHeight="15" x14ac:dyDescent="0.25"/>
  <cols>
    <col min="1" max="1" width="13.42578125" style="59" bestFit="1" customWidth="1"/>
    <col min="2" max="2" width="12.85546875" bestFit="1" customWidth="1"/>
    <col min="3" max="3" width="15.85546875" style="16" bestFit="1" customWidth="1"/>
    <col min="4" max="4" width="12.42578125" bestFit="1" customWidth="1"/>
    <col min="5" max="5" width="15.140625" style="16" bestFit="1" customWidth="1"/>
    <col min="6" max="6" width="19.5703125" style="16" bestFit="1" customWidth="1"/>
  </cols>
  <sheetData>
    <row r="1" spans="1:6" ht="36.75" customHeight="1" x14ac:dyDescent="0.35">
      <c r="B1" s="185" t="s">
        <v>192</v>
      </c>
      <c r="C1" s="182"/>
      <c r="D1" s="183"/>
      <c r="E1" s="182"/>
      <c r="F1" s="184"/>
    </row>
    <row r="2" spans="1:6" ht="16.5" thickBot="1" x14ac:dyDescent="0.3">
      <c r="A2" s="169" t="s">
        <v>37</v>
      </c>
      <c r="B2" s="169" t="s">
        <v>38</v>
      </c>
      <c r="C2" s="170" t="s">
        <v>39</v>
      </c>
      <c r="D2" s="169" t="s">
        <v>40</v>
      </c>
      <c r="E2" s="170" t="s">
        <v>41</v>
      </c>
      <c r="F2" s="170" t="s">
        <v>39</v>
      </c>
    </row>
    <row r="3" spans="1:6" x14ac:dyDescent="0.25">
      <c r="A3" s="171">
        <v>43896</v>
      </c>
      <c r="B3" s="172">
        <v>7197</v>
      </c>
      <c r="C3" s="5">
        <v>107476.78</v>
      </c>
      <c r="D3" s="63"/>
      <c r="E3" s="5"/>
      <c r="F3" s="173">
        <f>C3-E3</f>
        <v>107476.78</v>
      </c>
    </row>
    <row r="4" spans="1:6" x14ac:dyDescent="0.25">
      <c r="A4" s="174">
        <v>43896</v>
      </c>
      <c r="B4" s="175">
        <v>7198</v>
      </c>
      <c r="C4" s="176">
        <v>2430</v>
      </c>
      <c r="D4" s="177"/>
      <c r="E4" s="176"/>
      <c r="F4" s="173">
        <f>F3+C4-E4</f>
        <v>109906.78</v>
      </c>
    </row>
    <row r="5" spans="1:6" x14ac:dyDescent="0.25">
      <c r="A5" s="177">
        <v>43897</v>
      </c>
      <c r="B5" s="175">
        <v>7282</v>
      </c>
      <c r="C5" s="176">
        <v>69850.490000000005</v>
      </c>
      <c r="D5" s="177"/>
      <c r="E5" s="176"/>
      <c r="F5" s="173">
        <f t="shared" ref="F5:F50" si="0">F4+C5-E5</f>
        <v>179757.27000000002</v>
      </c>
    </row>
    <row r="6" spans="1:6" x14ac:dyDescent="0.25">
      <c r="A6" s="177">
        <v>43898</v>
      </c>
      <c r="B6" s="175">
        <v>7375</v>
      </c>
      <c r="C6" s="176">
        <v>11373.8</v>
      </c>
      <c r="D6" s="177"/>
      <c r="E6" s="176"/>
      <c r="F6" s="173">
        <f t="shared" si="0"/>
        <v>191131.07</v>
      </c>
    </row>
    <row r="7" spans="1:6" x14ac:dyDescent="0.25">
      <c r="A7" s="177">
        <v>43899</v>
      </c>
      <c r="B7" s="175">
        <v>7452</v>
      </c>
      <c r="C7" s="176">
        <v>48853.36</v>
      </c>
      <c r="D7" s="177">
        <v>43900</v>
      </c>
      <c r="E7" s="176">
        <v>239984.43</v>
      </c>
      <c r="F7" s="173">
        <f t="shared" si="0"/>
        <v>0</v>
      </c>
    </row>
    <row r="8" spans="1:6" x14ac:dyDescent="0.25">
      <c r="A8" s="177">
        <v>43900</v>
      </c>
      <c r="B8" s="175">
        <v>7578</v>
      </c>
      <c r="C8" s="176">
        <v>70534.679999999993</v>
      </c>
      <c r="D8" s="177"/>
      <c r="E8" s="176"/>
      <c r="F8" s="173">
        <f t="shared" si="0"/>
        <v>70534.679999999993</v>
      </c>
    </row>
    <row r="9" spans="1:6" x14ac:dyDescent="0.25">
      <c r="A9" s="177">
        <v>43902</v>
      </c>
      <c r="B9" s="175">
        <v>7837</v>
      </c>
      <c r="C9" s="176">
        <v>122162.05</v>
      </c>
      <c r="D9" s="177"/>
      <c r="E9" s="176"/>
      <c r="F9" s="173">
        <f t="shared" si="0"/>
        <v>192696.72999999998</v>
      </c>
    </row>
    <row r="10" spans="1:6" x14ac:dyDescent="0.25">
      <c r="A10" s="177">
        <v>43902</v>
      </c>
      <c r="B10" s="175">
        <v>7838</v>
      </c>
      <c r="C10" s="176">
        <v>13112</v>
      </c>
      <c r="D10" s="177">
        <v>43904</v>
      </c>
      <c r="E10" s="176">
        <v>205808.73</v>
      </c>
      <c r="F10" s="173">
        <f t="shared" si="0"/>
        <v>0</v>
      </c>
    </row>
    <row r="11" spans="1:6" x14ac:dyDescent="0.25">
      <c r="A11" s="174">
        <v>43904</v>
      </c>
      <c r="B11" s="175">
        <v>8048</v>
      </c>
      <c r="C11" s="176">
        <v>2314.4</v>
      </c>
      <c r="D11" s="177"/>
      <c r="E11" s="176"/>
      <c r="F11" s="173">
        <f t="shared" si="0"/>
        <v>2314.4</v>
      </c>
    </row>
    <row r="12" spans="1:6" x14ac:dyDescent="0.25">
      <c r="A12" s="177">
        <v>43904</v>
      </c>
      <c r="B12" s="175">
        <v>8095</v>
      </c>
      <c r="C12" s="176">
        <v>220621.41</v>
      </c>
      <c r="D12" s="177"/>
      <c r="E12" s="176"/>
      <c r="F12" s="173">
        <f t="shared" si="0"/>
        <v>222935.81</v>
      </c>
    </row>
    <row r="13" spans="1:6" x14ac:dyDescent="0.25">
      <c r="A13" s="177">
        <v>43905</v>
      </c>
      <c r="B13" s="175">
        <v>8140</v>
      </c>
      <c r="C13" s="176">
        <v>48809.4</v>
      </c>
      <c r="D13" s="177"/>
      <c r="E13" s="176"/>
      <c r="F13" s="173">
        <f t="shared" si="0"/>
        <v>271745.21000000002</v>
      </c>
    </row>
    <row r="14" spans="1:6" x14ac:dyDescent="0.25">
      <c r="A14" s="177">
        <v>43905</v>
      </c>
      <c r="B14" s="175">
        <v>8143</v>
      </c>
      <c r="C14" s="176">
        <v>125</v>
      </c>
      <c r="D14" s="177"/>
      <c r="E14" s="176"/>
      <c r="F14" s="173">
        <f t="shared" si="0"/>
        <v>271870.21000000002</v>
      </c>
    </row>
    <row r="15" spans="1:6" x14ac:dyDescent="0.25">
      <c r="A15" s="177">
        <v>43906</v>
      </c>
      <c r="B15" s="175">
        <v>8272</v>
      </c>
      <c r="C15" s="176">
        <v>111259.1</v>
      </c>
      <c r="D15" s="177"/>
      <c r="E15" s="176"/>
      <c r="F15" s="173">
        <f t="shared" si="0"/>
        <v>383129.31000000006</v>
      </c>
    </row>
    <row r="16" spans="1:6" x14ac:dyDescent="0.25">
      <c r="A16" s="177">
        <v>43908</v>
      </c>
      <c r="B16" s="175">
        <v>8463</v>
      </c>
      <c r="C16" s="176">
        <v>64793.22</v>
      </c>
      <c r="D16" s="177"/>
      <c r="E16" s="176"/>
      <c r="F16" s="173">
        <f t="shared" si="0"/>
        <v>447922.53</v>
      </c>
    </row>
    <row r="17" spans="1:6" x14ac:dyDescent="0.25">
      <c r="A17" s="177">
        <v>43909</v>
      </c>
      <c r="B17" s="175">
        <v>8560</v>
      </c>
      <c r="C17" s="176">
        <v>1180</v>
      </c>
      <c r="D17" s="177">
        <v>43909</v>
      </c>
      <c r="E17" s="176">
        <v>449102.53</v>
      </c>
      <c r="F17" s="173">
        <f t="shared" si="0"/>
        <v>0</v>
      </c>
    </row>
    <row r="18" spans="1:6" x14ac:dyDescent="0.25">
      <c r="A18" s="177">
        <v>43910</v>
      </c>
      <c r="B18" s="175">
        <v>8652</v>
      </c>
      <c r="C18" s="176">
        <v>152548.12</v>
      </c>
      <c r="D18" s="177"/>
      <c r="E18" s="176"/>
      <c r="F18" s="173">
        <f t="shared" si="0"/>
        <v>152548.12</v>
      </c>
    </row>
    <row r="19" spans="1:6" x14ac:dyDescent="0.25">
      <c r="A19" s="177">
        <v>43910</v>
      </c>
      <c r="B19" s="175">
        <v>8688</v>
      </c>
      <c r="C19" s="176">
        <v>53618.85</v>
      </c>
      <c r="D19" s="177"/>
      <c r="E19" s="176"/>
      <c r="F19" s="173">
        <f t="shared" si="0"/>
        <v>206166.97</v>
      </c>
    </row>
    <row r="20" spans="1:6" x14ac:dyDescent="0.25">
      <c r="A20" s="177">
        <v>43911</v>
      </c>
      <c r="B20" s="175">
        <v>8793</v>
      </c>
      <c r="C20" s="176">
        <v>1443.3</v>
      </c>
      <c r="D20" s="177"/>
      <c r="E20" s="176"/>
      <c r="F20" s="173">
        <f t="shared" si="0"/>
        <v>207610.27</v>
      </c>
    </row>
    <row r="21" spans="1:6" x14ac:dyDescent="0.25">
      <c r="A21" s="177">
        <v>43911</v>
      </c>
      <c r="B21" s="175">
        <v>8811</v>
      </c>
      <c r="C21" s="176">
        <v>169567.84</v>
      </c>
      <c r="D21" s="177"/>
      <c r="E21" s="176"/>
      <c r="F21" s="173">
        <f t="shared" si="0"/>
        <v>377178.11</v>
      </c>
    </row>
    <row r="22" spans="1:6" x14ac:dyDescent="0.25">
      <c r="A22" s="177">
        <v>43911</v>
      </c>
      <c r="B22" s="175">
        <v>8869</v>
      </c>
      <c r="C22" s="176">
        <v>12504.8</v>
      </c>
      <c r="D22" s="177"/>
      <c r="E22" s="176"/>
      <c r="F22" s="173">
        <f t="shared" si="0"/>
        <v>389682.91</v>
      </c>
    </row>
    <row r="23" spans="1:6" x14ac:dyDescent="0.25">
      <c r="A23" s="177">
        <v>43912</v>
      </c>
      <c r="B23" s="175">
        <v>8926</v>
      </c>
      <c r="C23" s="176">
        <v>5334.5</v>
      </c>
      <c r="D23" s="177"/>
      <c r="E23" s="176"/>
      <c r="F23" s="173">
        <f t="shared" si="0"/>
        <v>395017.41</v>
      </c>
    </row>
    <row r="24" spans="1:6" x14ac:dyDescent="0.25">
      <c r="A24" s="177">
        <v>43913</v>
      </c>
      <c r="B24" s="175">
        <v>8959</v>
      </c>
      <c r="C24" s="176">
        <v>2700</v>
      </c>
      <c r="D24" s="177"/>
      <c r="E24" s="176"/>
      <c r="F24" s="173">
        <f t="shared" si="0"/>
        <v>397717.41</v>
      </c>
    </row>
    <row r="25" spans="1:6" x14ac:dyDescent="0.25">
      <c r="A25" s="177">
        <v>43914</v>
      </c>
      <c r="B25" s="175">
        <v>9087</v>
      </c>
      <c r="C25" s="176">
        <v>98444.92</v>
      </c>
      <c r="D25" s="177"/>
      <c r="E25" s="176"/>
      <c r="F25" s="173">
        <f t="shared" si="0"/>
        <v>496162.32999999996</v>
      </c>
    </row>
    <row r="26" spans="1:6" x14ac:dyDescent="0.25">
      <c r="A26" s="177">
        <v>43914</v>
      </c>
      <c r="B26" s="175">
        <v>9088</v>
      </c>
      <c r="C26" s="176">
        <v>12050.8</v>
      </c>
      <c r="D26" s="177"/>
      <c r="E26" s="176"/>
      <c r="F26" s="173">
        <f t="shared" si="0"/>
        <v>508213.12999999995</v>
      </c>
    </row>
    <row r="27" spans="1:6" x14ac:dyDescent="0.25">
      <c r="A27" s="177">
        <v>43915</v>
      </c>
      <c r="B27" s="175">
        <v>9231</v>
      </c>
      <c r="C27" s="176">
        <v>44204.800000000003</v>
      </c>
      <c r="D27" s="177">
        <v>43916</v>
      </c>
      <c r="E27" s="176">
        <v>552417.93000000005</v>
      </c>
      <c r="F27" s="173">
        <f t="shared" si="0"/>
        <v>0</v>
      </c>
    </row>
    <row r="28" spans="1:6" x14ac:dyDescent="0.25">
      <c r="A28" s="174">
        <v>43916</v>
      </c>
      <c r="B28" s="175">
        <v>9362</v>
      </c>
      <c r="C28" s="176">
        <v>35362.400000000001</v>
      </c>
      <c r="D28" s="177"/>
      <c r="E28" s="176"/>
      <c r="F28" s="173">
        <f t="shared" si="0"/>
        <v>35362.400000000001</v>
      </c>
    </row>
    <row r="29" spans="1:6" x14ac:dyDescent="0.25">
      <c r="A29" s="174">
        <v>43917</v>
      </c>
      <c r="B29" s="175">
        <v>9394</v>
      </c>
      <c r="C29" s="176">
        <v>67145.759999999995</v>
      </c>
      <c r="D29" s="177"/>
      <c r="E29" s="176"/>
      <c r="F29" s="173">
        <f t="shared" si="0"/>
        <v>102508.16</v>
      </c>
    </row>
    <row r="30" spans="1:6" x14ac:dyDescent="0.25">
      <c r="A30" s="174">
        <v>43917</v>
      </c>
      <c r="B30" s="175">
        <v>9407</v>
      </c>
      <c r="C30" s="176">
        <v>37214.74</v>
      </c>
      <c r="D30" s="177"/>
      <c r="E30" s="176"/>
      <c r="F30" s="173">
        <f t="shared" si="0"/>
        <v>139722.9</v>
      </c>
    </row>
    <row r="31" spans="1:6" x14ac:dyDescent="0.25">
      <c r="A31" s="174">
        <v>43918</v>
      </c>
      <c r="B31" s="175">
        <v>9543</v>
      </c>
      <c r="C31" s="176">
        <v>81554.399999999994</v>
      </c>
      <c r="D31" s="177"/>
      <c r="E31" s="176"/>
      <c r="F31" s="173">
        <f t="shared" si="0"/>
        <v>221277.3</v>
      </c>
    </row>
    <row r="32" spans="1:6" x14ac:dyDescent="0.25">
      <c r="A32" s="174">
        <v>43919</v>
      </c>
      <c r="B32" s="175">
        <v>9676</v>
      </c>
      <c r="C32" s="176">
        <v>32493.599999999999</v>
      </c>
      <c r="D32" s="177"/>
      <c r="E32" s="176"/>
      <c r="F32" s="173">
        <f t="shared" si="0"/>
        <v>253770.9</v>
      </c>
    </row>
    <row r="33" spans="1:6" x14ac:dyDescent="0.25">
      <c r="A33" s="174">
        <v>43919</v>
      </c>
      <c r="B33" s="175">
        <v>9687</v>
      </c>
      <c r="C33" s="176">
        <v>3709</v>
      </c>
      <c r="D33" s="177">
        <v>43920</v>
      </c>
      <c r="E33" s="176">
        <v>257479.9</v>
      </c>
      <c r="F33" s="173">
        <f t="shared" si="0"/>
        <v>0</v>
      </c>
    </row>
    <row r="34" spans="1:6" x14ac:dyDescent="0.25">
      <c r="A34" s="174">
        <v>43920</v>
      </c>
      <c r="B34" s="175">
        <v>9804</v>
      </c>
      <c r="C34" s="176">
        <v>37578.6</v>
      </c>
      <c r="D34" s="177"/>
      <c r="E34" s="176"/>
      <c r="F34" s="173">
        <f t="shared" si="0"/>
        <v>37578.6</v>
      </c>
    </row>
    <row r="35" spans="1:6" x14ac:dyDescent="0.25">
      <c r="A35" s="174">
        <v>43921</v>
      </c>
      <c r="B35" s="175">
        <v>9860</v>
      </c>
      <c r="C35" s="176">
        <v>1296</v>
      </c>
      <c r="D35" s="177"/>
      <c r="E35" s="176"/>
      <c r="F35" s="173">
        <f t="shared" si="0"/>
        <v>38874.6</v>
      </c>
    </row>
    <row r="36" spans="1:6" x14ac:dyDescent="0.25">
      <c r="A36" s="174">
        <v>43922</v>
      </c>
      <c r="B36" s="175">
        <v>9932</v>
      </c>
      <c r="C36" s="176">
        <v>77278.850000000006</v>
      </c>
      <c r="D36" s="177"/>
      <c r="E36" s="176"/>
      <c r="F36" s="173">
        <f t="shared" si="0"/>
        <v>116153.45000000001</v>
      </c>
    </row>
    <row r="37" spans="1:6" x14ac:dyDescent="0.25">
      <c r="A37" s="174">
        <v>43923</v>
      </c>
      <c r="B37" s="175">
        <v>10073</v>
      </c>
      <c r="C37" s="176">
        <v>29531.040000000001</v>
      </c>
      <c r="D37" s="177">
        <v>43925</v>
      </c>
      <c r="E37" s="176">
        <v>145684.49</v>
      </c>
      <c r="F37" s="173">
        <f t="shared" si="0"/>
        <v>0</v>
      </c>
    </row>
    <row r="38" spans="1:6" x14ac:dyDescent="0.25">
      <c r="A38" s="174">
        <v>43924</v>
      </c>
      <c r="B38" s="175">
        <v>10262</v>
      </c>
      <c r="C38" s="176">
        <v>152058.71</v>
      </c>
      <c r="D38" s="177"/>
      <c r="E38" s="176"/>
      <c r="F38" s="173">
        <f t="shared" si="0"/>
        <v>152058.71</v>
      </c>
    </row>
    <row r="39" spans="1:6" x14ac:dyDescent="0.25">
      <c r="A39" s="174">
        <v>43925</v>
      </c>
      <c r="B39" s="175">
        <v>10334</v>
      </c>
      <c r="C39" s="176">
        <v>78016.5</v>
      </c>
      <c r="D39" s="177"/>
      <c r="E39" s="176"/>
      <c r="F39" s="173">
        <f t="shared" si="0"/>
        <v>230075.21</v>
      </c>
    </row>
    <row r="40" spans="1:6" x14ac:dyDescent="0.25">
      <c r="A40" s="174">
        <v>43925</v>
      </c>
      <c r="B40" s="175">
        <v>10335</v>
      </c>
      <c r="C40" s="176">
        <v>386.4</v>
      </c>
      <c r="D40" s="177"/>
      <c r="E40" s="176"/>
      <c r="F40" s="173">
        <f t="shared" si="0"/>
        <v>230461.61</v>
      </c>
    </row>
    <row r="41" spans="1:6" x14ac:dyDescent="0.25">
      <c r="A41" s="174">
        <v>43928</v>
      </c>
      <c r="B41" s="175">
        <v>10635</v>
      </c>
      <c r="C41" s="176">
        <v>54300.3</v>
      </c>
      <c r="D41" s="177"/>
      <c r="E41" s="176"/>
      <c r="F41" s="173">
        <f t="shared" si="0"/>
        <v>284761.90999999997</v>
      </c>
    </row>
    <row r="42" spans="1:6" x14ac:dyDescent="0.25">
      <c r="A42" s="174">
        <v>43928</v>
      </c>
      <c r="B42" s="175">
        <v>10638</v>
      </c>
      <c r="C42" s="176">
        <v>5544</v>
      </c>
      <c r="D42" s="177"/>
      <c r="E42" s="176"/>
      <c r="F42" s="173">
        <f t="shared" si="0"/>
        <v>290305.90999999997</v>
      </c>
    </row>
    <row r="43" spans="1:6" x14ac:dyDescent="0.25">
      <c r="A43" s="271"/>
      <c r="B43" s="272"/>
      <c r="C43" s="176"/>
      <c r="D43" s="177">
        <v>43929</v>
      </c>
      <c r="E43" s="176">
        <v>290305.90999999997</v>
      </c>
      <c r="F43" s="173">
        <f t="shared" si="0"/>
        <v>0</v>
      </c>
    </row>
    <row r="44" spans="1:6" x14ac:dyDescent="0.25">
      <c r="A44" s="174"/>
      <c r="B44" s="175"/>
      <c r="C44" s="176">
        <v>0</v>
      </c>
      <c r="D44" s="177"/>
      <c r="E44" s="176"/>
      <c r="F44" s="173">
        <f t="shared" si="0"/>
        <v>0</v>
      </c>
    </row>
    <row r="45" spans="1:6" x14ac:dyDescent="0.25">
      <c r="A45" s="174"/>
      <c r="B45" s="175"/>
      <c r="C45" s="176">
        <v>0</v>
      </c>
      <c r="D45" s="177"/>
      <c r="E45" s="176"/>
      <c r="F45" s="173">
        <f t="shared" si="0"/>
        <v>0</v>
      </c>
    </row>
    <row r="46" spans="1:6" x14ac:dyDescent="0.25">
      <c r="A46" s="174"/>
      <c r="B46" s="175"/>
      <c r="C46" s="176">
        <v>0</v>
      </c>
      <c r="D46" s="177"/>
      <c r="E46" s="176"/>
      <c r="F46" s="173">
        <f t="shared" si="0"/>
        <v>0</v>
      </c>
    </row>
    <row r="47" spans="1:6" x14ac:dyDescent="0.25">
      <c r="A47" s="174"/>
      <c r="B47" s="175"/>
      <c r="C47" s="176">
        <v>0</v>
      </c>
      <c r="D47" s="177"/>
      <c r="E47" s="176"/>
      <c r="F47" s="173">
        <f t="shared" si="0"/>
        <v>0</v>
      </c>
    </row>
    <row r="48" spans="1:6" x14ac:dyDescent="0.25">
      <c r="A48" s="174"/>
      <c r="B48" s="175"/>
      <c r="C48" s="176">
        <v>0</v>
      </c>
      <c r="D48" s="177"/>
      <c r="E48" s="176"/>
      <c r="F48" s="173">
        <f t="shared" si="0"/>
        <v>0</v>
      </c>
    </row>
    <row r="49" spans="1:6" x14ac:dyDescent="0.25">
      <c r="A49" s="174"/>
      <c r="B49" s="175"/>
      <c r="C49" s="176">
        <v>0</v>
      </c>
      <c r="D49" s="177"/>
      <c r="E49" s="176"/>
      <c r="F49" s="173">
        <f t="shared" si="0"/>
        <v>0</v>
      </c>
    </row>
    <row r="50" spans="1:6" ht="15.75" thickBot="1" x14ac:dyDescent="0.3">
      <c r="A50" s="178"/>
      <c r="B50" s="179"/>
      <c r="C50" s="104">
        <v>0</v>
      </c>
      <c r="D50" s="180"/>
      <c r="E50" s="104"/>
      <c r="F50" s="173">
        <f t="shared" si="0"/>
        <v>0</v>
      </c>
    </row>
    <row r="51" spans="1:6" ht="19.5" thickTop="1" x14ac:dyDescent="0.3">
      <c r="B51" s="59"/>
      <c r="C51" s="4">
        <f>SUM(C3:C50)</f>
        <v>2140783.92</v>
      </c>
      <c r="D51" s="1"/>
      <c r="E51" s="4">
        <f>SUM(E3:E50)</f>
        <v>2140783.92</v>
      </c>
      <c r="F51" s="181">
        <f>F50</f>
        <v>0</v>
      </c>
    </row>
    <row r="52" spans="1:6" x14ac:dyDescent="0.25">
      <c r="B52" s="59"/>
      <c r="C52" s="4"/>
      <c r="D52" s="1"/>
      <c r="E52" s="8"/>
      <c r="F52" s="4"/>
    </row>
    <row r="53" spans="1:6" x14ac:dyDescent="0.25">
      <c r="B53" s="59"/>
      <c r="C53" s="4"/>
      <c r="D53" s="1"/>
      <c r="E53" s="8"/>
      <c r="F53" s="4"/>
    </row>
    <row r="54" spans="1:6" x14ac:dyDescent="0.25">
      <c r="A54"/>
      <c r="B54" s="30"/>
      <c r="D54" s="30"/>
    </row>
    <row r="55" spans="1:6" x14ac:dyDescent="0.25">
      <c r="A55"/>
      <c r="B55" s="30"/>
      <c r="D55" s="30"/>
    </row>
    <row r="56" spans="1:6" x14ac:dyDescent="0.25">
      <c r="A56"/>
      <c r="B56" s="30"/>
      <c r="D56" s="30"/>
    </row>
    <row r="57" spans="1:6" x14ac:dyDescent="0.25">
      <c r="A57"/>
      <c r="B57" s="30"/>
      <c r="D57" s="30"/>
      <c r="F57"/>
    </row>
    <row r="58" spans="1:6" x14ac:dyDescent="0.25">
      <c r="A58"/>
      <c r="B58" s="30"/>
      <c r="D58" s="30"/>
      <c r="F58"/>
    </row>
    <row r="59" spans="1:6" x14ac:dyDescent="0.25">
      <c r="A59"/>
      <c r="B59" s="30"/>
      <c r="D59" s="30"/>
      <c r="F59"/>
    </row>
    <row r="60" spans="1:6" x14ac:dyDescent="0.25">
      <c r="A60"/>
      <c r="B60" s="30"/>
      <c r="D60" s="30"/>
      <c r="F60"/>
    </row>
    <row r="61" spans="1:6" x14ac:dyDescent="0.25">
      <c r="A61"/>
      <c r="B61" s="30"/>
      <c r="D61" s="30"/>
      <c r="F61"/>
    </row>
    <row r="62" spans="1:6" x14ac:dyDescent="0.25">
      <c r="A62"/>
      <c r="B62" s="30"/>
      <c r="D62" s="30"/>
      <c r="F62"/>
    </row>
    <row r="63" spans="1:6" x14ac:dyDescent="0.25">
      <c r="A63"/>
      <c r="B63" s="30"/>
      <c r="D63" s="30"/>
      <c r="F63"/>
    </row>
    <row r="64" spans="1:6" x14ac:dyDescent="0.25">
      <c r="A64"/>
      <c r="B64" s="30"/>
      <c r="D64" s="30"/>
      <c r="F64"/>
    </row>
    <row r="65" spans="1:6" x14ac:dyDescent="0.25">
      <c r="A65"/>
      <c r="B65" s="30"/>
      <c r="D65" s="30"/>
      <c r="F65"/>
    </row>
    <row r="66" spans="1:6" x14ac:dyDescent="0.25">
      <c r="A66"/>
      <c r="B66" s="30"/>
      <c r="D66" s="30"/>
      <c r="E66"/>
      <c r="F66"/>
    </row>
    <row r="67" spans="1:6" x14ac:dyDescent="0.25">
      <c r="A67"/>
      <c r="B67" s="30"/>
      <c r="D67" s="30"/>
      <c r="E67"/>
      <c r="F67"/>
    </row>
    <row r="68" spans="1:6" x14ac:dyDescent="0.25">
      <c r="A68"/>
      <c r="B68" s="30"/>
      <c r="D68" s="30"/>
      <c r="E68"/>
      <c r="F68"/>
    </row>
    <row r="69" spans="1:6" x14ac:dyDescent="0.25">
      <c r="A69"/>
      <c r="B69" s="30"/>
      <c r="D69" s="30"/>
      <c r="E69"/>
      <c r="F69"/>
    </row>
    <row r="70" spans="1:6" x14ac:dyDescent="0.25">
      <c r="A70"/>
      <c r="B70" s="30"/>
      <c r="D70" s="30"/>
      <c r="E70"/>
      <c r="F70"/>
    </row>
    <row r="71" spans="1:6" x14ac:dyDescent="0.25">
      <c r="A71"/>
      <c r="B71" s="30"/>
      <c r="D71" s="30"/>
      <c r="E71"/>
      <c r="F71"/>
    </row>
    <row r="72" spans="1:6" x14ac:dyDescent="0.25">
      <c r="B72" s="30"/>
      <c r="D72" s="30"/>
      <c r="E72"/>
    </row>
    <row r="73" spans="1:6" x14ac:dyDescent="0.25">
      <c r="B73" s="30"/>
      <c r="D73" s="30"/>
      <c r="E73"/>
    </row>
    <row r="74" spans="1:6" x14ac:dyDescent="0.25">
      <c r="B74" s="30"/>
      <c r="D74" s="30"/>
      <c r="E74"/>
    </row>
    <row r="75" spans="1:6" x14ac:dyDescent="0.25">
      <c r="B75" s="30"/>
      <c r="D75" s="30"/>
      <c r="E75"/>
    </row>
    <row r="76" spans="1:6" x14ac:dyDescent="0.25">
      <c r="B76" s="30"/>
      <c r="D76" s="30"/>
      <c r="E76"/>
    </row>
    <row r="77" spans="1:6" x14ac:dyDescent="0.25">
      <c r="B77" s="30"/>
      <c r="D77" s="30"/>
      <c r="E77"/>
    </row>
    <row r="78" spans="1:6" x14ac:dyDescent="0.25">
      <c r="B78" s="30"/>
      <c r="D78" s="30"/>
      <c r="E78"/>
    </row>
    <row r="79" spans="1:6" x14ac:dyDescent="0.25">
      <c r="B79" s="30"/>
      <c r="D79" s="30"/>
      <c r="E79"/>
    </row>
    <row r="80" spans="1:6" x14ac:dyDescent="0.25">
      <c r="B80" s="30"/>
      <c r="D80" s="30"/>
      <c r="E80"/>
    </row>
    <row r="81" spans="2:4" x14ac:dyDescent="0.25">
      <c r="B81" s="30"/>
    </row>
    <row r="82" spans="2:4" x14ac:dyDescent="0.25">
      <c r="B82" s="30"/>
    </row>
    <row r="83" spans="2:4" x14ac:dyDescent="0.25">
      <c r="B83" s="30"/>
      <c r="D83" s="30"/>
    </row>
    <row r="84" spans="2:4" x14ac:dyDescent="0.25">
      <c r="B84" s="30"/>
    </row>
    <row r="85" spans="2:4" x14ac:dyDescent="0.25">
      <c r="B85" s="30"/>
    </row>
    <row r="86" spans="2:4" x14ac:dyDescent="0.25">
      <c r="B86" s="30"/>
    </row>
    <row r="87" spans="2:4" ht="18.75" x14ac:dyDescent="0.3">
      <c r="C87" s="14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E4218-C847-44E9-85A1-DC281CE3B628}">
  <sheetPr>
    <tabColor rgb="FF00B0F0"/>
  </sheetPr>
  <dimension ref="A1:AG78"/>
  <sheetViews>
    <sheetView topLeftCell="A14" workbookViewId="0">
      <selection activeCell="S39" sqref="S39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16" customWidth="1"/>
    <col min="4" max="4" width="15.28515625" customWidth="1"/>
    <col min="6" max="6" width="17.85546875" style="16" customWidth="1"/>
    <col min="7" max="7" width="2.85546875" customWidth="1"/>
    <col min="9" max="9" width="12.140625" style="16" customWidth="1"/>
    <col min="10" max="10" width="11.7109375" style="16" customWidth="1"/>
    <col min="11" max="11" width="17.28515625" customWidth="1"/>
    <col min="12" max="12" width="14.5703125" customWidth="1"/>
    <col min="13" max="13" width="18.140625" style="16" customWidth="1"/>
    <col min="14" max="14" width="14.42578125" style="4" customWidth="1"/>
    <col min="15" max="15" width="8.42578125" style="4" customWidth="1"/>
    <col min="16" max="16" width="15.5703125" style="5" bestFit="1" customWidth="1"/>
    <col min="17" max="17" width="14.42578125" style="5" customWidth="1"/>
    <col min="18" max="18" width="4.140625" style="5" customWidth="1"/>
    <col min="19" max="19" width="16.28515625" style="6" bestFit="1" customWidth="1"/>
    <col min="20" max="20" width="14.140625" customWidth="1"/>
    <col min="21" max="21" width="5.85546875" customWidth="1"/>
    <col min="22" max="22" width="13.85546875" customWidth="1"/>
    <col min="24" max="24" width="15.85546875" bestFit="1" customWidth="1"/>
    <col min="25" max="25" width="14.85546875" customWidth="1"/>
    <col min="26" max="26" width="15.140625" customWidth="1"/>
    <col min="27" max="27" width="18.5703125" style="7" customWidth="1"/>
    <col min="28" max="28" width="11.42578125" style="222"/>
    <col min="29" max="29" width="14.7109375" customWidth="1"/>
    <col min="30" max="30" width="11.42578125" style="152"/>
    <col min="31" max="31" width="10.5703125" customWidth="1"/>
    <col min="32" max="32" width="17.140625" bestFit="1" customWidth="1"/>
    <col min="33" max="33" width="13.42578125" customWidth="1"/>
  </cols>
  <sheetData>
    <row r="1" spans="1:33" ht="20.25" customHeight="1" thickBot="1" x14ac:dyDescent="0.4">
      <c r="C1" s="344" t="s">
        <v>236</v>
      </c>
      <c r="D1" s="344"/>
      <c r="E1" s="344"/>
      <c r="F1" s="344"/>
      <c r="G1" s="344"/>
      <c r="H1" s="344"/>
      <c r="I1" s="344"/>
      <c r="J1" s="344"/>
      <c r="K1" s="344"/>
      <c r="L1" s="2"/>
      <c r="M1" s="3"/>
      <c r="AF1" s="358" t="s">
        <v>45</v>
      </c>
      <c r="AG1" s="359"/>
    </row>
    <row r="2" spans="1:33" ht="18" customHeight="1" thickBot="1" x14ac:dyDescent="0.35">
      <c r="C2" s="8"/>
      <c r="E2" s="379" t="s">
        <v>190</v>
      </c>
      <c r="F2" s="379"/>
      <c r="H2" s="233" t="s">
        <v>0</v>
      </c>
      <c r="I2" s="3"/>
      <c r="J2" s="3"/>
      <c r="K2" s="152"/>
      <c r="L2" s="152"/>
      <c r="M2" s="3"/>
      <c r="N2" s="5"/>
      <c r="O2" s="5"/>
      <c r="W2" s="366" t="s">
        <v>4</v>
      </c>
      <c r="X2" s="367"/>
      <c r="AA2" s="363" t="s">
        <v>43</v>
      </c>
      <c r="AB2" s="364"/>
      <c r="AC2" s="365"/>
      <c r="AE2" s="193" t="s">
        <v>44</v>
      </c>
      <c r="AF2" s="360"/>
      <c r="AG2" s="361"/>
    </row>
    <row r="3" spans="1:33" ht="18" customHeight="1" thickBot="1" x14ac:dyDescent="0.35">
      <c r="B3" s="345" t="s">
        <v>1</v>
      </c>
      <c r="C3" s="346"/>
      <c r="D3" s="15"/>
      <c r="E3" s="380"/>
      <c r="F3" s="380"/>
      <c r="I3" s="234" t="s">
        <v>2</v>
      </c>
      <c r="J3" s="235"/>
      <c r="K3" s="236" t="s">
        <v>191</v>
      </c>
      <c r="L3" s="236"/>
      <c r="W3" s="368"/>
      <c r="X3" s="369"/>
      <c r="Y3" s="195" t="s">
        <v>37</v>
      </c>
      <c r="AA3" s="19" t="s">
        <v>49</v>
      </c>
      <c r="AB3" s="167">
        <v>43840</v>
      </c>
      <c r="AC3" s="21">
        <v>2000</v>
      </c>
      <c r="AE3" s="89"/>
      <c r="AF3" s="194"/>
      <c r="AG3" s="75">
        <v>0</v>
      </c>
    </row>
    <row r="4" spans="1:33" ht="20.25" thickTop="1" thickBot="1" x14ac:dyDescent="0.35">
      <c r="A4" s="22" t="s">
        <v>5</v>
      </c>
      <c r="B4" s="23"/>
      <c r="C4" s="216">
        <v>242201.9</v>
      </c>
      <c r="D4" s="263">
        <v>43928</v>
      </c>
      <c r="E4" s="347" t="s">
        <v>6</v>
      </c>
      <c r="F4" s="348"/>
      <c r="H4" s="349" t="s">
        <v>7</v>
      </c>
      <c r="I4" s="350"/>
      <c r="J4" s="24"/>
      <c r="K4" s="24"/>
      <c r="L4" s="24"/>
      <c r="M4" s="25" t="s">
        <v>8</v>
      </c>
      <c r="N4" s="26" t="s">
        <v>9</v>
      </c>
      <c r="O4" s="27"/>
      <c r="P4" s="27"/>
      <c r="Q4" s="28"/>
      <c r="R4" s="28"/>
      <c r="V4" s="29">
        <v>43840</v>
      </c>
      <c r="W4" s="199" t="s">
        <v>11</v>
      </c>
      <c r="X4" s="196">
        <v>5010</v>
      </c>
      <c r="Y4" s="197"/>
      <c r="AA4" s="19" t="s">
        <v>50</v>
      </c>
      <c r="AB4" s="167">
        <v>43844</v>
      </c>
      <c r="AC4" s="21">
        <v>2000</v>
      </c>
      <c r="AE4" s="89"/>
      <c r="AF4" s="20"/>
      <c r="AG4" s="78">
        <v>0</v>
      </c>
    </row>
    <row r="5" spans="1:33" ht="15.75" thickBot="1" x14ac:dyDescent="0.3">
      <c r="A5" s="30" t="s">
        <v>12</v>
      </c>
      <c r="B5" s="149">
        <v>43929</v>
      </c>
      <c r="C5" s="31">
        <v>560</v>
      </c>
      <c r="D5" s="150" t="s">
        <v>77</v>
      </c>
      <c r="E5" s="151">
        <v>43929</v>
      </c>
      <c r="F5" s="32">
        <v>63283</v>
      </c>
      <c r="G5" s="152"/>
      <c r="H5" s="153">
        <v>43929</v>
      </c>
      <c r="I5" s="33">
        <v>0</v>
      </c>
      <c r="M5" s="34">
        <v>57047</v>
      </c>
      <c r="N5" s="35">
        <v>4806</v>
      </c>
      <c r="O5" s="36"/>
      <c r="P5" s="36">
        <f>C5+I5+M5+N5</f>
        <v>62413</v>
      </c>
      <c r="Q5" s="5">
        <f>P5-F5+L20</f>
        <v>0</v>
      </c>
      <c r="T5" s="37"/>
      <c r="U5" s="37"/>
      <c r="V5" s="29">
        <v>43840</v>
      </c>
      <c r="W5" s="38" t="s">
        <v>10</v>
      </c>
      <c r="X5" s="196">
        <v>5010</v>
      </c>
      <c r="Y5" s="197"/>
      <c r="AA5" s="19" t="s">
        <v>51</v>
      </c>
      <c r="AB5" s="167">
        <v>43854</v>
      </c>
      <c r="AC5" s="21">
        <v>2000</v>
      </c>
      <c r="AE5" s="89"/>
      <c r="AF5" s="20"/>
      <c r="AG5" s="78">
        <v>0</v>
      </c>
    </row>
    <row r="6" spans="1:33" ht="15.75" thickBot="1" x14ac:dyDescent="0.3">
      <c r="A6" s="30"/>
      <c r="B6" s="149">
        <v>43930</v>
      </c>
      <c r="C6" s="31">
        <v>31868.65</v>
      </c>
      <c r="D6" s="154" t="s">
        <v>244</v>
      </c>
      <c r="E6" s="151">
        <v>43930</v>
      </c>
      <c r="F6" s="32">
        <v>81621</v>
      </c>
      <c r="G6" s="152"/>
      <c r="H6" s="153">
        <v>43930</v>
      </c>
      <c r="I6" s="39">
        <v>0</v>
      </c>
      <c r="J6" s="40"/>
      <c r="K6" s="41"/>
      <c r="L6" s="42"/>
      <c r="M6" s="258">
        <v>49482</v>
      </c>
      <c r="N6" s="35">
        <v>2357</v>
      </c>
      <c r="O6" s="276" t="s">
        <v>220</v>
      </c>
      <c r="P6" s="36">
        <f>C6+I6+M6+N6</f>
        <v>83707.649999999994</v>
      </c>
      <c r="Q6" s="198">
        <f>P6-F6</f>
        <v>2086.6499999999942</v>
      </c>
      <c r="T6" s="37"/>
      <c r="U6" s="37"/>
      <c r="V6" s="43">
        <v>43847</v>
      </c>
      <c r="W6" s="44" t="s">
        <v>11</v>
      </c>
      <c r="X6" s="196">
        <v>5010</v>
      </c>
      <c r="Y6" s="197"/>
      <c r="AA6" s="19" t="s">
        <v>52</v>
      </c>
      <c r="AB6" s="167">
        <v>43860</v>
      </c>
      <c r="AC6" s="21">
        <v>2000</v>
      </c>
      <c r="AE6" s="89"/>
      <c r="AF6" s="20"/>
      <c r="AG6" s="78">
        <v>0</v>
      </c>
    </row>
    <row r="7" spans="1:33" ht="16.5" thickBot="1" x14ac:dyDescent="0.3">
      <c r="A7" s="30"/>
      <c r="B7" s="149">
        <v>43931</v>
      </c>
      <c r="C7" s="248">
        <v>0</v>
      </c>
      <c r="D7" s="275" t="s">
        <v>245</v>
      </c>
      <c r="E7" s="151">
        <v>43931</v>
      </c>
      <c r="F7" s="249">
        <v>0</v>
      </c>
      <c r="G7" s="152"/>
      <c r="H7" s="153">
        <v>43931</v>
      </c>
      <c r="I7" s="250">
        <v>0</v>
      </c>
      <c r="J7" s="45">
        <v>43938</v>
      </c>
      <c r="K7" s="46" t="s">
        <v>13</v>
      </c>
      <c r="L7" s="47">
        <v>1098</v>
      </c>
      <c r="M7" s="251">
        <v>0</v>
      </c>
      <c r="N7" s="252">
        <v>0</v>
      </c>
      <c r="O7" s="127"/>
      <c r="P7" s="36">
        <f>C7+I7+M7+N7</f>
        <v>0</v>
      </c>
      <c r="Q7" s="5">
        <f t="shared" ref="Q7:Q11" si="0">P7-F7</f>
        <v>0</v>
      </c>
      <c r="S7" s="5"/>
      <c r="T7" s="4"/>
      <c r="U7" s="4"/>
      <c r="V7" s="48">
        <v>43847</v>
      </c>
      <c r="W7" s="38" t="s">
        <v>10</v>
      </c>
      <c r="X7" s="196">
        <v>5010</v>
      </c>
      <c r="Y7" s="197"/>
      <c r="AA7" s="19" t="s">
        <v>53</v>
      </c>
      <c r="AB7" s="167">
        <v>43868</v>
      </c>
      <c r="AC7" s="21">
        <v>2000</v>
      </c>
      <c r="AE7" s="89"/>
      <c r="AF7" s="20"/>
      <c r="AG7" s="78">
        <v>0</v>
      </c>
    </row>
    <row r="8" spans="1:33" ht="16.5" thickBot="1" x14ac:dyDescent="0.3">
      <c r="A8" s="30"/>
      <c r="B8" s="149">
        <v>43932</v>
      </c>
      <c r="C8" s="31">
        <v>3252</v>
      </c>
      <c r="D8" s="156" t="s">
        <v>210</v>
      </c>
      <c r="E8" s="151">
        <v>43932</v>
      </c>
      <c r="F8" s="32">
        <v>153867</v>
      </c>
      <c r="G8" s="152"/>
      <c r="H8" s="153">
        <v>43932</v>
      </c>
      <c r="I8" s="39">
        <v>10194</v>
      </c>
      <c r="J8" s="51"/>
      <c r="K8" s="49" t="s">
        <v>14</v>
      </c>
      <c r="L8" s="50">
        <v>0</v>
      </c>
      <c r="M8" s="258">
        <v>120014</v>
      </c>
      <c r="N8" s="35">
        <v>9501</v>
      </c>
      <c r="O8" s="276" t="s">
        <v>220</v>
      </c>
      <c r="P8" s="36">
        <f>C8+I8+M8+N8+L12+5800</f>
        <v>168545.61</v>
      </c>
      <c r="Q8" s="201">
        <f>P8-F8</f>
        <v>14678.609999999986</v>
      </c>
      <c r="R8" s="247" t="s">
        <v>15</v>
      </c>
      <c r="S8" s="5"/>
      <c r="T8" s="4"/>
      <c r="U8" s="4"/>
      <c r="V8" s="29">
        <v>43854</v>
      </c>
      <c r="W8" s="44" t="s">
        <v>11</v>
      </c>
      <c r="X8" s="196">
        <v>5010</v>
      </c>
      <c r="Y8" s="197"/>
      <c r="Z8" s="223" t="s">
        <v>170</v>
      </c>
      <c r="AA8" s="19" t="s">
        <v>54</v>
      </c>
      <c r="AB8" s="167">
        <v>43875</v>
      </c>
      <c r="AC8" s="21">
        <v>2000</v>
      </c>
      <c r="AE8" s="89"/>
      <c r="AF8" s="20"/>
      <c r="AG8" s="78">
        <v>0</v>
      </c>
    </row>
    <row r="9" spans="1:33" ht="16.5" thickBot="1" x14ac:dyDescent="0.3">
      <c r="A9" s="30"/>
      <c r="B9" s="149">
        <v>43933</v>
      </c>
      <c r="C9" s="31">
        <v>1818</v>
      </c>
      <c r="D9" s="157" t="s">
        <v>68</v>
      </c>
      <c r="E9" s="151">
        <v>43933</v>
      </c>
      <c r="F9" s="32">
        <v>102527</v>
      </c>
      <c r="G9" s="152"/>
      <c r="H9" s="153">
        <v>43933</v>
      </c>
      <c r="I9" s="39">
        <v>0</v>
      </c>
      <c r="J9" s="51">
        <v>43952</v>
      </c>
      <c r="K9" s="20" t="s">
        <v>15</v>
      </c>
      <c r="L9" s="52">
        <v>20000</v>
      </c>
      <c r="M9" s="258">
        <v>96965</v>
      </c>
      <c r="N9" s="35">
        <v>3744</v>
      </c>
      <c r="O9" s="276" t="s">
        <v>220</v>
      </c>
      <c r="P9" s="36">
        <f>C9+I9+M9+N9</f>
        <v>102527</v>
      </c>
      <c r="Q9" s="5">
        <f t="shared" si="0"/>
        <v>0</v>
      </c>
      <c r="R9" s="5" t="s">
        <v>12</v>
      </c>
      <c r="S9" s="5"/>
      <c r="T9" s="4"/>
      <c r="U9" s="4"/>
      <c r="V9" s="48">
        <v>43854</v>
      </c>
      <c r="W9" s="38" t="s">
        <v>10</v>
      </c>
      <c r="X9" s="196">
        <v>5010</v>
      </c>
      <c r="Y9" s="197"/>
      <c r="AA9" s="19" t="s">
        <v>55</v>
      </c>
      <c r="AB9" s="167">
        <v>43880</v>
      </c>
      <c r="AC9" s="21">
        <v>2000</v>
      </c>
      <c r="AE9" s="89"/>
      <c r="AF9" s="20"/>
      <c r="AG9" s="78">
        <v>0</v>
      </c>
    </row>
    <row r="10" spans="1:33" ht="16.5" thickBot="1" x14ac:dyDescent="0.3">
      <c r="A10" s="30"/>
      <c r="B10" s="149">
        <v>43934</v>
      </c>
      <c r="C10" s="31">
        <v>12878.68</v>
      </c>
      <c r="D10" s="155" t="s">
        <v>246</v>
      </c>
      <c r="E10" s="151">
        <v>43934</v>
      </c>
      <c r="F10" s="32">
        <v>76290</v>
      </c>
      <c r="G10" s="152"/>
      <c r="H10" s="153">
        <v>43934</v>
      </c>
      <c r="I10" s="39">
        <v>0</v>
      </c>
      <c r="J10" s="53"/>
      <c r="K10" s="54"/>
      <c r="L10" s="55"/>
      <c r="M10" s="34">
        <v>61215</v>
      </c>
      <c r="N10" s="35">
        <v>2196</v>
      </c>
      <c r="O10" s="127"/>
      <c r="P10" s="36">
        <f>C10+I10+M10+N10+L11</f>
        <v>76289.679999999993</v>
      </c>
      <c r="Q10" s="5">
        <f t="shared" si="0"/>
        <v>-0.32000000000698492</v>
      </c>
      <c r="T10" s="37"/>
      <c r="U10" s="37"/>
      <c r="V10" s="29">
        <v>43861</v>
      </c>
      <c r="W10" s="44" t="s">
        <v>11</v>
      </c>
      <c r="X10" s="196">
        <v>5010</v>
      </c>
      <c r="Y10" s="197"/>
      <c r="AA10" s="19" t="s">
        <v>56</v>
      </c>
      <c r="AB10" s="167">
        <v>43887</v>
      </c>
      <c r="AC10" s="21">
        <v>2000</v>
      </c>
      <c r="AE10" s="89"/>
      <c r="AF10" s="20"/>
      <c r="AG10" s="78">
        <v>0</v>
      </c>
    </row>
    <row r="11" spans="1:33" ht="15.75" thickBot="1" x14ac:dyDescent="0.3">
      <c r="A11" s="30"/>
      <c r="B11" s="149">
        <v>43935</v>
      </c>
      <c r="C11" s="31">
        <v>473</v>
      </c>
      <c r="D11" s="154" t="s">
        <v>247</v>
      </c>
      <c r="E11" s="151">
        <v>43935</v>
      </c>
      <c r="F11" s="32">
        <v>63926</v>
      </c>
      <c r="G11" s="152"/>
      <c r="H11" s="153">
        <v>43935</v>
      </c>
      <c r="I11" s="39">
        <v>0</v>
      </c>
      <c r="J11" s="56"/>
      <c r="K11" s="57"/>
      <c r="L11" s="55"/>
      <c r="M11" s="258">
        <v>59392</v>
      </c>
      <c r="N11" s="35">
        <v>4061</v>
      </c>
      <c r="O11" s="276" t="s">
        <v>220</v>
      </c>
      <c r="P11" s="36">
        <f>C11+I11+M11+N11</f>
        <v>63926</v>
      </c>
      <c r="Q11" s="5">
        <f t="shared" si="0"/>
        <v>0</v>
      </c>
      <c r="S11" s="58">
        <v>0</v>
      </c>
      <c r="T11" s="37"/>
      <c r="U11" s="37"/>
      <c r="V11" s="29">
        <v>43861</v>
      </c>
      <c r="W11" s="38" t="s">
        <v>10</v>
      </c>
      <c r="X11" s="196">
        <v>5010</v>
      </c>
      <c r="Y11" s="197"/>
      <c r="AA11" s="19" t="s">
        <v>57</v>
      </c>
      <c r="AB11" s="29">
        <v>43896</v>
      </c>
      <c r="AC11" s="21">
        <v>2000</v>
      </c>
      <c r="AE11" s="89"/>
      <c r="AF11" s="20"/>
      <c r="AG11" s="78">
        <v>0</v>
      </c>
    </row>
    <row r="12" spans="1:33" ht="15.75" thickBot="1" x14ac:dyDescent="0.3">
      <c r="A12" s="30"/>
      <c r="B12" s="149">
        <v>43936</v>
      </c>
      <c r="C12" s="31">
        <v>12114.74</v>
      </c>
      <c r="D12" s="154" t="s">
        <v>198</v>
      </c>
      <c r="E12" s="151">
        <v>43936</v>
      </c>
      <c r="F12" s="32">
        <v>126067</v>
      </c>
      <c r="G12" s="152"/>
      <c r="H12" s="153">
        <v>43936</v>
      </c>
      <c r="I12" s="39">
        <v>4000</v>
      </c>
      <c r="J12" s="60">
        <v>43932</v>
      </c>
      <c r="K12" s="20" t="s">
        <v>238</v>
      </c>
      <c r="L12" s="55">
        <f>15384.61+4000+400</f>
        <v>19784.61</v>
      </c>
      <c r="M12" s="258">
        <f>29080+27660+200+49585</f>
        <v>106525</v>
      </c>
      <c r="N12" s="35">
        <v>3423</v>
      </c>
      <c r="O12" s="298" t="s">
        <v>248</v>
      </c>
      <c r="P12" s="36">
        <f>C12+I12+M12+N12</f>
        <v>126062.74</v>
      </c>
      <c r="Q12" s="246">
        <f>P12-F12</f>
        <v>-4.2599999999947613</v>
      </c>
      <c r="S12" s="58">
        <v>8878.61</v>
      </c>
      <c r="T12" s="61" t="s">
        <v>238</v>
      </c>
      <c r="U12" s="61"/>
      <c r="V12" s="29">
        <v>43868</v>
      </c>
      <c r="W12" s="44" t="s">
        <v>11</v>
      </c>
      <c r="X12" s="196">
        <v>5010</v>
      </c>
      <c r="Y12" s="197"/>
      <c r="AA12" s="19" t="s">
        <v>58</v>
      </c>
      <c r="AB12" s="167">
        <v>43903</v>
      </c>
      <c r="AC12" s="21">
        <v>2000</v>
      </c>
      <c r="AE12" s="41"/>
      <c r="AF12" s="20"/>
      <c r="AG12" s="78">
        <v>0</v>
      </c>
    </row>
    <row r="13" spans="1:33" ht="15.75" thickBot="1" x14ac:dyDescent="0.3">
      <c r="A13" s="30"/>
      <c r="B13" s="149">
        <v>43937</v>
      </c>
      <c r="C13" s="31">
        <v>1266</v>
      </c>
      <c r="D13" s="156" t="s">
        <v>72</v>
      </c>
      <c r="E13" s="151">
        <v>43937</v>
      </c>
      <c r="F13" s="32">
        <v>71749</v>
      </c>
      <c r="G13" s="152"/>
      <c r="H13" s="153">
        <v>43937</v>
      </c>
      <c r="I13" s="39">
        <v>0</v>
      </c>
      <c r="J13" s="60">
        <v>43939</v>
      </c>
      <c r="K13" s="20" t="s">
        <v>239</v>
      </c>
      <c r="L13" s="55">
        <f>16815.05+4000+400</f>
        <v>21215.05</v>
      </c>
      <c r="M13" s="258">
        <v>67386</v>
      </c>
      <c r="N13" s="35">
        <v>3097</v>
      </c>
      <c r="O13" s="276" t="s">
        <v>220</v>
      </c>
      <c r="P13" s="36">
        <f>C13+I13+M13+N13</f>
        <v>71749</v>
      </c>
      <c r="Q13" s="5">
        <f>P13-F13</f>
        <v>0</v>
      </c>
      <c r="S13" s="58">
        <v>8845.0499999999993</v>
      </c>
      <c r="T13" s="61" t="s">
        <v>239</v>
      </c>
      <c r="U13" s="61"/>
      <c r="V13" s="29">
        <v>43868</v>
      </c>
      <c r="W13" s="38" t="s">
        <v>10</v>
      </c>
      <c r="X13" s="196">
        <v>5010</v>
      </c>
      <c r="Y13" s="197"/>
      <c r="AA13" s="19" t="s">
        <v>59</v>
      </c>
      <c r="AB13" s="167">
        <v>43908</v>
      </c>
      <c r="AC13" s="21">
        <v>2000</v>
      </c>
    </row>
    <row r="14" spans="1:33" ht="15.75" thickBot="1" x14ac:dyDescent="0.3">
      <c r="A14" s="30"/>
      <c r="B14" s="149">
        <v>43938</v>
      </c>
      <c r="C14" s="31">
        <v>12960</v>
      </c>
      <c r="D14" s="155" t="s">
        <v>205</v>
      </c>
      <c r="E14" s="151">
        <v>43938</v>
      </c>
      <c r="F14" s="32">
        <v>79540</v>
      </c>
      <c r="G14" s="152"/>
      <c r="H14" s="153">
        <v>43938</v>
      </c>
      <c r="I14" s="39">
        <v>10180</v>
      </c>
      <c r="J14" s="60">
        <v>43946</v>
      </c>
      <c r="K14" s="20" t="s">
        <v>240</v>
      </c>
      <c r="L14" s="55">
        <f>15882.05+4000</f>
        <v>19882.05</v>
      </c>
      <c r="M14" s="258">
        <f>47071+16475</f>
        <v>63546</v>
      </c>
      <c r="N14" s="35">
        <v>5594</v>
      </c>
      <c r="O14" s="276" t="s">
        <v>220</v>
      </c>
      <c r="P14" s="36">
        <f>C14+I14+M14+N14+L7</f>
        <v>93378</v>
      </c>
      <c r="Q14" s="198">
        <f>P14-F14</f>
        <v>13838</v>
      </c>
      <c r="S14" s="58">
        <v>8692.85</v>
      </c>
      <c r="T14" s="61" t="s">
        <v>240</v>
      </c>
      <c r="U14" s="61"/>
      <c r="V14" s="29">
        <v>43875</v>
      </c>
      <c r="W14" s="44" t="s">
        <v>11</v>
      </c>
      <c r="X14" s="196">
        <v>5010</v>
      </c>
      <c r="Y14" s="197"/>
      <c r="AA14" s="19" t="s">
        <v>214</v>
      </c>
      <c r="AB14" s="167">
        <v>43922</v>
      </c>
      <c r="AC14" s="21">
        <v>4000</v>
      </c>
    </row>
    <row r="15" spans="1:33" ht="15.75" thickBot="1" x14ac:dyDescent="0.3">
      <c r="A15" s="30"/>
      <c r="B15" s="149">
        <v>43939</v>
      </c>
      <c r="C15" s="31">
        <v>6441</v>
      </c>
      <c r="D15" s="154" t="s">
        <v>249</v>
      </c>
      <c r="E15" s="151">
        <v>43939</v>
      </c>
      <c r="F15" s="32">
        <v>110316</v>
      </c>
      <c r="G15" s="152"/>
      <c r="H15" s="153">
        <v>43939</v>
      </c>
      <c r="I15" s="39">
        <v>0</v>
      </c>
      <c r="J15" s="60">
        <v>43947</v>
      </c>
      <c r="K15" s="20" t="s">
        <v>140</v>
      </c>
      <c r="L15" s="55">
        <v>400</v>
      </c>
      <c r="M15" s="258">
        <v>85248</v>
      </c>
      <c r="N15" s="35">
        <v>6257</v>
      </c>
      <c r="O15" s="276" t="s">
        <v>220</v>
      </c>
      <c r="P15" s="36">
        <f>C15+I15+M15+N15+L13</f>
        <v>119161.05</v>
      </c>
      <c r="Q15" s="201">
        <f t="shared" ref="Q15:Q38" si="1">P15-F15</f>
        <v>8845.0500000000029</v>
      </c>
      <c r="S15" s="58">
        <v>9416.66</v>
      </c>
      <c r="T15" s="61" t="s">
        <v>241</v>
      </c>
      <c r="U15" s="61"/>
      <c r="V15" s="29">
        <v>43875</v>
      </c>
      <c r="W15" s="38" t="s">
        <v>10</v>
      </c>
      <c r="X15" s="196">
        <v>5010</v>
      </c>
      <c r="Y15" s="197"/>
      <c r="AA15" s="19" t="s">
        <v>62</v>
      </c>
      <c r="AB15" s="167">
        <v>43936</v>
      </c>
      <c r="AC15" s="21">
        <v>2000</v>
      </c>
    </row>
    <row r="16" spans="1:33" ht="15.75" thickBot="1" x14ac:dyDescent="0.3">
      <c r="A16" s="30"/>
      <c r="B16" s="149">
        <v>43940</v>
      </c>
      <c r="C16" s="31">
        <v>8898</v>
      </c>
      <c r="D16" s="154" t="s">
        <v>69</v>
      </c>
      <c r="E16" s="151">
        <v>43940</v>
      </c>
      <c r="F16" s="32">
        <v>97344</v>
      </c>
      <c r="G16" s="152"/>
      <c r="H16" s="153">
        <v>43940</v>
      </c>
      <c r="I16" s="39">
        <v>0</v>
      </c>
      <c r="J16" s="60">
        <v>43953</v>
      </c>
      <c r="K16" s="20" t="s">
        <v>241</v>
      </c>
      <c r="L16" s="5">
        <f>18329.34+4571.44+400</f>
        <v>23300.78</v>
      </c>
      <c r="M16" s="258">
        <v>84540</v>
      </c>
      <c r="N16" s="35">
        <v>3907</v>
      </c>
      <c r="O16" s="276" t="s">
        <v>250</v>
      </c>
      <c r="P16" s="36">
        <f>C16+I16+M16+N16</f>
        <v>97345</v>
      </c>
      <c r="Q16" s="5">
        <f t="shared" si="1"/>
        <v>1</v>
      </c>
      <c r="S16" s="58">
        <v>0</v>
      </c>
      <c r="T16" s="61" t="s">
        <v>242</v>
      </c>
      <c r="U16" s="61"/>
      <c r="V16" s="30">
        <v>43882</v>
      </c>
      <c r="W16" s="44" t="s">
        <v>11</v>
      </c>
      <c r="X16" s="196">
        <v>5010</v>
      </c>
      <c r="Y16" s="41"/>
      <c r="AA16" s="19" t="s">
        <v>63</v>
      </c>
      <c r="AB16" s="29">
        <v>43936</v>
      </c>
      <c r="AC16" s="21">
        <v>2000</v>
      </c>
    </row>
    <row r="17" spans="1:29" ht="16.5" thickBot="1" x14ac:dyDescent="0.3">
      <c r="A17" s="30"/>
      <c r="B17" s="149">
        <v>43941</v>
      </c>
      <c r="C17" s="31">
        <v>14089.54</v>
      </c>
      <c r="D17" s="156" t="s">
        <v>198</v>
      </c>
      <c r="E17" s="151">
        <v>43941</v>
      </c>
      <c r="F17" s="32">
        <v>64172</v>
      </c>
      <c r="G17" s="152"/>
      <c r="H17" s="153">
        <v>43941</v>
      </c>
      <c r="I17" s="39">
        <v>0</v>
      </c>
      <c r="J17" s="67"/>
      <c r="K17" s="20" t="s">
        <v>254</v>
      </c>
      <c r="L17" s="68">
        <v>0</v>
      </c>
      <c r="M17" s="34">
        <v>47870</v>
      </c>
      <c r="N17" s="35">
        <v>2192</v>
      </c>
      <c r="O17" s="276"/>
      <c r="P17" s="36">
        <f>C17+I17+M17+N17</f>
        <v>64151.54</v>
      </c>
      <c r="Q17" s="280">
        <f t="shared" si="1"/>
        <v>-20.459999999999127</v>
      </c>
      <c r="S17" s="58">
        <v>0</v>
      </c>
      <c r="T17" s="188" t="s">
        <v>140</v>
      </c>
      <c r="U17" s="221"/>
      <c r="V17" s="225">
        <v>43882</v>
      </c>
      <c r="W17" s="38" t="s">
        <v>10</v>
      </c>
      <c r="X17" s="196">
        <v>5010</v>
      </c>
      <c r="Y17" s="41"/>
      <c r="AA17" s="19" t="s">
        <v>64</v>
      </c>
      <c r="AB17" s="167">
        <v>43950</v>
      </c>
      <c r="AC17" s="21">
        <v>2000</v>
      </c>
    </row>
    <row r="18" spans="1:29" ht="15.75" thickBot="1" x14ac:dyDescent="0.3">
      <c r="A18" s="30"/>
      <c r="B18" s="149">
        <v>43942</v>
      </c>
      <c r="C18" s="31">
        <v>635</v>
      </c>
      <c r="D18" s="154" t="s">
        <v>210</v>
      </c>
      <c r="E18" s="151">
        <v>43942</v>
      </c>
      <c r="F18" s="32">
        <v>63892</v>
      </c>
      <c r="G18" s="152"/>
      <c r="H18" s="153">
        <v>43942</v>
      </c>
      <c r="I18" s="39">
        <v>0</v>
      </c>
      <c r="J18" s="67"/>
      <c r="K18" s="71"/>
      <c r="L18" s="55"/>
      <c r="M18" s="258">
        <v>60271</v>
      </c>
      <c r="N18" s="35">
        <v>2985</v>
      </c>
      <c r="O18" s="276" t="s">
        <v>220</v>
      </c>
      <c r="P18" s="36">
        <f>C18+I18+M18+N18</f>
        <v>63891</v>
      </c>
      <c r="Q18" s="246">
        <f t="shared" si="1"/>
        <v>-1</v>
      </c>
      <c r="S18" s="5">
        <f>SUM(S11:S17)</f>
        <v>35833.17</v>
      </c>
      <c r="T18" s="37" t="s">
        <v>17</v>
      </c>
      <c r="U18" s="37"/>
      <c r="V18" s="30">
        <v>43889</v>
      </c>
      <c r="W18" s="44" t="s">
        <v>11</v>
      </c>
      <c r="X18" s="196">
        <v>5010</v>
      </c>
      <c r="Y18" s="41"/>
      <c r="AA18" s="19" t="s">
        <v>65</v>
      </c>
      <c r="AB18" s="167">
        <v>43950</v>
      </c>
      <c r="AC18" s="21">
        <v>2000</v>
      </c>
    </row>
    <row r="19" spans="1:29" ht="15.75" thickBot="1" x14ac:dyDescent="0.3">
      <c r="A19" s="30"/>
      <c r="B19" s="149">
        <v>43943</v>
      </c>
      <c r="C19" s="31">
        <v>2110</v>
      </c>
      <c r="D19" s="154" t="s">
        <v>83</v>
      </c>
      <c r="E19" s="151">
        <v>43943</v>
      </c>
      <c r="F19" s="32">
        <v>58260</v>
      </c>
      <c r="G19" s="152"/>
      <c r="H19" s="153">
        <v>43943</v>
      </c>
      <c r="I19" s="39">
        <v>0</v>
      </c>
      <c r="J19" s="67"/>
      <c r="K19" s="72"/>
      <c r="L19" s="73"/>
      <c r="M19" s="34">
        <v>53161</v>
      </c>
      <c r="N19" s="35">
        <v>2989</v>
      </c>
      <c r="O19" s="276" t="s">
        <v>12</v>
      </c>
      <c r="P19" s="36">
        <f>C19+I19+M19+N19</f>
        <v>58260</v>
      </c>
      <c r="Q19" s="5">
        <f t="shared" si="1"/>
        <v>0</v>
      </c>
      <c r="T19" s="8"/>
      <c r="U19" s="8"/>
      <c r="V19" s="30">
        <v>43889</v>
      </c>
      <c r="W19" s="38" t="s">
        <v>10</v>
      </c>
      <c r="X19" s="196">
        <v>5010</v>
      </c>
      <c r="Y19" s="41"/>
      <c r="AA19" s="19" t="s">
        <v>66</v>
      </c>
      <c r="AB19" s="29">
        <v>43957</v>
      </c>
      <c r="AC19" s="21">
        <v>2000</v>
      </c>
    </row>
    <row r="20" spans="1:29" ht="15.75" thickBot="1" x14ac:dyDescent="0.3">
      <c r="A20" s="30"/>
      <c r="B20" s="149">
        <v>43944</v>
      </c>
      <c r="C20" s="31">
        <v>20535.560000000001</v>
      </c>
      <c r="D20" s="154" t="s">
        <v>251</v>
      </c>
      <c r="E20" s="151">
        <v>43944</v>
      </c>
      <c r="F20" s="32">
        <v>78025</v>
      </c>
      <c r="G20" s="152"/>
      <c r="H20" s="153">
        <v>43944</v>
      </c>
      <c r="I20" s="39">
        <v>0</v>
      </c>
      <c r="J20" s="60">
        <v>43929</v>
      </c>
      <c r="K20" s="220" t="s">
        <v>243</v>
      </c>
      <c r="L20" s="68">
        <v>870</v>
      </c>
      <c r="M20" s="34">
        <v>56258</v>
      </c>
      <c r="N20" s="35">
        <v>1251</v>
      </c>
      <c r="O20" s="276"/>
      <c r="P20" s="36">
        <f>C20+I20+M20+N20</f>
        <v>78044.56</v>
      </c>
      <c r="Q20" s="281">
        <f t="shared" si="1"/>
        <v>19.559999999997672</v>
      </c>
      <c r="T20" s="8"/>
      <c r="U20" s="8"/>
      <c r="V20" s="245">
        <v>43896</v>
      </c>
      <c r="W20" s="44" t="s">
        <v>11</v>
      </c>
      <c r="X20" s="196">
        <v>5010</v>
      </c>
      <c r="Y20" s="41"/>
      <c r="AA20" s="19" t="s">
        <v>67</v>
      </c>
      <c r="AB20" s="167"/>
      <c r="AC20" s="21">
        <v>0</v>
      </c>
    </row>
    <row r="21" spans="1:29" ht="16.5" thickBot="1" x14ac:dyDescent="0.3">
      <c r="A21" s="30"/>
      <c r="B21" s="149">
        <v>43945</v>
      </c>
      <c r="C21" s="31">
        <v>4205</v>
      </c>
      <c r="D21" s="154" t="s">
        <v>252</v>
      </c>
      <c r="E21" s="151">
        <v>43945</v>
      </c>
      <c r="F21" s="32">
        <v>82500</v>
      </c>
      <c r="G21" s="152"/>
      <c r="H21" s="153">
        <v>43945</v>
      </c>
      <c r="I21" s="39">
        <v>10020</v>
      </c>
      <c r="J21" s="67"/>
      <c r="K21" s="74"/>
      <c r="L21" s="68"/>
      <c r="M21" s="34">
        <v>65585</v>
      </c>
      <c r="N21" s="35">
        <v>2690</v>
      </c>
      <c r="O21" s="276"/>
      <c r="P21" s="36">
        <f>C21+I21+M21+N21+L21</f>
        <v>82500</v>
      </c>
      <c r="Q21" s="5">
        <f t="shared" si="1"/>
        <v>0</v>
      </c>
      <c r="T21" s="8"/>
      <c r="U21" s="8"/>
      <c r="V21" s="29">
        <v>43896</v>
      </c>
      <c r="W21" s="38" t="s">
        <v>10</v>
      </c>
      <c r="X21" s="196">
        <v>5010</v>
      </c>
      <c r="Y21" s="41"/>
      <c r="AA21" s="19" t="s">
        <v>143</v>
      </c>
      <c r="AB21" s="167"/>
      <c r="AC21" s="21">
        <v>0</v>
      </c>
    </row>
    <row r="22" spans="1:29" ht="15.75" thickBot="1" x14ac:dyDescent="0.3">
      <c r="A22" s="30"/>
      <c r="B22" s="149">
        <v>43946</v>
      </c>
      <c r="C22" s="31">
        <v>14765.8</v>
      </c>
      <c r="D22" s="154" t="s">
        <v>253</v>
      </c>
      <c r="E22" s="151">
        <v>43946</v>
      </c>
      <c r="F22" s="32">
        <v>124349</v>
      </c>
      <c r="G22" s="152"/>
      <c r="H22" s="153">
        <v>43946</v>
      </c>
      <c r="I22" s="39">
        <v>284</v>
      </c>
      <c r="J22" s="76"/>
      <c r="K22" s="59"/>
      <c r="L22" s="77"/>
      <c r="M22" s="34">
        <v>93933</v>
      </c>
      <c r="N22" s="35">
        <v>4177</v>
      </c>
      <c r="O22" s="276"/>
      <c r="P22" s="36">
        <f>C22+I22+M22+N22+L14</f>
        <v>133041.85</v>
      </c>
      <c r="Q22" s="201">
        <f>P22-F22</f>
        <v>8692.8500000000058</v>
      </c>
      <c r="T22" s="8"/>
      <c r="U22" s="8"/>
      <c r="V22" s="29">
        <v>43903</v>
      </c>
      <c r="W22" s="44" t="s">
        <v>11</v>
      </c>
      <c r="X22" s="196">
        <v>5010</v>
      </c>
      <c r="Y22" s="41"/>
      <c r="AA22" s="19" t="s">
        <v>144</v>
      </c>
      <c r="AB22" s="167"/>
      <c r="AC22" s="21">
        <v>0</v>
      </c>
    </row>
    <row r="23" spans="1:29" ht="15.75" thickBot="1" x14ac:dyDescent="0.3">
      <c r="A23" s="30"/>
      <c r="B23" s="149">
        <v>43947</v>
      </c>
      <c r="C23" s="31">
        <v>1278</v>
      </c>
      <c r="D23" s="154" t="s">
        <v>72</v>
      </c>
      <c r="E23" s="151">
        <v>43947</v>
      </c>
      <c r="F23" s="32">
        <v>113957</v>
      </c>
      <c r="G23" s="152"/>
      <c r="H23" s="153">
        <v>43947</v>
      </c>
      <c r="I23" s="39">
        <v>0</v>
      </c>
      <c r="J23" s="284"/>
      <c r="K23" s="289"/>
      <c r="L23" s="285"/>
      <c r="M23" s="258">
        <v>109150</v>
      </c>
      <c r="N23" s="35">
        <v>3132</v>
      </c>
      <c r="O23" s="257" t="s">
        <v>250</v>
      </c>
      <c r="P23" s="36">
        <f>C23+I23+M23+N23+L15</f>
        <v>113960</v>
      </c>
      <c r="Q23" s="5">
        <f t="shared" ref="Q23:Q32" si="2">P23-F23</f>
        <v>3</v>
      </c>
      <c r="T23" s="8"/>
      <c r="U23" s="8"/>
      <c r="V23" s="29">
        <v>43903</v>
      </c>
      <c r="W23" s="38" t="s">
        <v>10</v>
      </c>
      <c r="X23" s="196">
        <v>5010</v>
      </c>
      <c r="Y23" s="41"/>
      <c r="AA23" s="19" t="s">
        <v>145</v>
      </c>
      <c r="AB23" s="167"/>
      <c r="AC23" s="21">
        <v>0</v>
      </c>
    </row>
    <row r="24" spans="1:29" ht="15.75" thickBot="1" x14ac:dyDescent="0.3">
      <c r="A24" s="30"/>
      <c r="B24" s="149">
        <v>43948</v>
      </c>
      <c r="C24" s="31">
        <v>1780</v>
      </c>
      <c r="D24" s="154" t="s">
        <v>255</v>
      </c>
      <c r="E24" s="151">
        <v>43948</v>
      </c>
      <c r="F24" s="32">
        <v>106237</v>
      </c>
      <c r="G24" s="152"/>
      <c r="H24" s="153">
        <v>43948</v>
      </c>
      <c r="I24" s="39">
        <v>0</v>
      </c>
      <c r="J24" s="286" t="s">
        <v>264</v>
      </c>
      <c r="K24" s="297" t="s">
        <v>275</v>
      </c>
      <c r="L24" s="291">
        <v>1315.86</v>
      </c>
      <c r="M24" s="34">
        <f>27405+74436</f>
        <v>101841</v>
      </c>
      <c r="N24" s="35">
        <v>2616</v>
      </c>
      <c r="O24" s="276"/>
      <c r="P24" s="36">
        <f>C24+I24+M24+N24</f>
        <v>106237</v>
      </c>
      <c r="Q24" s="5">
        <f t="shared" si="2"/>
        <v>0</v>
      </c>
      <c r="T24" s="8"/>
      <c r="U24" s="8"/>
      <c r="V24" s="29">
        <v>43916</v>
      </c>
      <c r="W24" s="44" t="s">
        <v>11</v>
      </c>
      <c r="X24" s="196">
        <v>5010</v>
      </c>
      <c r="Y24" s="41"/>
      <c r="Z24" t="s">
        <v>12</v>
      </c>
      <c r="AA24" s="19" t="s">
        <v>146</v>
      </c>
      <c r="AB24" s="167"/>
      <c r="AC24" s="21">
        <v>0</v>
      </c>
    </row>
    <row r="25" spans="1:29" ht="15.75" thickBot="1" x14ac:dyDescent="0.3">
      <c r="A25" s="30"/>
      <c r="B25" s="149">
        <v>43949</v>
      </c>
      <c r="C25" s="31">
        <v>3562</v>
      </c>
      <c r="D25" s="154" t="s">
        <v>210</v>
      </c>
      <c r="E25" s="151">
        <v>43949</v>
      </c>
      <c r="F25" s="32">
        <v>59410</v>
      </c>
      <c r="G25" s="152"/>
      <c r="H25" s="153">
        <v>43949</v>
      </c>
      <c r="I25" s="39">
        <v>76</v>
      </c>
      <c r="J25" s="287" t="s">
        <v>264</v>
      </c>
      <c r="K25" s="163" t="s">
        <v>267</v>
      </c>
      <c r="L25" s="102">
        <v>2207.4</v>
      </c>
      <c r="M25" s="34">
        <v>54725</v>
      </c>
      <c r="N25" s="35">
        <v>1047</v>
      </c>
      <c r="O25" s="276" t="s">
        <v>12</v>
      </c>
      <c r="P25" s="36">
        <f>C25+I25+M25+N25</f>
        <v>59410</v>
      </c>
      <c r="Q25" s="5">
        <f t="shared" si="2"/>
        <v>0</v>
      </c>
      <c r="V25" s="29">
        <v>43924</v>
      </c>
      <c r="W25" s="38" t="s">
        <v>10</v>
      </c>
      <c r="X25" s="196">
        <v>5010</v>
      </c>
      <c r="Y25" s="41"/>
      <c r="AA25" s="19" t="s">
        <v>147</v>
      </c>
      <c r="AB25" s="167"/>
      <c r="AC25" s="21">
        <v>0</v>
      </c>
    </row>
    <row r="26" spans="1:29" ht="15.75" thickBot="1" x14ac:dyDescent="0.3">
      <c r="A26" s="30"/>
      <c r="B26" s="149">
        <v>43950</v>
      </c>
      <c r="C26" s="31">
        <v>8748</v>
      </c>
      <c r="D26" s="154" t="s">
        <v>256</v>
      </c>
      <c r="E26" s="151">
        <v>43950</v>
      </c>
      <c r="F26" s="32">
        <v>85109</v>
      </c>
      <c r="G26" s="152"/>
      <c r="H26" s="153">
        <v>43950</v>
      </c>
      <c r="I26" s="39">
        <v>4000</v>
      </c>
      <c r="J26" s="67" t="s">
        <v>264</v>
      </c>
      <c r="K26" s="290" t="s">
        <v>269</v>
      </c>
      <c r="L26" s="285">
        <v>429</v>
      </c>
      <c r="M26" s="34">
        <f>5653+6596+55200</f>
        <v>67449</v>
      </c>
      <c r="N26" s="35">
        <v>4920</v>
      </c>
      <c r="O26" s="276"/>
      <c r="P26" s="36">
        <f>C26+I26+M26+N26++L19</f>
        <v>85117</v>
      </c>
      <c r="Q26" s="5">
        <f t="shared" si="2"/>
        <v>8</v>
      </c>
      <c r="S26" s="86"/>
      <c r="T26" s="86"/>
      <c r="U26" s="86"/>
      <c r="V26" s="29">
        <v>43924</v>
      </c>
      <c r="W26" s="44" t="s">
        <v>11</v>
      </c>
      <c r="X26" s="196">
        <v>5010</v>
      </c>
      <c r="Y26" s="41"/>
      <c r="AA26" s="19" t="s">
        <v>148</v>
      </c>
      <c r="AB26" s="167"/>
      <c r="AC26" s="21">
        <v>0</v>
      </c>
    </row>
    <row r="27" spans="1:29" ht="15" customHeight="1" thickBot="1" x14ac:dyDescent="0.3">
      <c r="A27" s="30"/>
      <c r="B27" s="149">
        <v>43951</v>
      </c>
      <c r="C27" s="31">
        <v>14995</v>
      </c>
      <c r="D27" s="154" t="s">
        <v>257</v>
      </c>
      <c r="E27" s="151">
        <v>43951</v>
      </c>
      <c r="F27" s="32">
        <v>91862</v>
      </c>
      <c r="G27" s="152"/>
      <c r="H27" s="153">
        <v>43951</v>
      </c>
      <c r="I27" s="39">
        <v>450</v>
      </c>
      <c r="J27" s="217" t="s">
        <v>264</v>
      </c>
      <c r="K27" s="295" t="s">
        <v>274</v>
      </c>
      <c r="L27" s="102">
        <v>1703.14</v>
      </c>
      <c r="M27" s="258">
        <v>73112</v>
      </c>
      <c r="N27" s="35">
        <v>3277</v>
      </c>
      <c r="O27" s="276" t="s">
        <v>220</v>
      </c>
      <c r="P27" s="36">
        <f>C27+I27+M27+N27+L16</f>
        <v>115134.78</v>
      </c>
      <c r="Q27" s="246">
        <f t="shared" si="2"/>
        <v>23272.78</v>
      </c>
      <c r="V27" s="29">
        <v>43932</v>
      </c>
      <c r="W27" s="38" t="s">
        <v>10</v>
      </c>
      <c r="X27" s="196">
        <v>5010</v>
      </c>
      <c r="Y27" s="41"/>
      <c r="AA27" s="19" t="s">
        <v>149</v>
      </c>
      <c r="AB27" s="167"/>
      <c r="AC27" s="21">
        <v>0</v>
      </c>
    </row>
    <row r="28" spans="1:29" ht="15.75" thickBot="1" x14ac:dyDescent="0.3">
      <c r="A28" s="30"/>
      <c r="B28" s="149">
        <v>43952</v>
      </c>
      <c r="C28" s="31">
        <v>15811</v>
      </c>
      <c r="D28" s="282" t="s">
        <v>75</v>
      </c>
      <c r="E28" s="151">
        <v>43952</v>
      </c>
      <c r="F28" s="32">
        <v>125150</v>
      </c>
      <c r="G28" s="152"/>
      <c r="H28" s="153">
        <v>43952</v>
      </c>
      <c r="I28" s="39">
        <v>10020</v>
      </c>
      <c r="J28" s="217" t="s">
        <v>264</v>
      </c>
      <c r="K28" s="294" t="s">
        <v>278</v>
      </c>
      <c r="L28" s="102">
        <v>3571.86</v>
      </c>
      <c r="M28" s="258">
        <v>71601</v>
      </c>
      <c r="N28" s="35">
        <v>7718</v>
      </c>
      <c r="O28" s="276" t="s">
        <v>220</v>
      </c>
      <c r="P28" s="253">
        <f>C28+I28+M28+N28+L9</f>
        <v>125150</v>
      </c>
      <c r="Q28" s="5">
        <f t="shared" si="2"/>
        <v>0</v>
      </c>
      <c r="V28" s="29">
        <v>43932</v>
      </c>
      <c r="W28" s="44" t="s">
        <v>11</v>
      </c>
      <c r="X28" s="196">
        <v>5010</v>
      </c>
      <c r="Y28" s="41"/>
      <c r="AA28" s="19" t="s">
        <v>150</v>
      </c>
      <c r="AB28" s="167"/>
      <c r="AC28" s="21">
        <v>0</v>
      </c>
    </row>
    <row r="29" spans="1:29" ht="15.75" thickBot="1" x14ac:dyDescent="0.3">
      <c r="A29" s="30"/>
      <c r="B29" s="149">
        <v>43953</v>
      </c>
      <c r="C29" s="31">
        <v>5328</v>
      </c>
      <c r="D29" s="241" t="s">
        <v>258</v>
      </c>
      <c r="E29" s="151">
        <v>43953</v>
      </c>
      <c r="F29" s="32">
        <v>146487</v>
      </c>
      <c r="G29" s="152"/>
      <c r="H29" s="153">
        <v>43953</v>
      </c>
      <c r="I29" s="39">
        <v>0</v>
      </c>
      <c r="J29" s="217" t="s">
        <v>264</v>
      </c>
      <c r="K29" s="163" t="s">
        <v>273</v>
      </c>
      <c r="L29" s="102">
        <v>2296.94</v>
      </c>
      <c r="M29" s="34">
        <v>121500</v>
      </c>
      <c r="N29" s="35">
        <v>5781</v>
      </c>
      <c r="O29" s="276" t="s">
        <v>12</v>
      </c>
      <c r="P29" s="36">
        <f>C29+I29+M29+N29</f>
        <v>132609</v>
      </c>
      <c r="Q29" s="201">
        <f>P29-F29+L16</f>
        <v>9422.7799999999988</v>
      </c>
      <c r="S29" s="6" t="s">
        <v>12</v>
      </c>
      <c r="V29" s="29">
        <v>43938</v>
      </c>
      <c r="W29" s="38" t="s">
        <v>10</v>
      </c>
      <c r="X29" s="196">
        <v>5010</v>
      </c>
      <c r="Y29" s="41"/>
      <c r="AA29" s="19" t="s">
        <v>151</v>
      </c>
      <c r="AB29" s="167"/>
      <c r="AC29" s="21">
        <v>0</v>
      </c>
    </row>
    <row r="30" spans="1:29" ht="15.75" thickBot="1" x14ac:dyDescent="0.3">
      <c r="A30" s="30"/>
      <c r="B30" s="149">
        <v>43954</v>
      </c>
      <c r="C30" s="242">
        <v>10542</v>
      </c>
      <c r="D30" s="243" t="s">
        <v>259</v>
      </c>
      <c r="E30" s="151">
        <v>43954</v>
      </c>
      <c r="F30" s="32">
        <v>85859</v>
      </c>
      <c r="G30" s="152"/>
      <c r="H30" s="153">
        <v>43954</v>
      </c>
      <c r="I30" s="244">
        <v>0</v>
      </c>
      <c r="J30" s="217" t="s">
        <v>264</v>
      </c>
      <c r="K30" s="296" t="s">
        <v>265</v>
      </c>
      <c r="L30" s="293">
        <v>38875</v>
      </c>
      <c r="M30" s="34">
        <v>73022</v>
      </c>
      <c r="N30" s="35">
        <v>2288</v>
      </c>
      <c r="O30" s="276"/>
      <c r="P30" s="36">
        <f>C30+I30+M30+N30</f>
        <v>85852</v>
      </c>
      <c r="Q30" s="246">
        <f t="shared" si="2"/>
        <v>-7</v>
      </c>
      <c r="V30" s="29">
        <v>43938</v>
      </c>
      <c r="W30" s="44" t="s">
        <v>11</v>
      </c>
      <c r="X30" s="196">
        <v>5010</v>
      </c>
      <c r="Y30" s="41"/>
      <c r="AA30" s="19" t="s">
        <v>152</v>
      </c>
      <c r="AB30" s="167"/>
      <c r="AC30" s="21">
        <v>0</v>
      </c>
    </row>
    <row r="31" spans="1:29" ht="15.75" thickBot="1" x14ac:dyDescent="0.3">
      <c r="A31" s="30"/>
      <c r="B31" s="149">
        <v>43955</v>
      </c>
      <c r="C31" s="238">
        <v>14461.73</v>
      </c>
      <c r="D31" s="243" t="s">
        <v>260</v>
      </c>
      <c r="E31" s="151">
        <v>43955</v>
      </c>
      <c r="F31" s="32">
        <v>108521</v>
      </c>
      <c r="G31" s="152"/>
      <c r="H31" s="153">
        <v>43955</v>
      </c>
      <c r="I31" s="244">
        <v>0</v>
      </c>
      <c r="J31" s="217" t="s">
        <v>264</v>
      </c>
      <c r="K31" s="163" t="s">
        <v>279</v>
      </c>
      <c r="L31" s="102">
        <v>8180.79</v>
      </c>
      <c r="M31" s="34">
        <v>91906</v>
      </c>
      <c r="N31" s="35">
        <v>2158</v>
      </c>
      <c r="O31" s="276"/>
      <c r="P31" s="36">
        <f t="shared" ref="P31:P32" si="3">C31+I31+M31+N31+L18</f>
        <v>108525.73</v>
      </c>
      <c r="Q31" s="5">
        <f t="shared" si="2"/>
        <v>4.7299999999959255</v>
      </c>
      <c r="V31" s="29">
        <v>43945</v>
      </c>
      <c r="W31" s="38" t="s">
        <v>10</v>
      </c>
      <c r="X31" s="196">
        <v>5010</v>
      </c>
      <c r="Y31" s="41"/>
      <c r="AA31" s="19" t="s">
        <v>153</v>
      </c>
      <c r="AB31" s="167"/>
      <c r="AC31" s="21">
        <v>0</v>
      </c>
    </row>
    <row r="32" spans="1:29" ht="15.75" thickBot="1" x14ac:dyDescent="0.3">
      <c r="A32" s="30"/>
      <c r="B32" s="149">
        <v>43956</v>
      </c>
      <c r="C32" s="238">
        <v>6353.8</v>
      </c>
      <c r="D32" s="243" t="s">
        <v>261</v>
      </c>
      <c r="E32" s="151">
        <v>43956</v>
      </c>
      <c r="F32" s="237">
        <v>64405</v>
      </c>
      <c r="G32" s="152"/>
      <c r="H32" s="153">
        <v>43956</v>
      </c>
      <c r="I32" s="244">
        <v>421</v>
      </c>
      <c r="J32" s="217" t="s">
        <v>264</v>
      </c>
      <c r="K32" s="164" t="s">
        <v>272</v>
      </c>
      <c r="L32" s="102">
        <v>860</v>
      </c>
      <c r="M32" s="34">
        <f>3459+53074</f>
        <v>56533</v>
      </c>
      <c r="N32" s="35">
        <v>1153</v>
      </c>
      <c r="O32" s="276"/>
      <c r="P32" s="36">
        <f t="shared" si="3"/>
        <v>64460.800000000003</v>
      </c>
      <c r="Q32" s="283">
        <f t="shared" si="2"/>
        <v>55.80000000000291</v>
      </c>
      <c r="R32" s="5" t="s">
        <v>262</v>
      </c>
      <c r="V32" s="29">
        <v>43945</v>
      </c>
      <c r="W32" s="44" t="s">
        <v>11</v>
      </c>
      <c r="X32" s="196">
        <v>5010</v>
      </c>
      <c r="Y32" s="41"/>
      <c r="AA32" s="19" t="s">
        <v>215</v>
      </c>
      <c r="AB32" s="167"/>
      <c r="AC32" s="21">
        <v>0</v>
      </c>
    </row>
    <row r="33" spans="1:29" ht="15.75" thickBot="1" x14ac:dyDescent="0.3">
      <c r="A33" s="30"/>
      <c r="B33" s="149">
        <v>43957</v>
      </c>
      <c r="C33" s="238">
        <v>2870</v>
      </c>
      <c r="D33" s="255" t="s">
        <v>263</v>
      </c>
      <c r="E33" s="151">
        <v>43957</v>
      </c>
      <c r="F33" s="176">
        <v>58998</v>
      </c>
      <c r="G33" s="152"/>
      <c r="H33" s="153">
        <v>43957</v>
      </c>
      <c r="I33" s="244">
        <v>2039</v>
      </c>
      <c r="J33" s="217" t="s">
        <v>264</v>
      </c>
      <c r="K33" s="164" t="s">
        <v>276</v>
      </c>
      <c r="L33" s="102">
        <v>4862.45</v>
      </c>
      <c r="M33" s="34">
        <v>52365</v>
      </c>
      <c r="N33" s="35">
        <v>1724</v>
      </c>
      <c r="O33" s="276"/>
      <c r="P33" s="36">
        <f>C33+I33+M33+N33</f>
        <v>58998</v>
      </c>
      <c r="Q33" s="5">
        <f t="shared" si="1"/>
        <v>0</v>
      </c>
      <c r="R33" s="36"/>
      <c r="V33" s="29">
        <v>43952</v>
      </c>
      <c r="W33" s="44" t="s">
        <v>11</v>
      </c>
      <c r="X33" s="196">
        <v>5010</v>
      </c>
      <c r="Y33" s="41"/>
      <c r="AA33" s="19" t="s">
        <v>216</v>
      </c>
      <c r="AB33" s="167"/>
      <c r="AC33" s="21">
        <v>0</v>
      </c>
    </row>
    <row r="34" spans="1:29" ht="15.75" thickBot="1" x14ac:dyDescent="0.3">
      <c r="A34" s="30"/>
      <c r="B34" s="149"/>
      <c r="C34" s="238"/>
      <c r="D34" s="254"/>
      <c r="E34" s="240"/>
      <c r="F34" s="176">
        <v>0</v>
      </c>
      <c r="G34" s="152"/>
      <c r="H34" s="153"/>
      <c r="I34" s="244"/>
      <c r="J34" s="217" t="s">
        <v>264</v>
      </c>
      <c r="K34" s="163" t="s">
        <v>277</v>
      </c>
      <c r="L34" s="102">
        <v>5382.4</v>
      </c>
      <c r="M34" s="34">
        <v>0</v>
      </c>
      <c r="N34" s="35">
        <v>0</v>
      </c>
      <c r="O34" s="276"/>
      <c r="P34" s="36">
        <f>C34+I34+M34+N34+L17</f>
        <v>0</v>
      </c>
      <c r="Q34" s="5">
        <f t="shared" si="1"/>
        <v>0</v>
      </c>
      <c r="R34" s="36"/>
      <c r="V34" s="29">
        <v>43952</v>
      </c>
      <c r="W34" s="38" t="s">
        <v>10</v>
      </c>
      <c r="X34" s="196">
        <v>5010</v>
      </c>
      <c r="Y34" s="41"/>
      <c r="AA34" s="19" t="s">
        <v>217</v>
      </c>
      <c r="AB34" s="167"/>
      <c r="AC34" s="21">
        <v>0</v>
      </c>
    </row>
    <row r="35" spans="1:29" ht="15.75" thickBot="1" x14ac:dyDescent="0.3">
      <c r="A35" s="30"/>
      <c r="B35" s="149"/>
      <c r="C35" s="238"/>
      <c r="D35" s="259"/>
      <c r="E35" s="240"/>
      <c r="F35" s="176">
        <v>0</v>
      </c>
      <c r="G35" s="152"/>
      <c r="H35" s="153"/>
      <c r="I35" s="244"/>
      <c r="J35" s="217" t="s">
        <v>264</v>
      </c>
      <c r="K35" s="164" t="s">
        <v>268</v>
      </c>
      <c r="L35" s="292">
        <v>772</v>
      </c>
      <c r="M35" s="34">
        <v>0</v>
      </c>
      <c r="N35" s="35">
        <v>0</v>
      </c>
      <c r="O35" s="276"/>
      <c r="P35" s="36">
        <f>C35+I35+M35+N35</f>
        <v>0</v>
      </c>
      <c r="Q35" s="5">
        <f t="shared" si="1"/>
        <v>0</v>
      </c>
      <c r="R35" s="36"/>
      <c r="V35" s="29"/>
      <c r="W35" s="44" t="s">
        <v>11</v>
      </c>
      <c r="X35" s="196">
        <v>0</v>
      </c>
      <c r="Y35" s="41"/>
      <c r="AA35" s="19" t="s">
        <v>154</v>
      </c>
      <c r="AB35" s="167"/>
      <c r="AC35" s="21">
        <v>0</v>
      </c>
    </row>
    <row r="36" spans="1:29" ht="15.75" thickBot="1" x14ac:dyDescent="0.3">
      <c r="A36" s="30"/>
      <c r="B36" s="149"/>
      <c r="C36" s="238"/>
      <c r="D36" s="259"/>
      <c r="E36" s="240"/>
      <c r="F36" s="176">
        <v>0</v>
      </c>
      <c r="G36" s="152"/>
      <c r="H36" s="153"/>
      <c r="I36" s="244"/>
      <c r="J36" s="217" t="s">
        <v>264</v>
      </c>
      <c r="K36" s="163" t="s">
        <v>266</v>
      </c>
      <c r="L36" s="102">
        <v>19605</v>
      </c>
      <c r="M36" s="34">
        <v>0</v>
      </c>
      <c r="N36" s="35">
        <v>0</v>
      </c>
      <c r="O36" s="276"/>
      <c r="P36" s="36">
        <f>C36+I36+M36+N36</f>
        <v>0</v>
      </c>
      <c r="Q36" s="5">
        <f t="shared" si="1"/>
        <v>0</v>
      </c>
      <c r="R36" s="36"/>
      <c r="V36" s="29"/>
      <c r="W36" s="38" t="s">
        <v>10</v>
      </c>
      <c r="X36" s="196">
        <v>0</v>
      </c>
      <c r="Y36" s="41"/>
      <c r="AA36" s="19" t="s">
        <v>155</v>
      </c>
      <c r="AB36" s="167"/>
      <c r="AC36" s="21">
        <v>0</v>
      </c>
    </row>
    <row r="37" spans="1:29" ht="15.75" thickBot="1" x14ac:dyDescent="0.3">
      <c r="A37" s="30"/>
      <c r="B37" s="149"/>
      <c r="C37" s="238"/>
      <c r="D37" s="259"/>
      <c r="E37" s="240"/>
      <c r="F37" s="176">
        <v>0</v>
      </c>
      <c r="G37" s="152"/>
      <c r="H37" s="153"/>
      <c r="I37" s="244"/>
      <c r="J37" s="217" t="s">
        <v>264</v>
      </c>
      <c r="K37" s="163" t="s">
        <v>270</v>
      </c>
      <c r="L37" s="102">
        <v>538.42999999999995</v>
      </c>
      <c r="M37" s="34">
        <v>0</v>
      </c>
      <c r="N37" s="35">
        <v>0</v>
      </c>
      <c r="O37" s="276"/>
      <c r="P37" s="36">
        <f>C37+I37+M37+N37</f>
        <v>0</v>
      </c>
      <c r="Q37" s="5">
        <f t="shared" si="1"/>
        <v>0</v>
      </c>
      <c r="R37" s="36"/>
      <c r="V37" s="29"/>
      <c r="W37" s="44" t="s">
        <v>11</v>
      </c>
      <c r="X37" s="196">
        <v>0</v>
      </c>
      <c r="Y37" s="41"/>
      <c r="AA37" s="19" t="s">
        <v>156</v>
      </c>
      <c r="AB37" s="167"/>
      <c r="AC37" s="21">
        <v>0</v>
      </c>
    </row>
    <row r="38" spans="1:29" ht="15.75" thickBot="1" x14ac:dyDescent="0.3">
      <c r="A38" s="30"/>
      <c r="B38" s="149"/>
      <c r="C38" s="274"/>
      <c r="D38" s="259"/>
      <c r="E38" s="240"/>
      <c r="F38" s="176">
        <v>0</v>
      </c>
      <c r="G38" s="152"/>
      <c r="H38" s="153"/>
      <c r="I38" s="244"/>
      <c r="J38" s="217" t="s">
        <v>264</v>
      </c>
      <c r="K38" s="229" t="s">
        <v>271</v>
      </c>
      <c r="L38" s="288">
        <v>19605</v>
      </c>
      <c r="M38" s="34">
        <v>0</v>
      </c>
      <c r="N38" s="35">
        <v>0</v>
      </c>
      <c r="O38" s="276"/>
      <c r="P38" s="104">
        <f>C38+I38+M38+N38</f>
        <v>0</v>
      </c>
      <c r="Q38" s="104">
        <f t="shared" si="1"/>
        <v>0</v>
      </c>
      <c r="R38" s="36"/>
      <c r="V38" s="29"/>
      <c r="W38" s="38" t="s">
        <v>10</v>
      </c>
      <c r="X38" s="196">
        <v>0</v>
      </c>
      <c r="Y38" s="41"/>
      <c r="AA38" s="19" t="s">
        <v>157</v>
      </c>
      <c r="AB38" s="167"/>
      <c r="AC38" s="21">
        <v>0</v>
      </c>
    </row>
    <row r="39" spans="1:29" ht="16.5" thickBot="1" x14ac:dyDescent="0.3">
      <c r="A39" s="105"/>
      <c r="B39" s="106"/>
      <c r="C39" s="107"/>
      <c r="D39" s="204"/>
      <c r="E39" s="108"/>
      <c r="F39" s="109">
        <v>0</v>
      </c>
      <c r="G39" s="110"/>
      <c r="H39" s="153"/>
      <c r="I39" s="109"/>
      <c r="J39" s="228"/>
      <c r="K39" s="265"/>
      <c r="L39" s="77"/>
      <c r="M39" s="112">
        <f>SUM(M5:M38)</f>
        <v>2101642</v>
      </c>
      <c r="N39" s="113">
        <f>SUM(N5:N38)</f>
        <v>101041</v>
      </c>
      <c r="O39" s="277"/>
      <c r="P39" s="114">
        <f>SUM(P5:P38)</f>
        <v>2600447.9899999998</v>
      </c>
      <c r="Q39" s="114">
        <f>SUM(Q5:Q38)</f>
        <v>80895.76999999999</v>
      </c>
      <c r="R39" s="114"/>
      <c r="W39" s="44" t="s">
        <v>11</v>
      </c>
      <c r="X39" s="196">
        <v>0</v>
      </c>
      <c r="Y39" s="41"/>
      <c r="AA39" s="19" t="s">
        <v>160</v>
      </c>
      <c r="AB39" s="167"/>
      <c r="AC39" s="21">
        <v>0</v>
      </c>
    </row>
    <row r="40" spans="1:29" ht="16.5" thickBot="1" x14ac:dyDescent="0.3">
      <c r="B40" s="115" t="s">
        <v>16</v>
      </c>
      <c r="C40" s="116">
        <f>SUM(C5:C39)</f>
        <v>234600.5</v>
      </c>
      <c r="D40" s="117"/>
      <c r="E40" s="303" t="s">
        <v>16</v>
      </c>
      <c r="F40" s="304">
        <f>SUM(F5:F39)</f>
        <v>2543723</v>
      </c>
      <c r="G40" s="117"/>
      <c r="H40" s="120" t="s">
        <v>16</v>
      </c>
      <c r="I40" s="121">
        <f>SUM(I5:I39)</f>
        <v>51684</v>
      </c>
      <c r="J40" s="93"/>
      <c r="K40" s="122" t="s">
        <v>16</v>
      </c>
      <c r="L40" s="123">
        <f>SUM(L6:L39)</f>
        <v>216755.76</v>
      </c>
      <c r="O40" s="278"/>
      <c r="P40" s="36"/>
      <c r="Q40" s="36"/>
      <c r="R40" s="36"/>
      <c r="V40" s="8"/>
      <c r="W40" s="38" t="s">
        <v>10</v>
      </c>
      <c r="X40" s="196">
        <v>0</v>
      </c>
      <c r="Y40" s="41"/>
      <c r="AA40" s="19" t="s">
        <v>161</v>
      </c>
      <c r="AB40" s="167"/>
      <c r="AC40" s="21">
        <v>0</v>
      </c>
    </row>
    <row r="41" spans="1:29" ht="17.25" customHeight="1" thickTop="1" thickBot="1" x14ac:dyDescent="0.3">
      <c r="C41" s="8" t="s">
        <v>12</v>
      </c>
      <c r="M41" s="351">
        <f>N39+M39</f>
        <v>2202683</v>
      </c>
      <c r="N41" s="352"/>
      <c r="O41" s="279"/>
      <c r="P41" s="124"/>
      <c r="V41" s="8"/>
      <c r="W41" s="44" t="s">
        <v>11</v>
      </c>
      <c r="X41" s="196">
        <v>0</v>
      </c>
      <c r="Y41" s="41"/>
      <c r="AA41" s="19" t="s">
        <v>162</v>
      </c>
      <c r="AB41" s="167"/>
      <c r="AC41" s="21">
        <v>0</v>
      </c>
    </row>
    <row r="42" spans="1:29" ht="15.75" x14ac:dyDescent="0.25">
      <c r="A42" s="59"/>
      <c r="B42" s="125"/>
      <c r="C42" s="4"/>
      <c r="H42" s="353" t="s">
        <v>18</v>
      </c>
      <c r="I42" s="354"/>
      <c r="J42" s="269"/>
      <c r="K42" s="355">
        <f>I40+L40</f>
        <v>268439.76</v>
      </c>
      <c r="L42" s="356"/>
      <c r="P42" s="127"/>
      <c r="S42" s="5"/>
      <c r="T42" s="128"/>
      <c r="U42" s="128"/>
      <c r="V42" s="8"/>
      <c r="W42" s="38" t="s">
        <v>10</v>
      </c>
      <c r="X42" s="196">
        <v>0</v>
      </c>
      <c r="Y42" s="41"/>
      <c r="AA42" s="19" t="s">
        <v>163</v>
      </c>
      <c r="AB42" s="167"/>
      <c r="AC42" s="21">
        <v>0</v>
      </c>
    </row>
    <row r="43" spans="1:29" ht="16.5" thickBot="1" x14ac:dyDescent="0.3">
      <c r="D43" s="357" t="s">
        <v>19</v>
      </c>
      <c r="E43" s="357"/>
      <c r="F43" s="129">
        <f>F40-K42-C40</f>
        <v>2040682.7400000002</v>
      </c>
      <c r="I43" s="130"/>
      <c r="J43" s="130"/>
      <c r="P43" s="127"/>
      <c r="V43" s="8"/>
      <c r="W43" s="44" t="s">
        <v>11</v>
      </c>
      <c r="X43" s="196">
        <v>0</v>
      </c>
      <c r="Y43" s="41"/>
      <c r="AA43" s="19" t="s">
        <v>164</v>
      </c>
      <c r="AB43" s="167"/>
      <c r="AC43" s="21">
        <v>0</v>
      </c>
    </row>
    <row r="44" spans="1:29" ht="18.75" x14ac:dyDescent="0.3">
      <c r="D44" s="339" t="s">
        <v>20</v>
      </c>
      <c r="E44" s="339"/>
      <c r="F44" s="131">
        <v>-1908890.86</v>
      </c>
      <c r="I44" s="340" t="s">
        <v>21</v>
      </c>
      <c r="J44" s="341"/>
      <c r="K44" s="342">
        <f>F49</f>
        <v>384003.30000000016</v>
      </c>
      <c r="L44" s="343"/>
      <c r="P44" s="299">
        <v>2202683</v>
      </c>
      <c r="V44" s="8"/>
      <c r="W44" s="38" t="s">
        <v>10</v>
      </c>
      <c r="X44" s="196">
        <v>0</v>
      </c>
      <c r="Y44" s="41"/>
      <c r="AA44" s="19" t="s">
        <v>165</v>
      </c>
      <c r="AB44" s="167"/>
      <c r="AC44" s="21">
        <v>0</v>
      </c>
    </row>
    <row r="45" spans="1:29" ht="4.5" customHeight="1" thickBot="1" x14ac:dyDescent="0.35">
      <c r="D45" s="132"/>
      <c r="E45" s="133"/>
      <c r="F45" s="134" t="s">
        <v>12</v>
      </c>
      <c r="I45" s="135"/>
      <c r="J45" s="135"/>
      <c r="K45" s="136"/>
      <c r="L45" s="136"/>
      <c r="P45" s="300">
        <v>0</v>
      </c>
      <c r="V45" s="8"/>
      <c r="W45" s="44" t="s">
        <v>11</v>
      </c>
      <c r="X45" s="196">
        <v>0</v>
      </c>
    </row>
    <row r="46" spans="1:29" ht="20.25" thickTop="1" thickBot="1" x14ac:dyDescent="0.35">
      <c r="C46" s="16" t="s">
        <v>12</v>
      </c>
      <c r="E46" s="59" t="s">
        <v>22</v>
      </c>
      <c r="F46" s="131">
        <f>SUM(F43:F45)</f>
        <v>131791.88000000012</v>
      </c>
      <c r="H46" s="30"/>
      <c r="I46" s="137" t="s">
        <v>23</v>
      </c>
      <c r="J46" s="138"/>
      <c r="K46" s="370">
        <f>-C4</f>
        <v>-242201.9</v>
      </c>
      <c r="L46" s="371"/>
      <c r="M46" s="214"/>
      <c r="P46" s="300">
        <v>51684</v>
      </c>
      <c r="V46" s="8"/>
      <c r="W46" s="65" t="s">
        <v>16</v>
      </c>
      <c r="X46" s="66">
        <f>SUM(X4:X14)</f>
        <v>55110</v>
      </c>
    </row>
    <row r="47" spans="1:29" ht="16.5" thickBot="1" x14ac:dyDescent="0.3">
      <c r="D47" s="139" t="s">
        <v>24</v>
      </c>
      <c r="E47" s="59" t="s">
        <v>25</v>
      </c>
      <c r="F47" s="140">
        <v>12791</v>
      </c>
      <c r="P47" s="300">
        <v>234600.5</v>
      </c>
      <c r="V47" s="8"/>
    </row>
    <row r="48" spans="1:29" ht="20.25" thickTop="1" thickBot="1" x14ac:dyDescent="0.35">
      <c r="C48" s="231">
        <v>43957</v>
      </c>
      <c r="D48" s="372" t="s">
        <v>26</v>
      </c>
      <c r="E48" s="373"/>
      <c r="F48" s="142">
        <v>239420.42</v>
      </c>
      <c r="I48" s="374" t="s">
        <v>129</v>
      </c>
      <c r="J48" s="375"/>
      <c r="K48" s="376">
        <f>K44+K46</f>
        <v>141801.40000000017</v>
      </c>
      <c r="L48" s="377"/>
      <c r="P48" s="300">
        <v>106550.49</v>
      </c>
    </row>
    <row r="49" spans="2:18" ht="18.75" x14ac:dyDescent="0.3">
      <c r="C49" s="143"/>
      <c r="D49" s="144"/>
      <c r="E49" s="61" t="s">
        <v>27</v>
      </c>
      <c r="F49" s="145">
        <f>F46+F47+F48</f>
        <v>384003.30000000016</v>
      </c>
      <c r="J49" s="9"/>
      <c r="M49" s="146"/>
      <c r="P49" s="301">
        <v>-35833.17</v>
      </c>
    </row>
    <row r="50" spans="2:18" ht="15.75" thickBot="1" x14ac:dyDescent="0.3">
      <c r="P50" s="302">
        <v>-15925</v>
      </c>
    </row>
    <row r="51" spans="2:18" x14ac:dyDescent="0.25">
      <c r="B51"/>
      <c r="C51"/>
      <c r="D51" s="378"/>
      <c r="E51" s="378"/>
      <c r="M51" s="147"/>
      <c r="N51" s="59"/>
      <c r="O51" s="59"/>
      <c r="P51" s="128">
        <f>SUM(P44:P50)</f>
        <v>2543759.8200000003</v>
      </c>
      <c r="Q51" s="186"/>
      <c r="R51" s="186"/>
    </row>
    <row r="52" spans="2:18" x14ac:dyDescent="0.25">
      <c r="B52"/>
      <c r="C52"/>
      <c r="M52" s="147"/>
      <c r="N52" s="59"/>
      <c r="O52" s="59"/>
      <c r="P52" s="59"/>
      <c r="Q52" s="186"/>
      <c r="R52" s="186"/>
    </row>
    <row r="53" spans="2:18" x14ac:dyDescent="0.25">
      <c r="B53"/>
      <c r="C53"/>
      <c r="N53" s="59"/>
      <c r="O53" s="59"/>
      <c r="P53" s="59"/>
      <c r="Q53" s="186"/>
      <c r="R53" s="186"/>
    </row>
    <row r="54" spans="2:18" x14ac:dyDescent="0.25">
      <c r="B54"/>
      <c r="C54"/>
      <c r="F54"/>
      <c r="I54"/>
      <c r="J54"/>
      <c r="M54"/>
      <c r="N54" s="59"/>
      <c r="O54" s="59"/>
      <c r="P54" s="59"/>
      <c r="Q54" s="186"/>
      <c r="R54" s="186"/>
    </row>
    <row r="55" spans="2:18" x14ac:dyDescent="0.25">
      <c r="B55"/>
      <c r="C55"/>
      <c r="F55" s="148"/>
      <c r="N55" s="59"/>
      <c r="O55" s="59"/>
      <c r="P55" s="59"/>
      <c r="Q55" s="186"/>
      <c r="R55" s="186"/>
    </row>
    <row r="56" spans="2:18" x14ac:dyDescent="0.25">
      <c r="F56" s="36"/>
      <c r="M56" s="4"/>
      <c r="N56" s="59"/>
      <c r="O56" s="59"/>
      <c r="P56" s="59"/>
      <c r="Q56" s="186"/>
      <c r="R56" s="186"/>
    </row>
    <row r="57" spans="2:18" x14ac:dyDescent="0.25">
      <c r="F57" s="36"/>
      <c r="M57" s="4"/>
      <c r="N57" s="59"/>
      <c r="O57" s="59"/>
      <c r="P57" s="59"/>
      <c r="Q57" s="186"/>
      <c r="R57" s="186"/>
    </row>
    <row r="58" spans="2:18" x14ac:dyDescent="0.25">
      <c r="F58" s="36"/>
      <c r="M58" s="4"/>
      <c r="N58" s="59"/>
      <c r="O58" s="59"/>
      <c r="P58" s="59"/>
      <c r="Q58" s="186"/>
      <c r="R58" s="186"/>
    </row>
    <row r="59" spans="2:18" x14ac:dyDescent="0.25">
      <c r="F59" s="36"/>
      <c r="M59" s="4"/>
      <c r="N59" s="59"/>
      <c r="O59" s="59"/>
      <c r="P59" s="59"/>
      <c r="Q59" s="186"/>
      <c r="R59" s="186"/>
    </row>
    <row r="60" spans="2:18" x14ac:dyDescent="0.25">
      <c r="F60" s="36"/>
      <c r="M60" s="4"/>
    </row>
    <row r="61" spans="2:18" x14ac:dyDescent="0.25">
      <c r="F61" s="36"/>
      <c r="M61" s="4"/>
    </row>
    <row r="62" spans="2:18" x14ac:dyDescent="0.25">
      <c r="F62" s="36"/>
      <c r="M62" s="4"/>
    </row>
    <row r="63" spans="2:18" x14ac:dyDescent="0.25">
      <c r="F63" s="36"/>
      <c r="M63" s="4"/>
    </row>
    <row r="64" spans="2:18" x14ac:dyDescent="0.25">
      <c r="F64" s="36"/>
      <c r="M64" s="4"/>
    </row>
    <row r="65" spans="6:13" x14ac:dyDescent="0.25">
      <c r="F65" s="148"/>
      <c r="M65" s="4"/>
    </row>
    <row r="66" spans="6:13" x14ac:dyDescent="0.25">
      <c r="M66" s="4"/>
    </row>
    <row r="67" spans="6:13" x14ac:dyDescent="0.25">
      <c r="M67" s="4"/>
    </row>
    <row r="68" spans="6:13" x14ac:dyDescent="0.25">
      <c r="M68" s="4"/>
    </row>
    <row r="69" spans="6:13" x14ac:dyDescent="0.25">
      <c r="M69" s="4"/>
    </row>
    <row r="70" spans="6:13" x14ac:dyDescent="0.25">
      <c r="M70" s="4"/>
    </row>
    <row r="71" spans="6:13" x14ac:dyDescent="0.25">
      <c r="M71" s="4"/>
    </row>
    <row r="72" spans="6:13" x14ac:dyDescent="0.25">
      <c r="M72" s="4"/>
    </row>
    <row r="73" spans="6:13" x14ac:dyDescent="0.25">
      <c r="M73" s="4"/>
    </row>
    <row r="74" spans="6:13" x14ac:dyDescent="0.25">
      <c r="M74" s="4"/>
    </row>
    <row r="75" spans="6:13" x14ac:dyDescent="0.25">
      <c r="M75" s="4"/>
    </row>
    <row r="76" spans="6:13" x14ac:dyDescent="0.25">
      <c r="M76" s="4"/>
    </row>
    <row r="77" spans="6:13" x14ac:dyDescent="0.25">
      <c r="M77" s="4"/>
    </row>
    <row r="78" spans="6:13" x14ac:dyDescent="0.25">
      <c r="M78" s="4"/>
    </row>
  </sheetData>
  <sortState xmlns:xlrd2="http://schemas.microsoft.com/office/spreadsheetml/2017/richdata2" ref="K23:L38">
    <sortCondition ref="K23:K38"/>
  </sortState>
  <mergeCells count="20">
    <mergeCell ref="D43:E43"/>
    <mergeCell ref="C1:K1"/>
    <mergeCell ref="AF1:AG2"/>
    <mergeCell ref="E2:F3"/>
    <mergeCell ref="W2:X3"/>
    <mergeCell ref="AA2:AC2"/>
    <mergeCell ref="B3:C3"/>
    <mergeCell ref="E4:F4"/>
    <mergeCell ref="H4:I4"/>
    <mergeCell ref="M41:N41"/>
    <mergeCell ref="H42:I42"/>
    <mergeCell ref="K42:L42"/>
    <mergeCell ref="D51:E51"/>
    <mergeCell ref="D44:E44"/>
    <mergeCell ref="I44:J44"/>
    <mergeCell ref="K44:L44"/>
    <mergeCell ref="K46:L46"/>
    <mergeCell ref="D48:E48"/>
    <mergeCell ref="I48:J48"/>
    <mergeCell ref="K48:L48"/>
  </mergeCells>
  <pageMargins left="0.23622047244094491" right="0.15748031496062992" top="0.31496062992125984" bottom="0.31496062992125984" header="0.31496062992125984" footer="0.31496062992125984"/>
  <pageSetup scale="73" orientation="landscape" horizontalDpi="0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052C98-6785-4EE4-A573-C8762BC80FBF}">
  <sheetPr>
    <tabColor rgb="FF00B0F0"/>
  </sheetPr>
  <dimension ref="A1:F87"/>
  <sheetViews>
    <sheetView topLeftCell="A22" workbookViewId="0">
      <selection activeCell="D38" sqref="D38"/>
    </sheetView>
  </sheetViews>
  <sheetFormatPr baseColWidth="10" defaultRowHeight="15" x14ac:dyDescent="0.25"/>
  <cols>
    <col min="1" max="1" width="13.42578125" style="59" bestFit="1" customWidth="1"/>
    <col min="2" max="2" width="12.85546875" bestFit="1" customWidth="1"/>
    <col min="3" max="3" width="15.85546875" style="16" bestFit="1" customWidth="1"/>
    <col min="4" max="4" width="12.42578125" bestFit="1" customWidth="1"/>
    <col min="5" max="5" width="15.140625" style="16" bestFit="1" customWidth="1"/>
    <col min="6" max="6" width="19.5703125" style="16" bestFit="1" customWidth="1"/>
  </cols>
  <sheetData>
    <row r="1" spans="1:6" ht="36.75" customHeight="1" x14ac:dyDescent="0.35">
      <c r="B1" s="185" t="s">
        <v>192</v>
      </c>
      <c r="C1" s="182"/>
      <c r="D1" s="183"/>
      <c r="E1" s="182"/>
      <c r="F1" s="184"/>
    </row>
    <row r="2" spans="1:6" ht="16.5" thickBot="1" x14ac:dyDescent="0.3">
      <c r="A2" s="169" t="s">
        <v>37</v>
      </c>
      <c r="B2" s="169" t="s">
        <v>38</v>
      </c>
      <c r="C2" s="170" t="s">
        <v>39</v>
      </c>
      <c r="D2" s="169" t="s">
        <v>40</v>
      </c>
      <c r="E2" s="170" t="s">
        <v>41</v>
      </c>
      <c r="F2" s="170" t="s">
        <v>39</v>
      </c>
    </row>
    <row r="3" spans="1:6" x14ac:dyDescent="0.25">
      <c r="A3" s="174">
        <v>43929</v>
      </c>
      <c r="B3" s="264">
        <v>10758</v>
      </c>
      <c r="C3" s="261">
        <v>147773.48000000001</v>
      </c>
      <c r="D3" s="270">
        <v>43929</v>
      </c>
      <c r="E3" s="5">
        <v>147773.48000000001</v>
      </c>
      <c r="F3" s="173">
        <f>C3-E3</f>
        <v>0</v>
      </c>
    </row>
    <row r="4" spans="1:6" x14ac:dyDescent="0.25">
      <c r="A4" s="271">
        <v>43930</v>
      </c>
      <c r="B4" s="272">
        <v>10898</v>
      </c>
      <c r="C4" s="176">
        <v>122882.46</v>
      </c>
      <c r="D4" s="273"/>
      <c r="E4" s="176"/>
      <c r="F4" s="173">
        <f>F3+C4-E4</f>
        <v>122882.46</v>
      </c>
    </row>
    <row r="5" spans="1:6" x14ac:dyDescent="0.25">
      <c r="A5" s="273">
        <v>43930</v>
      </c>
      <c r="B5" s="272">
        <v>10899</v>
      </c>
      <c r="C5" s="176">
        <v>8589.4</v>
      </c>
      <c r="D5" s="273"/>
      <c r="E5" s="176"/>
      <c r="F5" s="173">
        <f t="shared" ref="F5:F50" si="0">F4+C5-E5</f>
        <v>131471.86000000002</v>
      </c>
    </row>
    <row r="6" spans="1:6" x14ac:dyDescent="0.25">
      <c r="A6" s="273">
        <v>43932</v>
      </c>
      <c r="B6" s="272">
        <v>11052</v>
      </c>
      <c r="C6" s="176">
        <v>28110.28</v>
      </c>
      <c r="D6" s="273"/>
      <c r="E6" s="176"/>
      <c r="F6" s="173">
        <f t="shared" si="0"/>
        <v>159582.14000000001</v>
      </c>
    </row>
    <row r="7" spans="1:6" x14ac:dyDescent="0.25">
      <c r="A7" s="273">
        <v>43933</v>
      </c>
      <c r="B7" s="272">
        <v>11059</v>
      </c>
      <c r="C7" s="176">
        <v>2193.6</v>
      </c>
      <c r="D7" s="273"/>
      <c r="E7" s="176"/>
      <c r="F7" s="173">
        <f t="shared" si="0"/>
        <v>161775.74000000002</v>
      </c>
    </row>
    <row r="8" spans="1:6" x14ac:dyDescent="0.25">
      <c r="A8" s="273">
        <v>43933</v>
      </c>
      <c r="B8" s="272">
        <v>11141</v>
      </c>
      <c r="C8" s="176">
        <v>86400.960000000006</v>
      </c>
      <c r="D8" s="273"/>
      <c r="E8" s="176"/>
      <c r="F8" s="173">
        <f t="shared" si="0"/>
        <v>248176.7</v>
      </c>
    </row>
    <row r="9" spans="1:6" x14ac:dyDescent="0.25">
      <c r="A9" s="273">
        <v>43935</v>
      </c>
      <c r="B9" s="272">
        <v>11384</v>
      </c>
      <c r="C9" s="176">
        <v>4842.8</v>
      </c>
      <c r="D9" s="273"/>
      <c r="E9" s="176"/>
      <c r="F9" s="173">
        <f t="shared" si="0"/>
        <v>253019.5</v>
      </c>
    </row>
    <row r="10" spans="1:6" x14ac:dyDescent="0.25">
      <c r="A10" s="273">
        <v>43935</v>
      </c>
      <c r="B10" s="272">
        <v>11386</v>
      </c>
      <c r="C10" s="176">
        <v>81260.62</v>
      </c>
      <c r="D10" s="273"/>
      <c r="E10" s="176"/>
      <c r="F10" s="173">
        <f t="shared" si="0"/>
        <v>334280.12</v>
      </c>
    </row>
    <row r="11" spans="1:6" x14ac:dyDescent="0.25">
      <c r="A11" s="271">
        <v>43936</v>
      </c>
      <c r="B11" s="272">
        <v>11442</v>
      </c>
      <c r="C11" s="176">
        <v>1470.96</v>
      </c>
      <c r="D11" s="273"/>
      <c r="E11" s="176"/>
      <c r="F11" s="173">
        <f t="shared" si="0"/>
        <v>335751.08</v>
      </c>
    </row>
    <row r="12" spans="1:6" x14ac:dyDescent="0.25">
      <c r="A12" s="273">
        <v>43936</v>
      </c>
      <c r="B12" s="272">
        <v>11508</v>
      </c>
      <c r="C12" s="176">
        <v>159457.22</v>
      </c>
      <c r="D12" s="273">
        <v>43937</v>
      </c>
      <c r="E12" s="176">
        <v>495208.3</v>
      </c>
      <c r="F12" s="173">
        <f t="shared" si="0"/>
        <v>0</v>
      </c>
    </row>
    <row r="13" spans="1:6" x14ac:dyDescent="0.25">
      <c r="A13" s="273">
        <v>43938</v>
      </c>
      <c r="B13" s="272">
        <v>11813</v>
      </c>
      <c r="C13" s="176">
        <v>79313.100000000006</v>
      </c>
      <c r="D13" s="273"/>
      <c r="E13" s="176"/>
      <c r="F13" s="173">
        <f t="shared" si="0"/>
        <v>79313.100000000006</v>
      </c>
    </row>
    <row r="14" spans="1:6" x14ac:dyDescent="0.25">
      <c r="A14" s="273">
        <v>43939</v>
      </c>
      <c r="B14" s="272">
        <v>11943</v>
      </c>
      <c r="C14" s="176">
        <v>67061.34</v>
      </c>
      <c r="D14" s="273"/>
      <c r="E14" s="176"/>
      <c r="F14" s="173">
        <f t="shared" si="0"/>
        <v>146374.44</v>
      </c>
    </row>
    <row r="15" spans="1:6" x14ac:dyDescent="0.25">
      <c r="A15" s="273">
        <v>43940</v>
      </c>
      <c r="B15" s="272">
        <v>12016</v>
      </c>
      <c r="C15" s="176">
        <v>4828</v>
      </c>
      <c r="D15" s="273"/>
      <c r="E15" s="176"/>
      <c r="F15" s="173">
        <f t="shared" si="0"/>
        <v>151202.44</v>
      </c>
    </row>
    <row r="16" spans="1:6" x14ac:dyDescent="0.25">
      <c r="A16" s="273">
        <v>43940</v>
      </c>
      <c r="B16" s="272">
        <v>12043</v>
      </c>
      <c r="C16" s="176">
        <v>17605.8</v>
      </c>
      <c r="D16" s="273"/>
      <c r="E16" s="176"/>
      <c r="F16" s="173">
        <f t="shared" si="0"/>
        <v>168808.24</v>
      </c>
    </row>
    <row r="17" spans="1:6" x14ac:dyDescent="0.25">
      <c r="A17" s="273">
        <v>43941</v>
      </c>
      <c r="B17" s="272">
        <v>12180</v>
      </c>
      <c r="C17" s="176">
        <v>26827.3</v>
      </c>
      <c r="D17" s="273"/>
      <c r="E17" s="176"/>
      <c r="F17" s="173">
        <f t="shared" si="0"/>
        <v>195635.53999999998</v>
      </c>
    </row>
    <row r="18" spans="1:6" x14ac:dyDescent="0.25">
      <c r="A18" s="273">
        <v>43942</v>
      </c>
      <c r="B18" s="272">
        <v>12284</v>
      </c>
      <c r="C18" s="176">
        <v>95758.69</v>
      </c>
      <c r="D18" s="273"/>
      <c r="E18" s="176"/>
      <c r="F18" s="173">
        <f t="shared" si="0"/>
        <v>291394.23</v>
      </c>
    </row>
    <row r="19" spans="1:6" x14ac:dyDescent="0.25">
      <c r="A19" s="273">
        <v>43944</v>
      </c>
      <c r="B19" s="272">
        <v>12467</v>
      </c>
      <c r="C19" s="176">
        <v>94550.7</v>
      </c>
      <c r="D19" s="273"/>
      <c r="E19" s="176"/>
      <c r="F19" s="173">
        <f t="shared" si="0"/>
        <v>385944.93</v>
      </c>
    </row>
    <row r="20" spans="1:6" x14ac:dyDescent="0.25">
      <c r="A20" s="273">
        <v>43945</v>
      </c>
      <c r="B20" s="272">
        <v>12582</v>
      </c>
      <c r="C20" s="176">
        <v>856.8</v>
      </c>
      <c r="D20" s="273"/>
      <c r="E20" s="176"/>
      <c r="F20" s="173">
        <f t="shared" si="0"/>
        <v>386801.73</v>
      </c>
    </row>
    <row r="21" spans="1:6" x14ac:dyDescent="0.25">
      <c r="A21" s="273">
        <v>43946</v>
      </c>
      <c r="B21" s="272">
        <v>12722</v>
      </c>
      <c r="C21" s="176">
        <v>25527.599999999999</v>
      </c>
      <c r="D21" s="273"/>
      <c r="E21" s="176"/>
      <c r="F21" s="173">
        <f t="shared" si="0"/>
        <v>412329.32999999996</v>
      </c>
    </row>
    <row r="22" spans="1:6" x14ac:dyDescent="0.25">
      <c r="A22" s="273">
        <v>43946</v>
      </c>
      <c r="B22" s="272">
        <v>12724</v>
      </c>
      <c r="C22" s="176">
        <v>5544.5</v>
      </c>
      <c r="D22" s="273"/>
      <c r="E22" s="176"/>
      <c r="F22" s="173">
        <f t="shared" si="0"/>
        <v>417873.82999999996</v>
      </c>
    </row>
    <row r="23" spans="1:6" x14ac:dyDescent="0.25">
      <c r="A23" s="273">
        <v>43946</v>
      </c>
      <c r="B23" s="272">
        <v>12813</v>
      </c>
      <c r="C23" s="176">
        <v>104867.7</v>
      </c>
      <c r="D23" s="273"/>
      <c r="E23" s="176"/>
      <c r="F23" s="173">
        <f t="shared" si="0"/>
        <v>522741.52999999997</v>
      </c>
    </row>
    <row r="24" spans="1:6" x14ac:dyDescent="0.25">
      <c r="A24" s="273">
        <v>43946</v>
      </c>
      <c r="B24" s="272">
        <v>12836</v>
      </c>
      <c r="C24" s="176">
        <v>46384.56</v>
      </c>
      <c r="D24" s="273"/>
      <c r="E24" s="176"/>
      <c r="F24" s="173">
        <f t="shared" si="0"/>
        <v>569126.09</v>
      </c>
    </row>
    <row r="25" spans="1:6" x14ac:dyDescent="0.25">
      <c r="A25" s="273">
        <v>43947</v>
      </c>
      <c r="B25" s="272">
        <v>12857</v>
      </c>
      <c r="C25" s="176">
        <v>26491.5</v>
      </c>
      <c r="D25" s="273"/>
      <c r="E25" s="176"/>
      <c r="F25" s="173">
        <f t="shared" si="0"/>
        <v>595617.59</v>
      </c>
    </row>
    <row r="26" spans="1:6" x14ac:dyDescent="0.25">
      <c r="A26" s="273">
        <v>43948</v>
      </c>
      <c r="B26" s="272">
        <v>12950</v>
      </c>
      <c r="C26" s="176">
        <v>9954.25</v>
      </c>
      <c r="D26" s="273"/>
      <c r="E26" s="176"/>
      <c r="F26" s="173">
        <f t="shared" si="0"/>
        <v>605571.83999999997</v>
      </c>
    </row>
    <row r="27" spans="1:6" x14ac:dyDescent="0.25">
      <c r="A27" s="273">
        <v>43948</v>
      </c>
      <c r="B27" s="272">
        <v>13009</v>
      </c>
      <c r="C27" s="176">
        <v>109570.43</v>
      </c>
      <c r="D27" s="273"/>
      <c r="E27" s="176"/>
      <c r="F27" s="173">
        <f t="shared" si="0"/>
        <v>715142.27</v>
      </c>
    </row>
    <row r="28" spans="1:6" x14ac:dyDescent="0.25">
      <c r="A28" s="271">
        <v>43949</v>
      </c>
      <c r="B28" s="272">
        <v>13139</v>
      </c>
      <c r="C28" s="176">
        <v>116538.9</v>
      </c>
      <c r="D28" s="273"/>
      <c r="E28" s="176"/>
      <c r="F28" s="173">
        <f t="shared" si="0"/>
        <v>831681.17</v>
      </c>
    </row>
    <row r="29" spans="1:6" x14ac:dyDescent="0.25">
      <c r="A29" s="271">
        <v>43951</v>
      </c>
      <c r="B29" s="272">
        <v>13281</v>
      </c>
      <c r="C29" s="176">
        <v>91567.52</v>
      </c>
      <c r="D29" s="273"/>
      <c r="E29" s="176"/>
      <c r="F29" s="173">
        <f t="shared" si="0"/>
        <v>923248.69000000006</v>
      </c>
    </row>
    <row r="30" spans="1:6" x14ac:dyDescent="0.25">
      <c r="A30" s="271">
        <v>43951</v>
      </c>
      <c r="B30" s="272">
        <v>13309</v>
      </c>
      <c r="C30" s="176">
        <v>3642</v>
      </c>
      <c r="D30" s="273"/>
      <c r="E30" s="176"/>
      <c r="F30" s="173">
        <f t="shared" si="0"/>
        <v>926890.69000000006</v>
      </c>
    </row>
    <row r="31" spans="1:6" x14ac:dyDescent="0.25">
      <c r="A31" s="271">
        <v>43951</v>
      </c>
      <c r="B31" s="272">
        <v>13312</v>
      </c>
      <c r="C31" s="176">
        <v>6496.75</v>
      </c>
      <c r="D31" s="273"/>
      <c r="E31" s="176"/>
      <c r="F31" s="173">
        <f t="shared" si="0"/>
        <v>933387.44000000006</v>
      </c>
    </row>
    <row r="32" spans="1:6" x14ac:dyDescent="0.25">
      <c r="A32" s="271">
        <v>43951</v>
      </c>
      <c r="B32" s="272">
        <v>13376</v>
      </c>
      <c r="C32" s="176">
        <v>2304</v>
      </c>
      <c r="D32" s="273"/>
      <c r="E32" s="176"/>
      <c r="F32" s="173">
        <f t="shared" si="0"/>
        <v>935691.44000000006</v>
      </c>
    </row>
    <row r="33" spans="1:6" x14ac:dyDescent="0.25">
      <c r="A33" s="271">
        <v>43952</v>
      </c>
      <c r="B33" s="272">
        <v>13518</v>
      </c>
      <c r="C33" s="176">
        <v>48057.9</v>
      </c>
      <c r="D33" s="273"/>
      <c r="E33" s="176"/>
      <c r="F33" s="173">
        <f t="shared" si="0"/>
        <v>983749.34000000008</v>
      </c>
    </row>
    <row r="34" spans="1:6" x14ac:dyDescent="0.25">
      <c r="A34" s="271">
        <v>43953</v>
      </c>
      <c r="B34" s="272">
        <v>13565</v>
      </c>
      <c r="C34" s="176">
        <v>3217.5</v>
      </c>
      <c r="D34" s="273"/>
      <c r="E34" s="176"/>
      <c r="F34" s="173">
        <f t="shared" si="0"/>
        <v>986966.84000000008</v>
      </c>
    </row>
    <row r="35" spans="1:6" x14ac:dyDescent="0.25">
      <c r="A35" s="271">
        <v>43953</v>
      </c>
      <c r="B35" s="272">
        <v>13603</v>
      </c>
      <c r="C35" s="176">
        <v>178494.54</v>
      </c>
      <c r="D35" s="273"/>
      <c r="E35" s="176"/>
      <c r="F35" s="173">
        <f t="shared" si="0"/>
        <v>1165461.3800000001</v>
      </c>
    </row>
    <row r="36" spans="1:6" x14ac:dyDescent="0.25">
      <c r="A36" s="271">
        <v>43954</v>
      </c>
      <c r="B36" s="272">
        <v>13673</v>
      </c>
      <c r="C36" s="176">
        <v>4277</v>
      </c>
      <c r="D36" s="273"/>
      <c r="E36" s="176"/>
      <c r="F36" s="173">
        <f t="shared" si="0"/>
        <v>1169738.3800000001</v>
      </c>
    </row>
    <row r="37" spans="1:6" x14ac:dyDescent="0.25">
      <c r="A37" s="271">
        <v>43955</v>
      </c>
      <c r="B37" s="272">
        <v>13809</v>
      </c>
      <c r="C37" s="176">
        <v>96170.7</v>
      </c>
      <c r="D37" s="273">
        <v>43955</v>
      </c>
      <c r="E37" s="176">
        <v>1265909.08</v>
      </c>
      <c r="F37" s="173">
        <f t="shared" si="0"/>
        <v>0</v>
      </c>
    </row>
    <row r="38" spans="1:6" x14ac:dyDescent="0.25">
      <c r="A38" s="271"/>
      <c r="B38" s="272"/>
      <c r="C38" s="176">
        <v>0</v>
      </c>
      <c r="D38" s="273"/>
      <c r="E38" s="176"/>
      <c r="F38" s="173">
        <f t="shared" si="0"/>
        <v>0</v>
      </c>
    </row>
    <row r="39" spans="1:6" x14ac:dyDescent="0.25">
      <c r="A39" s="271"/>
      <c r="B39" s="272"/>
      <c r="C39" s="176">
        <v>0</v>
      </c>
      <c r="D39" s="273"/>
      <c r="E39" s="176"/>
      <c r="F39" s="173">
        <f t="shared" si="0"/>
        <v>0</v>
      </c>
    </row>
    <row r="40" spans="1:6" x14ac:dyDescent="0.25">
      <c r="A40" s="271"/>
      <c r="B40" s="272"/>
      <c r="C40" s="176">
        <v>0</v>
      </c>
      <c r="D40" s="273"/>
      <c r="E40" s="176"/>
      <c r="F40" s="173">
        <f t="shared" si="0"/>
        <v>0</v>
      </c>
    </row>
    <row r="41" spans="1:6" x14ac:dyDescent="0.25">
      <c r="A41" s="271"/>
      <c r="B41" s="272"/>
      <c r="C41" s="176">
        <v>0</v>
      </c>
      <c r="D41" s="273"/>
      <c r="E41" s="176"/>
      <c r="F41" s="173">
        <f t="shared" si="0"/>
        <v>0</v>
      </c>
    </row>
    <row r="42" spans="1:6" x14ac:dyDescent="0.25">
      <c r="A42" s="271"/>
      <c r="B42" s="272"/>
      <c r="C42" s="176">
        <v>0</v>
      </c>
      <c r="D42" s="273"/>
      <c r="E42" s="176"/>
      <c r="F42" s="173">
        <f t="shared" si="0"/>
        <v>0</v>
      </c>
    </row>
    <row r="43" spans="1:6" x14ac:dyDescent="0.25">
      <c r="A43" s="271"/>
      <c r="B43" s="272"/>
      <c r="C43" s="176">
        <v>0</v>
      </c>
      <c r="D43" s="273"/>
      <c r="E43" s="176"/>
      <c r="F43" s="173">
        <f t="shared" si="0"/>
        <v>0</v>
      </c>
    </row>
    <row r="44" spans="1:6" x14ac:dyDescent="0.25">
      <c r="A44" s="271"/>
      <c r="B44" s="272"/>
      <c r="C44" s="176">
        <v>0</v>
      </c>
      <c r="D44" s="273"/>
      <c r="E44" s="176"/>
      <c r="F44" s="173">
        <f>F43+C44-E44</f>
        <v>0</v>
      </c>
    </row>
    <row r="45" spans="1:6" x14ac:dyDescent="0.25">
      <c r="A45" s="174"/>
      <c r="B45" s="175"/>
      <c r="C45" s="176">
        <v>0</v>
      </c>
      <c r="D45" s="177"/>
      <c r="E45" s="176"/>
      <c r="F45" s="173">
        <f>F44+C45-E45</f>
        <v>0</v>
      </c>
    </row>
    <row r="46" spans="1:6" x14ac:dyDescent="0.25">
      <c r="A46" s="174"/>
      <c r="B46" s="175"/>
      <c r="C46" s="176">
        <v>0</v>
      </c>
      <c r="D46" s="177"/>
      <c r="E46" s="176"/>
      <c r="F46" s="173">
        <f t="shared" si="0"/>
        <v>0</v>
      </c>
    </row>
    <row r="47" spans="1:6" x14ac:dyDescent="0.25">
      <c r="A47" s="174"/>
      <c r="B47" s="175"/>
      <c r="C47" s="176">
        <v>0</v>
      </c>
      <c r="D47" s="177"/>
      <c r="E47" s="176"/>
      <c r="F47" s="173">
        <f t="shared" si="0"/>
        <v>0</v>
      </c>
    </row>
    <row r="48" spans="1:6" x14ac:dyDescent="0.25">
      <c r="A48" s="174"/>
      <c r="B48" s="175"/>
      <c r="C48" s="176">
        <v>0</v>
      </c>
      <c r="D48" s="177"/>
      <c r="E48" s="176"/>
      <c r="F48" s="173">
        <f t="shared" si="0"/>
        <v>0</v>
      </c>
    </row>
    <row r="49" spans="1:6" x14ac:dyDescent="0.25">
      <c r="A49" s="174"/>
      <c r="B49" s="175"/>
      <c r="C49" s="176">
        <v>0</v>
      </c>
      <c r="D49" s="177"/>
      <c r="E49" s="176"/>
      <c r="F49" s="173">
        <f t="shared" si="0"/>
        <v>0</v>
      </c>
    </row>
    <row r="50" spans="1:6" ht="15.75" thickBot="1" x14ac:dyDescent="0.3">
      <c r="A50" s="178"/>
      <c r="B50" s="179"/>
      <c r="C50" s="104">
        <v>0</v>
      </c>
      <c r="D50" s="180"/>
      <c r="E50" s="104"/>
      <c r="F50" s="173">
        <f t="shared" si="0"/>
        <v>0</v>
      </c>
    </row>
    <row r="51" spans="1:6" ht="19.5" thickTop="1" x14ac:dyDescent="0.3">
      <c r="B51" s="59"/>
      <c r="C51" s="4">
        <f>SUM(C3:C50)</f>
        <v>1908890.8599999999</v>
      </c>
      <c r="D51" s="1"/>
      <c r="E51" s="4">
        <f>SUM(E3:E50)</f>
        <v>1908890.86</v>
      </c>
      <c r="F51" s="181">
        <f>F50</f>
        <v>0</v>
      </c>
    </row>
    <row r="52" spans="1:6" x14ac:dyDescent="0.25">
      <c r="B52" s="59"/>
      <c r="C52" s="4"/>
      <c r="D52" s="1"/>
      <c r="E52" s="8"/>
      <c r="F52" s="4"/>
    </row>
    <row r="53" spans="1:6" x14ac:dyDescent="0.25">
      <c r="B53" s="59"/>
      <c r="C53" s="4"/>
      <c r="D53" s="1"/>
      <c r="E53" s="8"/>
      <c r="F53" s="4"/>
    </row>
    <row r="54" spans="1:6" x14ac:dyDescent="0.25">
      <c r="A54"/>
      <c r="B54" s="30"/>
      <c r="D54" s="30"/>
    </row>
    <row r="55" spans="1:6" x14ac:dyDescent="0.25">
      <c r="A55"/>
      <c r="B55" s="30"/>
      <c r="D55" s="30"/>
    </row>
    <row r="56" spans="1:6" x14ac:dyDescent="0.25">
      <c r="A56"/>
      <c r="B56" s="30"/>
      <c r="D56" s="30"/>
    </row>
    <row r="57" spans="1:6" x14ac:dyDescent="0.25">
      <c r="A57"/>
      <c r="B57" s="30"/>
      <c r="D57" s="30"/>
      <c r="F57"/>
    </row>
    <row r="58" spans="1:6" x14ac:dyDescent="0.25">
      <c r="A58"/>
      <c r="B58" s="30"/>
      <c r="D58" s="30"/>
      <c r="F58"/>
    </row>
    <row r="59" spans="1:6" x14ac:dyDescent="0.25">
      <c r="A59"/>
      <c r="B59" s="30"/>
      <c r="D59" s="30"/>
      <c r="F59"/>
    </row>
    <row r="60" spans="1:6" x14ac:dyDescent="0.25">
      <c r="A60"/>
      <c r="B60" s="30"/>
      <c r="D60" s="30"/>
      <c r="F60"/>
    </row>
    <row r="61" spans="1:6" x14ac:dyDescent="0.25">
      <c r="A61"/>
      <c r="B61" s="30"/>
      <c r="D61" s="30"/>
      <c r="F61"/>
    </row>
    <row r="62" spans="1:6" x14ac:dyDescent="0.25">
      <c r="A62"/>
      <c r="B62" s="30"/>
      <c r="D62" s="30"/>
      <c r="F62"/>
    </row>
    <row r="63" spans="1:6" x14ac:dyDescent="0.25">
      <c r="A63"/>
      <c r="B63" s="30"/>
      <c r="D63" s="30"/>
      <c r="F63"/>
    </row>
    <row r="64" spans="1:6" x14ac:dyDescent="0.25">
      <c r="A64"/>
      <c r="B64" s="30"/>
      <c r="D64" s="30"/>
      <c r="F64"/>
    </row>
    <row r="65" spans="1:6" x14ac:dyDescent="0.25">
      <c r="A65"/>
      <c r="B65" s="30"/>
      <c r="D65" s="30"/>
      <c r="F65"/>
    </row>
    <row r="66" spans="1:6" x14ac:dyDescent="0.25">
      <c r="A66"/>
      <c r="B66" s="30"/>
      <c r="D66" s="30"/>
      <c r="E66"/>
      <c r="F66"/>
    </row>
    <row r="67" spans="1:6" x14ac:dyDescent="0.25">
      <c r="A67"/>
      <c r="B67" s="30"/>
      <c r="D67" s="30"/>
      <c r="E67"/>
      <c r="F67"/>
    </row>
    <row r="68" spans="1:6" x14ac:dyDescent="0.25">
      <c r="A68"/>
      <c r="B68" s="30"/>
      <c r="D68" s="30"/>
      <c r="E68"/>
      <c r="F68"/>
    </row>
    <row r="69" spans="1:6" x14ac:dyDescent="0.25">
      <c r="A69"/>
      <c r="B69" s="30"/>
      <c r="D69" s="30"/>
      <c r="E69"/>
      <c r="F69"/>
    </row>
    <row r="70" spans="1:6" x14ac:dyDescent="0.25">
      <c r="A70"/>
      <c r="B70" s="30"/>
      <c r="D70" s="30"/>
      <c r="E70"/>
      <c r="F70"/>
    </row>
    <row r="71" spans="1:6" x14ac:dyDescent="0.25">
      <c r="A71"/>
      <c r="B71" s="30"/>
      <c r="D71" s="30"/>
      <c r="E71"/>
      <c r="F71"/>
    </row>
    <row r="72" spans="1:6" x14ac:dyDescent="0.25">
      <c r="B72" s="30"/>
      <c r="D72" s="30"/>
      <c r="E72"/>
    </row>
    <row r="73" spans="1:6" x14ac:dyDescent="0.25">
      <c r="B73" s="30"/>
      <c r="D73" s="30"/>
      <c r="E73"/>
    </row>
    <row r="74" spans="1:6" x14ac:dyDescent="0.25">
      <c r="B74" s="30"/>
      <c r="D74" s="30"/>
      <c r="E74"/>
    </row>
    <row r="75" spans="1:6" x14ac:dyDescent="0.25">
      <c r="B75" s="30"/>
      <c r="D75" s="30"/>
      <c r="E75"/>
    </row>
    <row r="76" spans="1:6" x14ac:dyDescent="0.25">
      <c r="B76" s="30"/>
      <c r="D76" s="30"/>
      <c r="E76"/>
    </row>
    <row r="77" spans="1:6" x14ac:dyDescent="0.25">
      <c r="B77" s="30"/>
      <c r="D77" s="30"/>
      <c r="E77"/>
    </row>
    <row r="78" spans="1:6" x14ac:dyDescent="0.25">
      <c r="B78" s="30"/>
      <c r="D78" s="30"/>
      <c r="E78"/>
    </row>
    <row r="79" spans="1:6" x14ac:dyDescent="0.25">
      <c r="B79" s="30"/>
      <c r="D79" s="30"/>
      <c r="E79"/>
    </row>
    <row r="80" spans="1:6" x14ac:dyDescent="0.25">
      <c r="B80" s="30"/>
      <c r="D80" s="30"/>
      <c r="E80"/>
    </row>
    <row r="81" spans="2:4" x14ac:dyDescent="0.25">
      <c r="B81" s="30"/>
    </row>
    <row r="82" spans="2:4" x14ac:dyDescent="0.25">
      <c r="B82" s="30"/>
    </row>
    <row r="83" spans="2:4" x14ac:dyDescent="0.25">
      <c r="B83" s="30"/>
      <c r="D83" s="30"/>
    </row>
    <row r="84" spans="2:4" x14ac:dyDescent="0.25">
      <c r="B84" s="30"/>
    </row>
    <row r="85" spans="2:4" x14ac:dyDescent="0.25">
      <c r="B85" s="30"/>
    </row>
    <row r="86" spans="2:4" x14ac:dyDescent="0.25">
      <c r="B86" s="30"/>
    </row>
    <row r="87" spans="2:4" ht="18.75" x14ac:dyDescent="0.3">
      <c r="C87" s="14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BA3AF-F161-456D-829E-06C6D8B90962}">
  <sheetPr>
    <tabColor rgb="FF7030A0"/>
  </sheetPr>
  <dimension ref="A1:AG80"/>
  <sheetViews>
    <sheetView tabSelected="1" topLeftCell="A31" workbookViewId="0">
      <selection activeCell="B46" sqref="B46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16" customWidth="1"/>
    <col min="4" max="4" width="15.28515625" customWidth="1"/>
    <col min="6" max="6" width="17.85546875" style="16" customWidth="1"/>
    <col min="7" max="7" width="2.85546875" customWidth="1"/>
    <col min="9" max="9" width="12.140625" style="16" customWidth="1"/>
    <col min="10" max="10" width="11.7109375" style="322" customWidth="1"/>
    <col min="11" max="11" width="17.28515625" customWidth="1"/>
    <col min="12" max="12" width="14.5703125" customWidth="1"/>
    <col min="13" max="13" width="18.140625" style="16" customWidth="1"/>
    <col min="14" max="14" width="14.42578125" style="4" customWidth="1"/>
    <col min="15" max="15" width="8.42578125" style="4" customWidth="1"/>
    <col min="16" max="16" width="15.5703125" style="5" bestFit="1" customWidth="1"/>
    <col min="17" max="17" width="14.42578125" style="5" customWidth="1"/>
    <col min="18" max="18" width="4.140625" style="5" customWidth="1"/>
    <col min="19" max="19" width="16.28515625" style="6" bestFit="1" customWidth="1"/>
    <col min="20" max="20" width="14.140625" customWidth="1"/>
    <col min="21" max="21" width="5.85546875" customWidth="1"/>
    <col min="22" max="22" width="13.85546875" customWidth="1"/>
    <col min="24" max="24" width="15.85546875" bestFit="1" customWidth="1"/>
    <col min="25" max="25" width="14.85546875" customWidth="1"/>
    <col min="26" max="26" width="15.140625" customWidth="1"/>
    <col min="27" max="27" width="18.5703125" style="7" customWidth="1"/>
    <col min="28" max="28" width="11.42578125" style="222"/>
    <col min="29" max="29" width="14.7109375" customWidth="1"/>
    <col min="30" max="30" width="11.42578125" style="152"/>
    <col min="31" max="31" width="10.5703125" customWidth="1"/>
    <col min="32" max="32" width="17.140625" bestFit="1" customWidth="1"/>
    <col min="33" max="33" width="13.42578125" customWidth="1"/>
  </cols>
  <sheetData>
    <row r="1" spans="1:33" ht="20.25" customHeight="1" thickBot="1" x14ac:dyDescent="0.4">
      <c r="C1" s="344" t="s">
        <v>280</v>
      </c>
      <c r="D1" s="344"/>
      <c r="E1" s="344"/>
      <c r="F1" s="344"/>
      <c r="G1" s="344"/>
      <c r="H1" s="344"/>
      <c r="I1" s="344"/>
      <c r="J1" s="344"/>
      <c r="K1" s="344"/>
      <c r="L1" s="2"/>
      <c r="M1" s="3"/>
      <c r="AF1" s="358" t="s">
        <v>45</v>
      </c>
      <c r="AG1" s="359"/>
    </row>
    <row r="2" spans="1:33" ht="18" customHeight="1" thickBot="1" x14ac:dyDescent="0.35">
      <c r="C2" s="8"/>
      <c r="E2" s="379" t="s">
        <v>190</v>
      </c>
      <c r="F2" s="379"/>
      <c r="H2" s="233" t="s">
        <v>0</v>
      </c>
      <c r="I2" s="3"/>
      <c r="J2" s="319"/>
      <c r="K2" s="152"/>
      <c r="L2" s="152"/>
      <c r="M2" s="3"/>
      <c r="N2" s="5"/>
      <c r="O2" s="5"/>
      <c r="W2" s="366" t="s">
        <v>4</v>
      </c>
      <c r="X2" s="367"/>
      <c r="AA2" s="363" t="s">
        <v>43</v>
      </c>
      <c r="AB2" s="364"/>
      <c r="AC2" s="365"/>
      <c r="AE2" s="193" t="s">
        <v>44</v>
      </c>
      <c r="AF2" s="360"/>
      <c r="AG2" s="361"/>
    </row>
    <row r="3" spans="1:33" ht="18" customHeight="1" thickBot="1" x14ac:dyDescent="0.35">
      <c r="B3" s="345" t="s">
        <v>1</v>
      </c>
      <c r="C3" s="346"/>
      <c r="D3" s="15"/>
      <c r="E3" s="380"/>
      <c r="F3" s="380"/>
      <c r="I3" s="234" t="s">
        <v>2</v>
      </c>
      <c r="J3" s="320"/>
      <c r="K3" s="236" t="s">
        <v>191</v>
      </c>
      <c r="L3" s="236"/>
      <c r="W3" s="368"/>
      <c r="X3" s="369"/>
      <c r="Y3" s="195" t="s">
        <v>37</v>
      </c>
      <c r="AA3" s="19" t="s">
        <v>49</v>
      </c>
      <c r="AB3" s="167">
        <v>43840</v>
      </c>
      <c r="AC3" s="21">
        <v>2000</v>
      </c>
      <c r="AE3" s="89"/>
      <c r="AF3" s="194"/>
      <c r="AG3" s="75">
        <v>0</v>
      </c>
    </row>
    <row r="4" spans="1:33" ht="20.25" thickTop="1" thickBot="1" x14ac:dyDescent="0.35">
      <c r="A4" s="22" t="s">
        <v>5</v>
      </c>
      <c r="B4" s="23"/>
      <c r="C4" s="307">
        <v>239420.42</v>
      </c>
      <c r="D4" s="308">
        <v>43957</v>
      </c>
      <c r="E4" s="347" t="s">
        <v>6</v>
      </c>
      <c r="F4" s="348"/>
      <c r="H4" s="349" t="s">
        <v>7</v>
      </c>
      <c r="I4" s="350"/>
      <c r="J4" s="321"/>
      <c r="K4" s="24"/>
      <c r="L4" s="24"/>
      <c r="M4" s="25" t="s">
        <v>8</v>
      </c>
      <c r="N4" s="26" t="s">
        <v>9</v>
      </c>
      <c r="O4" s="27"/>
      <c r="P4" s="27"/>
      <c r="Q4" s="28"/>
      <c r="R4" s="28"/>
      <c r="V4" s="29">
        <v>43840</v>
      </c>
      <c r="W4" s="199" t="s">
        <v>11</v>
      </c>
      <c r="X4" s="196">
        <v>5010</v>
      </c>
      <c r="Y4" s="197"/>
      <c r="AA4" s="19" t="s">
        <v>50</v>
      </c>
      <c r="AB4" s="167">
        <v>43844</v>
      </c>
      <c r="AC4" s="21">
        <v>2000</v>
      </c>
      <c r="AE4" s="89"/>
      <c r="AF4" s="20"/>
      <c r="AG4" s="78">
        <v>0</v>
      </c>
    </row>
    <row r="5" spans="1:33" ht="15.75" thickBot="1" x14ac:dyDescent="0.3">
      <c r="A5" s="30" t="s">
        <v>12</v>
      </c>
      <c r="B5" s="316">
        <v>43958</v>
      </c>
      <c r="C5" s="317">
        <v>16258.95</v>
      </c>
      <c r="D5" s="309" t="s">
        <v>260</v>
      </c>
      <c r="E5" s="151">
        <v>43958</v>
      </c>
      <c r="F5" s="32">
        <v>58566</v>
      </c>
      <c r="G5" s="152"/>
      <c r="H5" s="153">
        <v>43958</v>
      </c>
      <c r="I5" s="33">
        <v>144.5</v>
      </c>
      <c r="M5" s="34">
        <v>52888</v>
      </c>
      <c r="N5" s="35">
        <v>1155</v>
      </c>
      <c r="O5" s="36"/>
      <c r="P5" s="36">
        <f>C5+I5+M5+N5</f>
        <v>70446.45</v>
      </c>
      <c r="Q5" s="198">
        <f>P5-F5</f>
        <v>11880.449999999997</v>
      </c>
      <c r="T5" s="37"/>
      <c r="U5" s="37"/>
      <c r="V5" s="29">
        <v>43840</v>
      </c>
      <c r="W5" s="38" t="s">
        <v>10</v>
      </c>
      <c r="X5" s="196">
        <v>5010</v>
      </c>
      <c r="Y5" s="197"/>
      <c r="AA5" s="19" t="s">
        <v>51</v>
      </c>
      <c r="AB5" s="167">
        <v>43854</v>
      </c>
      <c r="AC5" s="21">
        <v>2000</v>
      </c>
      <c r="AE5" s="89"/>
      <c r="AF5" s="20"/>
      <c r="AG5" s="78">
        <v>0</v>
      </c>
    </row>
    <row r="6" spans="1:33" ht="15.75" thickBot="1" x14ac:dyDescent="0.3">
      <c r="A6" s="30"/>
      <c r="B6" s="316">
        <v>43959</v>
      </c>
      <c r="C6" s="317">
        <v>16160</v>
      </c>
      <c r="D6" s="310" t="s">
        <v>205</v>
      </c>
      <c r="E6" s="151">
        <v>43959</v>
      </c>
      <c r="F6" s="32">
        <v>99175</v>
      </c>
      <c r="G6" s="152"/>
      <c r="H6" s="153">
        <v>43959</v>
      </c>
      <c r="I6" s="39">
        <v>10020</v>
      </c>
      <c r="J6" s="60">
        <v>43959</v>
      </c>
      <c r="K6" s="337" t="s">
        <v>287</v>
      </c>
      <c r="L6" s="55">
        <v>6055</v>
      </c>
      <c r="M6" s="34">
        <v>62290</v>
      </c>
      <c r="N6" s="35">
        <v>4650</v>
      </c>
      <c r="O6" s="276"/>
      <c r="P6" s="36">
        <f>C6+I6+M6+N6+L6</f>
        <v>99175</v>
      </c>
      <c r="Q6" s="5">
        <f>P6-F6</f>
        <v>0</v>
      </c>
      <c r="T6" s="37"/>
      <c r="U6" s="37"/>
      <c r="V6" s="43">
        <v>43847</v>
      </c>
      <c r="W6" s="44" t="s">
        <v>11</v>
      </c>
      <c r="X6" s="196">
        <v>5010</v>
      </c>
      <c r="Y6" s="197"/>
      <c r="AA6" s="19" t="s">
        <v>52</v>
      </c>
      <c r="AB6" s="167">
        <v>43860</v>
      </c>
      <c r="AC6" s="21">
        <v>2000</v>
      </c>
      <c r="AE6" s="89"/>
      <c r="AF6" s="20"/>
      <c r="AG6" s="78">
        <v>0</v>
      </c>
    </row>
    <row r="7" spans="1:33" ht="16.5" thickBot="1" x14ac:dyDescent="0.3">
      <c r="A7" s="30"/>
      <c r="B7" s="316">
        <v>43960</v>
      </c>
      <c r="C7" s="317">
        <v>7496</v>
      </c>
      <c r="D7" s="311" t="s">
        <v>75</v>
      </c>
      <c r="E7" s="151">
        <v>43960</v>
      </c>
      <c r="F7" s="32">
        <v>131687</v>
      </c>
      <c r="G7" s="152"/>
      <c r="H7" s="153">
        <v>43960</v>
      </c>
      <c r="I7" s="39">
        <v>280</v>
      </c>
      <c r="J7" s="323"/>
      <c r="K7" s="46" t="s">
        <v>13</v>
      </c>
      <c r="L7" s="47">
        <v>0</v>
      </c>
      <c r="M7" s="34">
        <v>105580</v>
      </c>
      <c r="N7" s="35">
        <v>6514</v>
      </c>
      <c r="O7" s="127" t="s">
        <v>12</v>
      </c>
      <c r="P7" s="36">
        <f>C7+I7+M7+N7+L12</f>
        <v>140332.88</v>
      </c>
      <c r="Q7" s="201">
        <f>P7-F7</f>
        <v>8645.8800000000047</v>
      </c>
      <c r="S7" s="5"/>
      <c r="T7" s="4"/>
      <c r="U7" s="4"/>
      <c r="V7" s="48">
        <v>43847</v>
      </c>
      <c r="W7" s="38" t="s">
        <v>10</v>
      </c>
      <c r="X7" s="196">
        <v>5010</v>
      </c>
      <c r="Y7" s="197"/>
      <c r="AA7" s="19" t="s">
        <v>53</v>
      </c>
      <c r="AB7" s="167">
        <v>43868</v>
      </c>
      <c r="AC7" s="21">
        <v>2000</v>
      </c>
      <c r="AE7" s="89"/>
      <c r="AF7" s="20"/>
      <c r="AG7" s="78">
        <v>0</v>
      </c>
    </row>
    <row r="8" spans="1:33" ht="16.5" thickBot="1" x14ac:dyDescent="0.3">
      <c r="A8" s="30"/>
      <c r="B8" s="316">
        <v>43961</v>
      </c>
      <c r="C8" s="317">
        <v>3967</v>
      </c>
      <c r="D8" s="312" t="s">
        <v>69</v>
      </c>
      <c r="E8" s="151">
        <v>43961</v>
      </c>
      <c r="F8" s="32">
        <v>137302</v>
      </c>
      <c r="G8" s="152"/>
      <c r="H8" s="153">
        <v>43961</v>
      </c>
      <c r="I8" s="39">
        <v>0</v>
      </c>
      <c r="J8" s="324">
        <v>43982</v>
      </c>
      <c r="K8" s="49" t="s">
        <v>14</v>
      </c>
      <c r="L8" s="50">
        <v>27661</v>
      </c>
      <c r="M8" s="258">
        <v>126950</v>
      </c>
      <c r="N8" s="35">
        <v>6386</v>
      </c>
      <c r="O8" s="276" t="s">
        <v>220</v>
      </c>
      <c r="P8" s="36">
        <f>C8+I8+M8+N8</f>
        <v>137303</v>
      </c>
      <c r="Q8" s="5">
        <f>P8-F8</f>
        <v>1</v>
      </c>
      <c r="S8" s="5"/>
      <c r="T8" s="4"/>
      <c r="U8" s="4"/>
      <c r="V8" s="29">
        <v>43854</v>
      </c>
      <c r="W8" s="44" t="s">
        <v>11</v>
      </c>
      <c r="X8" s="196">
        <v>5010</v>
      </c>
      <c r="Y8" s="197"/>
      <c r="Z8" s="223" t="s">
        <v>170</v>
      </c>
      <c r="AA8" s="19" t="s">
        <v>54</v>
      </c>
      <c r="AB8" s="167">
        <v>43875</v>
      </c>
      <c r="AC8" s="21">
        <v>2000</v>
      </c>
      <c r="AE8" s="89"/>
      <c r="AF8" s="20"/>
      <c r="AG8" s="78">
        <v>0</v>
      </c>
    </row>
    <row r="9" spans="1:33" ht="16.5" thickBot="1" x14ac:dyDescent="0.3">
      <c r="A9" s="30"/>
      <c r="B9" s="316">
        <v>43962</v>
      </c>
      <c r="C9" s="317">
        <v>0</v>
      </c>
      <c r="D9" s="313"/>
      <c r="E9" s="151">
        <v>43962</v>
      </c>
      <c r="F9" s="32">
        <v>68101</v>
      </c>
      <c r="G9" s="152"/>
      <c r="H9" s="153">
        <v>43962</v>
      </c>
      <c r="I9" s="39">
        <v>180</v>
      </c>
      <c r="J9" s="324">
        <v>43981</v>
      </c>
      <c r="K9" s="20" t="s">
        <v>15</v>
      </c>
      <c r="L9" s="52">
        <v>20000</v>
      </c>
      <c r="M9" s="34">
        <v>66800</v>
      </c>
      <c r="N9" s="35">
        <v>1124</v>
      </c>
      <c r="O9" s="276"/>
      <c r="P9" s="36">
        <f>C9+I9+M9+N9</f>
        <v>68104</v>
      </c>
      <c r="Q9" s="5">
        <f t="shared" ref="Q9:Q11" si="0">P9-F9</f>
        <v>3</v>
      </c>
      <c r="R9" s="5" t="s">
        <v>12</v>
      </c>
      <c r="S9" s="5"/>
      <c r="T9" s="4"/>
      <c r="U9" s="4"/>
      <c r="V9" s="48">
        <v>43854</v>
      </c>
      <c r="W9" s="38" t="s">
        <v>10</v>
      </c>
      <c r="X9" s="196">
        <v>5010</v>
      </c>
      <c r="Y9" s="197"/>
      <c r="AA9" s="19" t="s">
        <v>55</v>
      </c>
      <c r="AB9" s="167">
        <v>43880</v>
      </c>
      <c r="AC9" s="21">
        <v>2000</v>
      </c>
      <c r="AE9" s="89"/>
      <c r="AF9" s="20"/>
      <c r="AG9" s="78">
        <v>0</v>
      </c>
    </row>
    <row r="10" spans="1:33" ht="16.5" thickBot="1" x14ac:dyDescent="0.3">
      <c r="A10" s="30"/>
      <c r="B10" s="316">
        <v>43963</v>
      </c>
      <c r="C10" s="317">
        <v>1684</v>
      </c>
      <c r="D10" s="311" t="s">
        <v>48</v>
      </c>
      <c r="E10" s="151">
        <v>43963</v>
      </c>
      <c r="F10" s="32">
        <v>55590</v>
      </c>
      <c r="G10" s="152"/>
      <c r="H10" s="153">
        <v>43963</v>
      </c>
      <c r="I10" s="39">
        <v>76</v>
      </c>
      <c r="J10" s="325"/>
      <c r="K10" s="54"/>
      <c r="L10" s="55"/>
      <c r="M10" s="34">
        <v>48306</v>
      </c>
      <c r="N10" s="35">
        <v>5524</v>
      </c>
      <c r="O10" s="127"/>
      <c r="P10" s="36">
        <f>C10+I10+M10+N10+L11</f>
        <v>55590</v>
      </c>
      <c r="Q10" s="5">
        <f t="shared" si="0"/>
        <v>0</v>
      </c>
      <c r="T10" s="37"/>
      <c r="U10" s="37"/>
      <c r="V10" s="29">
        <v>43861</v>
      </c>
      <c r="W10" s="44" t="s">
        <v>11</v>
      </c>
      <c r="X10" s="196">
        <v>5010</v>
      </c>
      <c r="Y10" s="197"/>
      <c r="AA10" s="19" t="s">
        <v>56</v>
      </c>
      <c r="AB10" s="167">
        <v>43887</v>
      </c>
      <c r="AC10" s="21">
        <v>2000</v>
      </c>
      <c r="AE10" s="89"/>
      <c r="AF10" s="20"/>
      <c r="AG10" s="78">
        <v>0</v>
      </c>
    </row>
    <row r="11" spans="1:33" ht="15.75" thickBot="1" x14ac:dyDescent="0.3">
      <c r="A11" s="30"/>
      <c r="B11" s="316">
        <v>43964</v>
      </c>
      <c r="C11" s="317">
        <v>1691</v>
      </c>
      <c r="D11" s="310" t="s">
        <v>288</v>
      </c>
      <c r="E11" s="151">
        <v>43964</v>
      </c>
      <c r="F11" s="32">
        <v>81336</v>
      </c>
      <c r="G11" s="152"/>
      <c r="H11" s="153">
        <v>43964</v>
      </c>
      <c r="I11" s="39">
        <v>0</v>
      </c>
      <c r="J11" s="326"/>
      <c r="K11" s="57"/>
      <c r="L11" s="55"/>
      <c r="M11" s="34">
        <v>77190</v>
      </c>
      <c r="N11" s="35">
        <v>2455</v>
      </c>
      <c r="O11" s="276"/>
      <c r="P11" s="36">
        <f>C11+I11+M11+N11</f>
        <v>81336</v>
      </c>
      <c r="Q11" s="5">
        <f t="shared" si="0"/>
        <v>0</v>
      </c>
      <c r="S11" s="58">
        <v>0</v>
      </c>
      <c r="T11" s="37"/>
      <c r="U11" s="37"/>
      <c r="V11" s="29">
        <v>43861</v>
      </c>
      <c r="W11" s="38" t="s">
        <v>10</v>
      </c>
      <c r="X11" s="196">
        <v>5010</v>
      </c>
      <c r="Y11" s="197"/>
      <c r="AA11" s="19" t="s">
        <v>57</v>
      </c>
      <c r="AB11" s="29">
        <v>43896</v>
      </c>
      <c r="AC11" s="21">
        <v>2000</v>
      </c>
      <c r="AE11" s="89"/>
      <c r="AF11" s="20"/>
      <c r="AG11" s="78">
        <v>0</v>
      </c>
    </row>
    <row r="12" spans="1:33" ht="15.75" thickBot="1" x14ac:dyDescent="0.3">
      <c r="A12" s="30"/>
      <c r="B12" s="316">
        <v>43965</v>
      </c>
      <c r="C12" s="317">
        <v>5660</v>
      </c>
      <c r="D12" s="310" t="s">
        <v>289</v>
      </c>
      <c r="E12" s="151">
        <v>43965</v>
      </c>
      <c r="F12" s="32">
        <v>60000</v>
      </c>
      <c r="G12" s="152"/>
      <c r="H12" s="153">
        <v>43965</v>
      </c>
      <c r="I12" s="39">
        <v>0</v>
      </c>
      <c r="J12" s="60">
        <v>43960</v>
      </c>
      <c r="K12" s="20" t="s">
        <v>242</v>
      </c>
      <c r="L12" s="55">
        <f>16062.88+4000+400</f>
        <v>20462.879999999997</v>
      </c>
      <c r="M12" s="34">
        <v>50100</v>
      </c>
      <c r="N12" s="35">
        <v>4244</v>
      </c>
      <c r="O12" s="298"/>
      <c r="P12" s="36">
        <f>C12+I12+M12+N12</f>
        <v>60004</v>
      </c>
      <c r="Q12" s="5">
        <f>P12-F12</f>
        <v>4</v>
      </c>
      <c r="S12" s="58">
        <v>8645.8799999999992</v>
      </c>
      <c r="T12" s="61" t="s">
        <v>242</v>
      </c>
      <c r="U12" s="61"/>
      <c r="V12" s="29">
        <v>43868</v>
      </c>
      <c r="W12" s="44" t="s">
        <v>11</v>
      </c>
      <c r="X12" s="196">
        <v>5010</v>
      </c>
      <c r="Y12" s="197"/>
      <c r="AA12" s="19" t="s">
        <v>58</v>
      </c>
      <c r="AB12" s="167">
        <v>43903</v>
      </c>
      <c r="AC12" s="21">
        <v>2000</v>
      </c>
      <c r="AE12" s="41"/>
      <c r="AF12" s="20"/>
      <c r="AG12" s="78">
        <v>0</v>
      </c>
    </row>
    <row r="13" spans="1:33" ht="15.75" thickBot="1" x14ac:dyDescent="0.3">
      <c r="A13" s="30"/>
      <c r="B13" s="316">
        <v>43966</v>
      </c>
      <c r="C13" s="317">
        <v>1749</v>
      </c>
      <c r="D13" s="312" t="s">
        <v>73</v>
      </c>
      <c r="E13" s="151">
        <v>43966</v>
      </c>
      <c r="F13" s="32">
        <v>97199</v>
      </c>
      <c r="G13" s="152"/>
      <c r="H13" s="153">
        <v>43966</v>
      </c>
      <c r="I13" s="39">
        <v>12090</v>
      </c>
      <c r="J13" s="60">
        <v>43967</v>
      </c>
      <c r="K13" s="20" t="s">
        <v>281</v>
      </c>
      <c r="L13" s="55">
        <f>400+14894.75+4000</f>
        <v>19294.75</v>
      </c>
      <c r="M13" s="34">
        <v>77194</v>
      </c>
      <c r="N13" s="35">
        <v>5499</v>
      </c>
      <c r="O13" s="276"/>
      <c r="P13" s="36">
        <f>C13+I13+M13+N13+L19</f>
        <v>97199</v>
      </c>
      <c r="Q13" s="5">
        <f>P13-F13</f>
        <v>0</v>
      </c>
      <c r="S13" s="58">
        <v>8844.75</v>
      </c>
      <c r="T13" s="61" t="s">
        <v>281</v>
      </c>
      <c r="U13" s="61"/>
      <c r="V13" s="29">
        <v>43868</v>
      </c>
      <c r="W13" s="38" t="s">
        <v>10</v>
      </c>
      <c r="X13" s="196">
        <v>5010</v>
      </c>
      <c r="Y13" s="197"/>
      <c r="AA13" s="19" t="s">
        <v>59</v>
      </c>
      <c r="AB13" s="167">
        <v>43908</v>
      </c>
      <c r="AC13" s="21">
        <v>2000</v>
      </c>
    </row>
    <row r="14" spans="1:33" ht="15.75" thickBot="1" x14ac:dyDescent="0.3">
      <c r="A14" s="30"/>
      <c r="B14" s="316">
        <v>43967</v>
      </c>
      <c r="C14" s="317">
        <v>1884</v>
      </c>
      <c r="D14" s="311" t="s">
        <v>83</v>
      </c>
      <c r="E14" s="151">
        <v>43967</v>
      </c>
      <c r="F14" s="32">
        <v>97099</v>
      </c>
      <c r="G14" s="152"/>
      <c r="H14" s="153">
        <v>43967</v>
      </c>
      <c r="I14" s="39">
        <v>650</v>
      </c>
      <c r="J14" s="60">
        <v>43974</v>
      </c>
      <c r="K14" s="20" t="s">
        <v>282</v>
      </c>
      <c r="L14" s="55">
        <f>13733.35+400+4000</f>
        <v>18133.349999999999</v>
      </c>
      <c r="M14" s="258">
        <v>79236</v>
      </c>
      <c r="N14" s="35">
        <v>4879</v>
      </c>
      <c r="O14" s="276" t="s">
        <v>220</v>
      </c>
      <c r="P14" s="36">
        <f>C14+I14+M14+N14+L7+L13</f>
        <v>105943.75</v>
      </c>
      <c r="Q14" s="201">
        <f>P14-F14</f>
        <v>8844.75</v>
      </c>
      <c r="S14" s="58">
        <v>8693.35</v>
      </c>
      <c r="T14" s="61" t="s">
        <v>282</v>
      </c>
      <c r="U14" s="61"/>
      <c r="V14" s="29">
        <v>43875</v>
      </c>
      <c r="W14" s="44" t="s">
        <v>11</v>
      </c>
      <c r="X14" s="196">
        <v>5010</v>
      </c>
      <c r="Y14" s="197"/>
      <c r="AA14" s="19" t="s">
        <v>214</v>
      </c>
      <c r="AB14" s="167">
        <v>43922</v>
      </c>
      <c r="AC14" s="21">
        <v>4000</v>
      </c>
    </row>
    <row r="15" spans="1:33" ht="15.75" thickBot="1" x14ac:dyDescent="0.3">
      <c r="A15" s="30"/>
      <c r="B15" s="316">
        <v>43968</v>
      </c>
      <c r="C15" s="317">
        <v>7269</v>
      </c>
      <c r="D15" s="310" t="s">
        <v>291</v>
      </c>
      <c r="E15" s="151">
        <v>43968</v>
      </c>
      <c r="F15" s="32">
        <v>68209</v>
      </c>
      <c r="G15" s="152"/>
      <c r="H15" s="153">
        <v>43968</v>
      </c>
      <c r="I15" s="39">
        <v>66</v>
      </c>
      <c r="J15" s="60">
        <v>43981</v>
      </c>
      <c r="K15" s="20" t="s">
        <v>283</v>
      </c>
      <c r="L15" s="55">
        <f>13951.89+4000+400</f>
        <v>18351.89</v>
      </c>
      <c r="M15" s="34">
        <v>56511</v>
      </c>
      <c r="N15" s="35">
        <v>4363</v>
      </c>
      <c r="O15" s="276"/>
      <c r="P15" s="36">
        <f t="shared" ref="P15:P18" si="1">C15+I15+M15+N15</f>
        <v>68209</v>
      </c>
      <c r="Q15" s="5">
        <f t="shared" ref="Q15:Q38" si="2">P15-F15</f>
        <v>0</v>
      </c>
      <c r="S15" s="58">
        <v>8844.89</v>
      </c>
      <c r="T15" s="61" t="s">
        <v>285</v>
      </c>
      <c r="U15" s="61"/>
      <c r="V15" s="29">
        <v>43875</v>
      </c>
      <c r="W15" s="38" t="s">
        <v>10</v>
      </c>
      <c r="X15" s="196">
        <v>5010</v>
      </c>
      <c r="Y15" s="197"/>
      <c r="AA15" s="19" t="s">
        <v>62</v>
      </c>
      <c r="AB15" s="167">
        <v>43936</v>
      </c>
      <c r="AC15" s="21">
        <v>2000</v>
      </c>
    </row>
    <row r="16" spans="1:33" ht="15.75" thickBot="1" x14ac:dyDescent="0.3">
      <c r="A16" s="30"/>
      <c r="B16" s="316">
        <v>43969</v>
      </c>
      <c r="C16" s="317">
        <v>1337</v>
      </c>
      <c r="D16" s="310" t="s">
        <v>72</v>
      </c>
      <c r="E16" s="151">
        <v>43969</v>
      </c>
      <c r="F16" s="32">
        <v>63425</v>
      </c>
      <c r="G16" s="152"/>
      <c r="H16" s="153">
        <v>43969</v>
      </c>
      <c r="I16" s="39">
        <v>0</v>
      </c>
      <c r="J16" s="60"/>
      <c r="K16" s="20" t="s">
        <v>140</v>
      </c>
      <c r="L16" s="5">
        <v>0</v>
      </c>
      <c r="M16" s="34">
        <v>59802</v>
      </c>
      <c r="N16" s="35">
        <v>2286</v>
      </c>
      <c r="O16" s="276"/>
      <c r="P16" s="36">
        <f t="shared" si="1"/>
        <v>63425</v>
      </c>
      <c r="Q16" s="5">
        <f t="shared" si="2"/>
        <v>0</v>
      </c>
      <c r="S16" s="58">
        <v>0</v>
      </c>
      <c r="T16" s="61" t="s">
        <v>140</v>
      </c>
      <c r="U16" s="61"/>
      <c r="V16" s="30">
        <v>43882</v>
      </c>
      <c r="W16" s="44" t="s">
        <v>11</v>
      </c>
      <c r="X16" s="196">
        <v>5010</v>
      </c>
      <c r="Y16" s="41"/>
      <c r="AA16" s="19" t="s">
        <v>63</v>
      </c>
      <c r="AB16" s="29">
        <v>43936</v>
      </c>
      <c r="AC16" s="21">
        <v>2000</v>
      </c>
    </row>
    <row r="17" spans="1:29" ht="16.5" thickBot="1" x14ac:dyDescent="0.3">
      <c r="A17" s="30"/>
      <c r="B17" s="316">
        <v>43970</v>
      </c>
      <c r="C17" s="317">
        <v>3783</v>
      </c>
      <c r="D17" s="312" t="s">
        <v>69</v>
      </c>
      <c r="E17" s="151">
        <v>43970</v>
      </c>
      <c r="F17" s="32">
        <v>66017</v>
      </c>
      <c r="G17" s="152"/>
      <c r="H17" s="153">
        <v>43970</v>
      </c>
      <c r="I17" s="39">
        <v>326</v>
      </c>
      <c r="J17" s="67"/>
      <c r="K17" s="20" t="s">
        <v>284</v>
      </c>
      <c r="L17" s="68">
        <v>0</v>
      </c>
      <c r="M17" s="258">
        <v>58260</v>
      </c>
      <c r="N17" s="35">
        <v>3648</v>
      </c>
      <c r="O17" s="276" t="s">
        <v>220</v>
      </c>
      <c r="P17" s="36">
        <f t="shared" si="1"/>
        <v>66017</v>
      </c>
      <c r="Q17" s="5">
        <f t="shared" si="2"/>
        <v>0</v>
      </c>
      <c r="S17" s="58">
        <v>0</v>
      </c>
      <c r="T17" s="188" t="s">
        <v>140</v>
      </c>
      <c r="U17" s="221"/>
      <c r="V17" s="225">
        <v>43882</v>
      </c>
      <c r="W17" s="38" t="s">
        <v>10</v>
      </c>
      <c r="X17" s="196">
        <v>5010</v>
      </c>
      <c r="Y17" s="41"/>
      <c r="AA17" s="19" t="s">
        <v>64</v>
      </c>
      <c r="AB17" s="167">
        <v>43950</v>
      </c>
      <c r="AC17" s="21">
        <v>2000</v>
      </c>
    </row>
    <row r="18" spans="1:29" ht="15.75" thickBot="1" x14ac:dyDescent="0.3">
      <c r="A18" s="30"/>
      <c r="B18" s="316">
        <v>43971</v>
      </c>
      <c r="C18" s="317">
        <v>1352</v>
      </c>
      <c r="D18" s="310" t="s">
        <v>83</v>
      </c>
      <c r="E18" s="151">
        <v>43971</v>
      </c>
      <c r="F18" s="32">
        <v>54970</v>
      </c>
      <c r="G18" s="152"/>
      <c r="H18" s="153">
        <v>43971</v>
      </c>
      <c r="I18" s="39">
        <v>0</v>
      </c>
      <c r="J18" s="67"/>
      <c r="K18" s="71"/>
      <c r="L18" s="55"/>
      <c r="M18" s="258">
        <v>51082</v>
      </c>
      <c r="N18" s="35">
        <v>2536</v>
      </c>
      <c r="O18" s="276" t="s">
        <v>220</v>
      </c>
      <c r="P18" s="36">
        <f t="shared" si="1"/>
        <v>54970</v>
      </c>
      <c r="Q18" s="5">
        <f t="shared" si="2"/>
        <v>0</v>
      </c>
      <c r="S18" s="5">
        <f>SUM(S11:S17)</f>
        <v>35028.869999999995</v>
      </c>
      <c r="T18" s="37" t="s">
        <v>17</v>
      </c>
      <c r="U18" s="37"/>
      <c r="V18" s="30">
        <v>43889</v>
      </c>
      <c r="W18" s="44" t="s">
        <v>11</v>
      </c>
      <c r="X18" s="196">
        <v>5010</v>
      </c>
      <c r="Y18" s="41"/>
      <c r="AA18" s="19" t="s">
        <v>65</v>
      </c>
      <c r="AB18" s="167">
        <v>43950</v>
      </c>
      <c r="AC18" s="21">
        <v>2000</v>
      </c>
    </row>
    <row r="19" spans="1:29" ht="15.75" thickBot="1" x14ac:dyDescent="0.3">
      <c r="A19" s="30"/>
      <c r="B19" s="316">
        <v>43972</v>
      </c>
      <c r="C19" s="317">
        <v>2429</v>
      </c>
      <c r="D19" s="310" t="s">
        <v>172</v>
      </c>
      <c r="E19" s="151">
        <v>43972</v>
      </c>
      <c r="F19" s="32">
        <v>54820</v>
      </c>
      <c r="G19" s="152"/>
      <c r="H19" s="153">
        <v>43972</v>
      </c>
      <c r="I19" s="39">
        <v>0</v>
      </c>
      <c r="J19" s="67">
        <v>43966</v>
      </c>
      <c r="K19" s="72" t="s">
        <v>290</v>
      </c>
      <c r="L19" s="73">
        <v>667</v>
      </c>
      <c r="M19" s="34">
        <f>48971+3198</f>
        <v>52169</v>
      </c>
      <c r="N19" s="35">
        <v>1077</v>
      </c>
      <c r="O19" s="276"/>
      <c r="P19" s="36">
        <f>C19+I19+M19+N19</f>
        <v>55675</v>
      </c>
      <c r="Q19" s="198">
        <f t="shared" si="2"/>
        <v>855</v>
      </c>
      <c r="R19" s="5" t="s">
        <v>292</v>
      </c>
      <c r="T19" s="8"/>
      <c r="U19" s="8"/>
      <c r="V19" s="30">
        <v>43889</v>
      </c>
      <c r="W19" s="38" t="s">
        <v>10</v>
      </c>
      <c r="X19" s="196">
        <v>5010</v>
      </c>
      <c r="Y19" s="41"/>
      <c r="AA19" s="19" t="s">
        <v>66</v>
      </c>
      <c r="AB19" s="29">
        <v>43957</v>
      </c>
      <c r="AC19" s="21">
        <v>2000</v>
      </c>
    </row>
    <row r="20" spans="1:29" ht="15.75" thickBot="1" x14ac:dyDescent="0.3">
      <c r="A20" s="30"/>
      <c r="B20" s="316">
        <v>43973</v>
      </c>
      <c r="C20" s="317">
        <v>1037</v>
      </c>
      <c r="D20" s="310" t="s">
        <v>72</v>
      </c>
      <c r="E20" s="151">
        <v>43973</v>
      </c>
      <c r="F20" s="32">
        <v>91118</v>
      </c>
      <c r="G20" s="152"/>
      <c r="H20" s="153">
        <v>43973</v>
      </c>
      <c r="I20" s="39">
        <v>12020</v>
      </c>
      <c r="J20" s="60">
        <v>43973</v>
      </c>
      <c r="K20" s="220" t="s">
        <v>293</v>
      </c>
      <c r="L20" s="68">
        <v>10000</v>
      </c>
      <c r="M20" s="34">
        <v>62807</v>
      </c>
      <c r="N20" s="35">
        <v>5254</v>
      </c>
      <c r="O20" s="276"/>
      <c r="P20" s="36">
        <f>C20+I20+M20+N20+L20</f>
        <v>91118</v>
      </c>
      <c r="Q20" s="5">
        <f t="shared" si="2"/>
        <v>0</v>
      </c>
      <c r="T20" s="8"/>
      <c r="U20" s="8"/>
      <c r="V20" s="245">
        <v>43896</v>
      </c>
      <c r="W20" s="44" t="s">
        <v>11</v>
      </c>
      <c r="X20" s="196">
        <v>5010</v>
      </c>
      <c r="Y20" s="41"/>
      <c r="AA20" s="19" t="s">
        <v>67</v>
      </c>
      <c r="AB20" s="167">
        <v>43966</v>
      </c>
      <c r="AC20" s="21">
        <v>2000</v>
      </c>
    </row>
    <row r="21" spans="1:29" ht="16.5" thickBot="1" x14ac:dyDescent="0.3">
      <c r="A21" s="30"/>
      <c r="B21" s="316">
        <v>43974</v>
      </c>
      <c r="C21" s="317">
        <v>4845</v>
      </c>
      <c r="D21" s="310" t="s">
        <v>294</v>
      </c>
      <c r="E21" s="151">
        <v>43974</v>
      </c>
      <c r="F21" s="32">
        <v>94169</v>
      </c>
      <c r="G21" s="152"/>
      <c r="H21" s="153">
        <v>43974</v>
      </c>
      <c r="I21" s="39">
        <v>0</v>
      </c>
      <c r="J21" s="67"/>
      <c r="K21" s="74"/>
      <c r="L21" s="68"/>
      <c r="M21" s="34">
        <v>76741</v>
      </c>
      <c r="N21" s="35">
        <v>3143</v>
      </c>
      <c r="O21" s="276"/>
      <c r="P21" s="36">
        <f>C21+I21+M21+N21+L21+L14</f>
        <v>102862.35</v>
      </c>
      <c r="Q21" s="201">
        <f t="shared" si="2"/>
        <v>8693.3500000000058</v>
      </c>
      <c r="T21" s="8"/>
      <c r="U21" s="8"/>
      <c r="V21" s="29">
        <v>43896</v>
      </c>
      <c r="W21" s="38" t="s">
        <v>10</v>
      </c>
      <c r="X21" s="196">
        <v>5010</v>
      </c>
      <c r="Y21" s="41"/>
      <c r="AA21" s="19" t="s">
        <v>143</v>
      </c>
      <c r="AB21" s="167">
        <v>43973</v>
      </c>
      <c r="AC21" s="21">
        <v>2000</v>
      </c>
    </row>
    <row r="22" spans="1:29" ht="15.75" thickBot="1" x14ac:dyDescent="0.3">
      <c r="A22" s="30"/>
      <c r="B22" s="316">
        <v>43975</v>
      </c>
      <c r="C22" s="317">
        <v>1004</v>
      </c>
      <c r="D22" s="310" t="s">
        <v>72</v>
      </c>
      <c r="E22" s="151">
        <v>43975</v>
      </c>
      <c r="F22" s="32">
        <v>103977</v>
      </c>
      <c r="G22" s="152"/>
      <c r="H22" s="153">
        <v>43975</v>
      </c>
      <c r="I22" s="39">
        <v>1240</v>
      </c>
      <c r="J22" s="76"/>
      <c r="K22" s="59"/>
      <c r="L22" s="77"/>
      <c r="M22" s="258">
        <v>97737</v>
      </c>
      <c r="N22" s="35">
        <v>3996</v>
      </c>
      <c r="O22" s="276" t="s">
        <v>220</v>
      </c>
      <c r="P22" s="36">
        <f>C22+I22+M22+N22</f>
        <v>103977</v>
      </c>
      <c r="Q22" s="5">
        <f>P22-F22</f>
        <v>0</v>
      </c>
      <c r="T22" s="8"/>
      <c r="U22" s="8"/>
      <c r="V22" s="29">
        <v>43903</v>
      </c>
      <c r="W22" s="44" t="s">
        <v>11</v>
      </c>
      <c r="X22" s="196">
        <v>5010</v>
      </c>
      <c r="Y22" s="41"/>
      <c r="AA22" s="19" t="s">
        <v>144</v>
      </c>
      <c r="AB22" s="167">
        <v>43978</v>
      </c>
      <c r="AC22" s="21">
        <v>2000</v>
      </c>
    </row>
    <row r="23" spans="1:29" ht="15.75" thickBot="1" x14ac:dyDescent="0.3">
      <c r="A23" s="30"/>
      <c r="B23" s="316">
        <v>43976</v>
      </c>
      <c r="C23" s="317">
        <v>1195</v>
      </c>
      <c r="D23" s="310" t="s">
        <v>72</v>
      </c>
      <c r="E23" s="151">
        <v>43976</v>
      </c>
      <c r="F23" s="32">
        <v>57229</v>
      </c>
      <c r="G23" s="152"/>
      <c r="H23" s="153">
        <v>43976</v>
      </c>
      <c r="I23" s="39">
        <v>0</v>
      </c>
      <c r="J23" s="284"/>
      <c r="K23" s="289"/>
      <c r="L23" s="285"/>
      <c r="M23" s="34">
        <v>54097</v>
      </c>
      <c r="N23" s="35">
        <v>1937</v>
      </c>
      <c r="O23" s="257"/>
      <c r="P23" s="36">
        <f>C23+I23+M23+N23</f>
        <v>57229</v>
      </c>
      <c r="Q23" s="5">
        <f>P23-F23</f>
        <v>0</v>
      </c>
      <c r="T23" s="8"/>
      <c r="U23" s="8"/>
      <c r="V23" s="29">
        <v>43903</v>
      </c>
      <c r="W23" s="38" t="s">
        <v>10</v>
      </c>
      <c r="X23" s="196">
        <v>5010</v>
      </c>
      <c r="Y23" s="41"/>
      <c r="AA23" s="19" t="s">
        <v>145</v>
      </c>
      <c r="AB23" s="167">
        <v>43985</v>
      </c>
      <c r="AC23" s="21">
        <v>2000</v>
      </c>
    </row>
    <row r="24" spans="1:29" ht="15.75" thickBot="1" x14ac:dyDescent="0.3">
      <c r="A24" s="30"/>
      <c r="B24" s="316">
        <v>43977</v>
      </c>
      <c r="C24" s="317">
        <v>3689.5</v>
      </c>
      <c r="D24" s="310" t="s">
        <v>48</v>
      </c>
      <c r="E24" s="151">
        <v>43977</v>
      </c>
      <c r="F24" s="32">
        <v>51348</v>
      </c>
      <c r="G24" s="152"/>
      <c r="H24" s="153">
        <v>43977</v>
      </c>
      <c r="I24" s="39">
        <v>76</v>
      </c>
      <c r="J24" s="286"/>
      <c r="K24" s="297"/>
      <c r="L24" s="291"/>
      <c r="M24" s="34">
        <v>46226.5</v>
      </c>
      <c r="N24" s="35">
        <v>1356</v>
      </c>
      <c r="O24" s="276"/>
      <c r="P24" s="36">
        <f>C24+I24+M24+N24</f>
        <v>51348</v>
      </c>
      <c r="Q24" s="5">
        <f t="shared" ref="Q24:Q32" si="3">P24-F24</f>
        <v>0</v>
      </c>
      <c r="T24" s="8"/>
      <c r="U24" s="8"/>
      <c r="V24" s="29">
        <v>43916</v>
      </c>
      <c r="W24" s="44" t="s">
        <v>11</v>
      </c>
      <c r="X24" s="196">
        <v>5010</v>
      </c>
      <c r="Y24" s="41"/>
      <c r="Z24" t="s">
        <v>12</v>
      </c>
      <c r="AA24" s="19" t="s">
        <v>146</v>
      </c>
      <c r="AB24" s="167"/>
      <c r="AC24" s="21">
        <v>0</v>
      </c>
    </row>
    <row r="25" spans="1:29" ht="15.75" thickBot="1" x14ac:dyDescent="0.3">
      <c r="A25" s="30"/>
      <c r="B25" s="316">
        <v>43978</v>
      </c>
      <c r="C25" s="317">
        <v>3928</v>
      </c>
      <c r="D25" s="310" t="s">
        <v>295</v>
      </c>
      <c r="E25" s="151">
        <v>43978</v>
      </c>
      <c r="F25" s="32">
        <v>52888</v>
      </c>
      <c r="G25" s="152"/>
      <c r="H25" s="153">
        <v>43978</v>
      </c>
      <c r="I25" s="39">
        <v>2000</v>
      </c>
      <c r="J25" s="287"/>
      <c r="K25" s="163"/>
      <c r="L25" s="102" t="s">
        <v>12</v>
      </c>
      <c r="M25" s="34">
        <v>44791</v>
      </c>
      <c r="N25" s="35">
        <v>2169</v>
      </c>
      <c r="O25" s="276"/>
      <c r="P25" s="36">
        <f>C25+I25+M25+N25</f>
        <v>52888</v>
      </c>
      <c r="Q25" s="5">
        <f t="shared" si="3"/>
        <v>0</v>
      </c>
      <c r="V25" s="29">
        <v>43924</v>
      </c>
      <c r="W25" s="38" t="s">
        <v>10</v>
      </c>
      <c r="X25" s="196">
        <v>5010</v>
      </c>
      <c r="Y25" s="41"/>
      <c r="AA25" s="19" t="s">
        <v>147</v>
      </c>
      <c r="AB25" s="167"/>
      <c r="AC25" s="21">
        <v>0</v>
      </c>
    </row>
    <row r="26" spans="1:29" ht="15.75" thickBot="1" x14ac:dyDescent="0.3">
      <c r="A26" s="30"/>
      <c r="B26" s="316">
        <v>43979</v>
      </c>
      <c r="C26" s="317">
        <v>1214</v>
      </c>
      <c r="D26" s="310" t="s">
        <v>72</v>
      </c>
      <c r="E26" s="151">
        <v>43979</v>
      </c>
      <c r="F26" s="32">
        <v>69439</v>
      </c>
      <c r="G26" s="152"/>
      <c r="H26" s="153">
        <v>43979</v>
      </c>
      <c r="I26" s="39">
        <v>0</v>
      </c>
      <c r="J26" s="67"/>
      <c r="K26" s="290"/>
      <c r="L26" s="285"/>
      <c r="M26" s="34">
        <v>65617</v>
      </c>
      <c r="N26" s="35">
        <v>2608</v>
      </c>
      <c r="O26" s="276"/>
      <c r="P26" s="36">
        <f>C26+I26+M26+N26</f>
        <v>69439</v>
      </c>
      <c r="Q26" s="5">
        <f t="shared" si="3"/>
        <v>0</v>
      </c>
      <c r="S26" s="86"/>
      <c r="T26" s="86"/>
      <c r="U26" s="86"/>
      <c r="V26" s="29">
        <v>43924</v>
      </c>
      <c r="W26" s="44" t="s">
        <v>11</v>
      </c>
      <c r="X26" s="196">
        <v>5010</v>
      </c>
      <c r="Y26" s="41"/>
      <c r="AA26" s="19" t="s">
        <v>148</v>
      </c>
      <c r="AB26" s="167"/>
      <c r="AC26" s="21">
        <v>0</v>
      </c>
    </row>
    <row r="27" spans="1:29" ht="15" customHeight="1" thickBot="1" x14ac:dyDescent="0.3">
      <c r="A27" s="30"/>
      <c r="B27" s="316">
        <v>43980</v>
      </c>
      <c r="C27" s="317">
        <v>1249</v>
      </c>
      <c r="D27" s="310" t="s">
        <v>72</v>
      </c>
      <c r="E27" s="151">
        <v>43980</v>
      </c>
      <c r="F27" s="32">
        <v>88939</v>
      </c>
      <c r="G27" s="152"/>
      <c r="H27" s="153">
        <v>43980</v>
      </c>
      <c r="I27" s="39">
        <v>10020</v>
      </c>
      <c r="J27" s="217" t="s">
        <v>309</v>
      </c>
      <c r="K27" s="295" t="s">
        <v>224</v>
      </c>
      <c r="L27" s="102">
        <v>10000</v>
      </c>
      <c r="M27" s="34">
        <v>73096</v>
      </c>
      <c r="N27" s="35">
        <v>4574</v>
      </c>
      <c r="O27" s="276"/>
      <c r="P27" s="36">
        <f>C27+I27+M27+N27+L16</f>
        <v>88939</v>
      </c>
      <c r="Q27" s="5">
        <f t="shared" si="3"/>
        <v>0</v>
      </c>
      <c r="V27" s="29">
        <v>43932</v>
      </c>
      <c r="W27" s="38" t="s">
        <v>10</v>
      </c>
      <c r="X27" s="196">
        <v>5010</v>
      </c>
      <c r="Y27" s="41"/>
      <c r="AA27" s="19" t="s">
        <v>149</v>
      </c>
      <c r="AB27" s="167"/>
      <c r="AC27" s="21">
        <v>0</v>
      </c>
    </row>
    <row r="28" spans="1:29" ht="15.75" thickBot="1" x14ac:dyDescent="0.3">
      <c r="A28" s="30"/>
      <c r="B28" s="316">
        <v>43981</v>
      </c>
      <c r="C28" s="317">
        <v>3526</v>
      </c>
      <c r="D28" s="314" t="s">
        <v>296</v>
      </c>
      <c r="E28" s="151">
        <v>43981</v>
      </c>
      <c r="F28" s="32">
        <v>104048</v>
      </c>
      <c r="G28" s="152"/>
      <c r="H28" s="153">
        <v>43981</v>
      </c>
      <c r="I28" s="39">
        <v>0</v>
      </c>
      <c r="J28" s="217" t="s">
        <v>309</v>
      </c>
      <c r="K28" s="294" t="s">
        <v>310</v>
      </c>
      <c r="L28" s="102">
        <f>9345+10260</f>
        <v>19605</v>
      </c>
      <c r="M28" s="258">
        <v>64686</v>
      </c>
      <c r="N28" s="35">
        <v>6329</v>
      </c>
      <c r="O28" s="276" t="s">
        <v>220</v>
      </c>
      <c r="P28" s="36">
        <f>C28+I28+M28+N28+L9+L15</f>
        <v>112892.89</v>
      </c>
      <c r="Q28" s="201">
        <f t="shared" si="3"/>
        <v>8844.89</v>
      </c>
      <c r="V28" s="29">
        <v>43932</v>
      </c>
      <c r="W28" s="44" t="s">
        <v>11</v>
      </c>
      <c r="X28" s="196">
        <v>5010</v>
      </c>
      <c r="Y28" s="41"/>
      <c r="AA28" s="19" t="s">
        <v>150</v>
      </c>
      <c r="AB28" s="167"/>
      <c r="AC28" s="21">
        <v>0</v>
      </c>
    </row>
    <row r="29" spans="1:29" ht="15.75" thickBot="1" x14ac:dyDescent="0.3">
      <c r="A29" s="30"/>
      <c r="B29" s="316">
        <v>43982</v>
      </c>
      <c r="C29" s="317">
        <v>10272</v>
      </c>
      <c r="D29" s="315" t="s">
        <v>297</v>
      </c>
      <c r="E29" s="151">
        <v>43982</v>
      </c>
      <c r="F29" s="32">
        <v>79829</v>
      </c>
      <c r="G29" s="152"/>
      <c r="H29" s="153">
        <v>43982</v>
      </c>
      <c r="I29" s="39">
        <v>0</v>
      </c>
      <c r="J29" s="217" t="s">
        <v>309</v>
      </c>
      <c r="K29" s="163" t="s">
        <v>243</v>
      </c>
      <c r="L29" s="102">
        <v>1856</v>
      </c>
      <c r="M29" s="34">
        <v>65660</v>
      </c>
      <c r="N29" s="35">
        <v>3897</v>
      </c>
      <c r="O29" s="276"/>
      <c r="P29" s="36">
        <f>C29+I29+M29+N29</f>
        <v>79829</v>
      </c>
      <c r="Q29" s="5">
        <f>P29-F29+L16</f>
        <v>0</v>
      </c>
      <c r="S29" s="6" t="s">
        <v>12</v>
      </c>
      <c r="V29" s="29">
        <v>43938</v>
      </c>
      <c r="W29" s="38" t="s">
        <v>10</v>
      </c>
      <c r="X29" s="196">
        <v>5010</v>
      </c>
      <c r="Y29" s="41"/>
      <c r="AA29" s="19" t="s">
        <v>151</v>
      </c>
      <c r="AB29" s="167"/>
      <c r="AC29" s="21">
        <v>0</v>
      </c>
    </row>
    <row r="30" spans="1:29" ht="15.75" thickBot="1" x14ac:dyDescent="0.3">
      <c r="A30" s="30"/>
      <c r="B30" s="316">
        <v>43983</v>
      </c>
      <c r="C30" s="317">
        <v>2838</v>
      </c>
      <c r="D30" s="315" t="s">
        <v>298</v>
      </c>
      <c r="E30" s="151">
        <v>43983</v>
      </c>
      <c r="F30" s="32">
        <v>64377</v>
      </c>
      <c r="G30" s="152"/>
      <c r="H30" s="153">
        <v>43983</v>
      </c>
      <c r="I30" s="244">
        <v>0</v>
      </c>
      <c r="J30" s="217" t="s">
        <v>309</v>
      </c>
      <c r="K30" s="296" t="s">
        <v>313</v>
      </c>
      <c r="L30" s="293">
        <v>4162.8999999999996</v>
      </c>
      <c r="M30" s="34">
        <v>56729</v>
      </c>
      <c r="N30" s="35">
        <v>4810</v>
      </c>
      <c r="O30" s="276"/>
      <c r="P30" s="36">
        <f>C30+I30+M30+N30</f>
        <v>64377</v>
      </c>
      <c r="Q30" s="5">
        <f t="shared" si="3"/>
        <v>0</v>
      </c>
      <c r="V30" s="29">
        <v>43938</v>
      </c>
      <c r="W30" s="44" t="s">
        <v>11</v>
      </c>
      <c r="X30" s="196">
        <v>5010</v>
      </c>
      <c r="Y30" s="41"/>
      <c r="AA30" s="19" t="s">
        <v>152</v>
      </c>
      <c r="AB30" s="167"/>
      <c r="AC30" s="21">
        <v>0</v>
      </c>
    </row>
    <row r="31" spans="1:29" ht="15.75" thickBot="1" x14ac:dyDescent="0.3">
      <c r="A31" s="30"/>
      <c r="B31" s="316">
        <v>43984</v>
      </c>
      <c r="C31" s="318">
        <v>1475.5</v>
      </c>
      <c r="D31" s="315" t="s">
        <v>210</v>
      </c>
      <c r="E31" s="151">
        <v>43984</v>
      </c>
      <c r="F31" s="32">
        <v>96728</v>
      </c>
      <c r="G31" s="152"/>
      <c r="H31" s="153">
        <v>43984</v>
      </c>
      <c r="I31" s="244">
        <v>38</v>
      </c>
      <c r="J31" s="217" t="s">
        <v>309</v>
      </c>
      <c r="K31" s="163" t="s">
        <v>314</v>
      </c>
      <c r="L31" s="102">
        <v>21723.21</v>
      </c>
      <c r="M31" s="34">
        <f>66872+25735.5</f>
        <v>92607.5</v>
      </c>
      <c r="N31" s="35">
        <v>2608</v>
      </c>
      <c r="O31" s="276" t="s">
        <v>220</v>
      </c>
      <c r="P31" s="36">
        <f t="shared" ref="P31" si="4">C31+I31+M31+N31+L18</f>
        <v>96729</v>
      </c>
      <c r="Q31" s="5">
        <f t="shared" si="3"/>
        <v>1</v>
      </c>
      <c r="V31" s="29">
        <v>43945</v>
      </c>
      <c r="W31" s="38" t="s">
        <v>10</v>
      </c>
      <c r="X31" s="196">
        <v>5010</v>
      </c>
      <c r="Y31" s="41"/>
      <c r="AA31" s="19" t="s">
        <v>153</v>
      </c>
      <c r="AB31" s="167"/>
      <c r="AC31" s="21">
        <v>0</v>
      </c>
    </row>
    <row r="32" spans="1:29" ht="15.75" thickBot="1" x14ac:dyDescent="0.3">
      <c r="A32" s="30"/>
      <c r="B32" s="316">
        <v>43985</v>
      </c>
      <c r="C32" s="318">
        <v>4914</v>
      </c>
      <c r="D32" s="315" t="s">
        <v>302</v>
      </c>
      <c r="E32" s="151">
        <v>43985</v>
      </c>
      <c r="F32" s="237">
        <v>62983</v>
      </c>
      <c r="G32" s="152"/>
      <c r="H32" s="153">
        <v>43985</v>
      </c>
      <c r="I32" s="244">
        <v>2140</v>
      </c>
      <c r="J32" s="217" t="s">
        <v>309</v>
      </c>
      <c r="K32" s="164" t="s">
        <v>315</v>
      </c>
      <c r="L32" s="102">
        <v>1276</v>
      </c>
      <c r="M32" s="34">
        <v>53120</v>
      </c>
      <c r="N32" s="35">
        <v>2809</v>
      </c>
      <c r="O32" s="276"/>
      <c r="P32" s="36">
        <f>C32+I32+M32+N32</f>
        <v>62983</v>
      </c>
      <c r="Q32" s="5">
        <f t="shared" si="3"/>
        <v>0</v>
      </c>
      <c r="V32" s="29">
        <v>43945</v>
      </c>
      <c r="W32" s="44" t="s">
        <v>11</v>
      </c>
      <c r="X32" s="196">
        <v>5010</v>
      </c>
      <c r="Y32" s="41"/>
      <c r="AA32" s="19" t="s">
        <v>215</v>
      </c>
      <c r="AB32" s="167"/>
      <c r="AC32" s="21">
        <v>0</v>
      </c>
    </row>
    <row r="33" spans="1:29" ht="15.75" thickBot="1" x14ac:dyDescent="0.3">
      <c r="A33" s="30"/>
      <c r="B33" s="392">
        <v>43962</v>
      </c>
      <c r="C33" s="393">
        <v>4427.3599999999997</v>
      </c>
      <c r="D33" s="394" t="s">
        <v>317</v>
      </c>
      <c r="E33" s="151"/>
      <c r="F33" s="176"/>
      <c r="G33" s="152"/>
      <c r="H33" s="153"/>
      <c r="I33" s="244"/>
      <c r="J33" s="217" t="s">
        <v>309</v>
      </c>
      <c r="K33" s="164" t="s">
        <v>316</v>
      </c>
      <c r="L33" s="102">
        <v>49250</v>
      </c>
      <c r="M33" s="34">
        <v>0</v>
      </c>
      <c r="N33" s="35">
        <v>0</v>
      </c>
      <c r="O33" s="276"/>
      <c r="P33" s="36">
        <f>C33+I33+M33+N33</f>
        <v>4427.3599999999997</v>
      </c>
      <c r="Q33" s="5">
        <f t="shared" si="2"/>
        <v>4427.3599999999997</v>
      </c>
      <c r="R33" s="36"/>
      <c r="V33" s="29">
        <v>43952</v>
      </c>
      <c r="W33" s="44" t="s">
        <v>11</v>
      </c>
      <c r="X33" s="196">
        <v>5010</v>
      </c>
      <c r="Y33" s="41"/>
      <c r="AA33" s="19" t="s">
        <v>216</v>
      </c>
      <c r="AB33" s="167"/>
      <c r="AC33" s="21">
        <v>0</v>
      </c>
    </row>
    <row r="34" spans="1:29" ht="15.75" thickBot="1" x14ac:dyDescent="0.3">
      <c r="A34" s="30"/>
      <c r="B34" s="392">
        <v>43964</v>
      </c>
      <c r="C34" s="393">
        <v>14185.64</v>
      </c>
      <c r="D34" s="395" t="s">
        <v>317</v>
      </c>
      <c r="E34" s="151"/>
      <c r="F34" s="176"/>
      <c r="G34" s="152"/>
      <c r="H34" s="153"/>
      <c r="I34" s="244"/>
      <c r="J34" s="217" t="s">
        <v>309</v>
      </c>
      <c r="K34" s="163" t="s">
        <v>135</v>
      </c>
      <c r="L34" s="102">
        <v>1315.86</v>
      </c>
      <c r="M34" s="34">
        <v>0</v>
      </c>
      <c r="N34" s="35">
        <v>0</v>
      </c>
      <c r="O34" s="276"/>
      <c r="P34" s="36">
        <f>C34+I34+M34+N34+L17</f>
        <v>14185.64</v>
      </c>
      <c r="Q34" s="5">
        <f t="shared" si="2"/>
        <v>14185.64</v>
      </c>
      <c r="R34" s="36"/>
      <c r="V34" s="29">
        <v>43952</v>
      </c>
      <c r="W34" s="38" t="s">
        <v>10</v>
      </c>
      <c r="X34" s="196">
        <v>5010</v>
      </c>
      <c r="Y34" s="41"/>
      <c r="AA34" s="19" t="s">
        <v>217</v>
      </c>
      <c r="AB34" s="167"/>
      <c r="AC34" s="21">
        <v>0</v>
      </c>
    </row>
    <row r="35" spans="1:29" ht="15.75" thickBot="1" x14ac:dyDescent="0.3">
      <c r="A35" s="30"/>
      <c r="B35" s="392">
        <v>43967</v>
      </c>
      <c r="C35" s="393">
        <v>19476.66</v>
      </c>
      <c r="D35" s="395" t="s">
        <v>317</v>
      </c>
      <c r="E35" s="151"/>
      <c r="F35" s="176"/>
      <c r="G35" s="152"/>
      <c r="H35" s="153"/>
      <c r="I35" s="244"/>
      <c r="J35" s="217" t="s">
        <v>309</v>
      </c>
      <c r="K35" s="164" t="s">
        <v>311</v>
      </c>
      <c r="L35" s="292">
        <v>1700.75</v>
      </c>
      <c r="M35" s="34">
        <v>0</v>
      </c>
      <c r="N35" s="35">
        <v>0</v>
      </c>
      <c r="O35" s="276"/>
      <c r="P35" s="36">
        <f>C35+I35+M35+N35</f>
        <v>19476.66</v>
      </c>
      <c r="Q35" s="5">
        <f t="shared" si="2"/>
        <v>19476.66</v>
      </c>
      <c r="R35" s="36"/>
      <c r="V35" s="29">
        <v>43959</v>
      </c>
      <c r="W35" s="44" t="s">
        <v>11</v>
      </c>
      <c r="X35" s="196">
        <v>5010</v>
      </c>
      <c r="Y35" s="41"/>
      <c r="AA35" s="19" t="s">
        <v>154</v>
      </c>
      <c r="AB35" s="167"/>
      <c r="AC35" s="21">
        <v>0</v>
      </c>
    </row>
    <row r="36" spans="1:29" ht="15.75" thickBot="1" x14ac:dyDescent="0.3">
      <c r="A36" s="30"/>
      <c r="B36" s="392">
        <v>43973</v>
      </c>
      <c r="C36" s="393">
        <v>12944.75</v>
      </c>
      <c r="D36" s="395" t="s">
        <v>317</v>
      </c>
      <c r="E36" s="151"/>
      <c r="F36" s="176"/>
      <c r="G36" s="152"/>
      <c r="H36" s="153"/>
      <c r="I36" s="244"/>
      <c r="J36" s="217" t="s">
        <v>309</v>
      </c>
      <c r="K36" s="163" t="s">
        <v>312</v>
      </c>
      <c r="L36" s="102">
        <v>3432.6</v>
      </c>
      <c r="M36" s="34">
        <v>0</v>
      </c>
      <c r="N36" s="35">
        <v>0</v>
      </c>
      <c r="O36" s="276"/>
      <c r="P36" s="36">
        <f>C36+I36+M36+N36</f>
        <v>12944.75</v>
      </c>
      <c r="Q36" s="5">
        <f t="shared" si="2"/>
        <v>12944.75</v>
      </c>
      <c r="R36" s="36"/>
      <c r="V36" s="29">
        <v>43959</v>
      </c>
      <c r="W36" s="38" t="s">
        <v>10</v>
      </c>
      <c r="X36" s="196">
        <v>5010</v>
      </c>
      <c r="Y36" s="41"/>
      <c r="AA36" s="19" t="s">
        <v>155</v>
      </c>
      <c r="AB36" s="167"/>
      <c r="AC36" s="21">
        <v>0</v>
      </c>
    </row>
    <row r="37" spans="1:29" ht="15.75" thickBot="1" x14ac:dyDescent="0.3">
      <c r="A37" s="30"/>
      <c r="B37" s="392">
        <v>43974</v>
      </c>
      <c r="C37" s="396">
        <v>10687.84</v>
      </c>
      <c r="D37" s="395" t="s">
        <v>317</v>
      </c>
      <c r="E37" s="151"/>
      <c r="F37" s="176"/>
      <c r="G37" s="152"/>
      <c r="H37" s="153"/>
      <c r="I37" s="244"/>
      <c r="J37" s="217"/>
      <c r="K37" s="163"/>
      <c r="L37" s="102"/>
      <c r="M37" s="34">
        <v>0</v>
      </c>
      <c r="N37" s="35">
        <v>0</v>
      </c>
      <c r="O37" s="276"/>
      <c r="P37" s="36">
        <f>C37+I37+M37+N37</f>
        <v>10687.84</v>
      </c>
      <c r="Q37" s="5">
        <f t="shared" si="2"/>
        <v>10687.84</v>
      </c>
      <c r="R37" s="36"/>
      <c r="V37" s="29">
        <v>43966</v>
      </c>
      <c r="W37" s="44" t="s">
        <v>11</v>
      </c>
      <c r="X37" s="196">
        <v>5010</v>
      </c>
      <c r="Y37" s="41"/>
      <c r="AA37" s="19" t="s">
        <v>156</v>
      </c>
      <c r="AB37" s="167"/>
      <c r="AC37" s="21">
        <v>0</v>
      </c>
    </row>
    <row r="38" spans="1:29" ht="15.75" thickBot="1" x14ac:dyDescent="0.3">
      <c r="A38" s="30"/>
      <c r="B38" s="392">
        <v>43977</v>
      </c>
      <c r="C38" s="397">
        <v>14173.83</v>
      </c>
      <c r="D38" s="395" t="s">
        <v>317</v>
      </c>
      <c r="E38" s="151"/>
      <c r="F38" s="176"/>
      <c r="G38" s="152"/>
      <c r="H38" s="153"/>
      <c r="I38" s="244"/>
      <c r="J38" s="217"/>
      <c r="K38" s="229"/>
      <c r="L38" s="288"/>
      <c r="M38" s="34">
        <v>0</v>
      </c>
      <c r="N38" s="35">
        <v>0</v>
      </c>
      <c r="O38" s="276"/>
      <c r="P38" s="104">
        <f>C38+I38+M38+N38</f>
        <v>14173.83</v>
      </c>
      <c r="Q38" s="104">
        <f t="shared" si="2"/>
        <v>14173.83</v>
      </c>
      <c r="R38" s="36"/>
      <c r="V38" s="29">
        <v>43966</v>
      </c>
      <c r="W38" s="38" t="s">
        <v>10</v>
      </c>
      <c r="X38" s="196">
        <v>5010</v>
      </c>
      <c r="Y38" s="41"/>
      <c r="AA38" s="19" t="s">
        <v>157</v>
      </c>
      <c r="AB38" s="167"/>
      <c r="AC38" s="21">
        <v>0</v>
      </c>
    </row>
    <row r="39" spans="1:29" ht="16.5" thickBot="1" x14ac:dyDescent="0.3">
      <c r="A39" s="105"/>
      <c r="B39" s="392">
        <v>43979</v>
      </c>
      <c r="C39" s="397">
        <v>18454.64</v>
      </c>
      <c r="D39" s="395" t="s">
        <v>317</v>
      </c>
      <c r="E39" s="151"/>
      <c r="F39" s="109"/>
      <c r="G39" s="110"/>
      <c r="H39" s="153"/>
      <c r="I39" s="109"/>
      <c r="J39" s="228"/>
      <c r="K39" s="265"/>
      <c r="L39" s="77"/>
      <c r="M39" s="34">
        <f>SUM(M5:M38)</f>
        <v>1878273</v>
      </c>
      <c r="N39" s="35">
        <f>SUM(N5:N38)</f>
        <v>101830</v>
      </c>
      <c r="O39" s="277"/>
      <c r="P39" s="114">
        <f>SUM(P5:P38)</f>
        <v>2334237.4000000004</v>
      </c>
      <c r="Q39" s="114">
        <f>SUM(Q5:Q38)</f>
        <v>123669.40000000001</v>
      </c>
      <c r="R39" s="114"/>
      <c r="V39" s="29">
        <v>43973</v>
      </c>
      <c r="W39" s="44" t="s">
        <v>11</v>
      </c>
      <c r="X39" s="196">
        <v>5010</v>
      </c>
      <c r="Y39" s="41"/>
      <c r="AA39" s="19" t="s">
        <v>160</v>
      </c>
      <c r="AB39" s="167"/>
      <c r="AC39" s="21">
        <v>0</v>
      </c>
    </row>
    <row r="40" spans="1:29" ht="16.5" thickBot="1" x14ac:dyDescent="0.3">
      <c r="A40" s="105"/>
      <c r="B40" s="392">
        <v>43981</v>
      </c>
      <c r="C40" s="397">
        <v>11653.98</v>
      </c>
      <c r="D40" s="395" t="s">
        <v>317</v>
      </c>
      <c r="E40" s="151"/>
      <c r="F40" s="109"/>
      <c r="G40" s="110"/>
      <c r="H40" s="389"/>
      <c r="I40" s="148"/>
      <c r="J40" s="390"/>
      <c r="K40" s="391"/>
      <c r="L40" s="77"/>
      <c r="M40" s="36"/>
      <c r="N40" s="36"/>
      <c r="O40" s="277"/>
      <c r="P40" s="114"/>
      <c r="Q40" s="114"/>
      <c r="R40" s="114"/>
      <c r="V40" s="29"/>
      <c r="W40" s="44"/>
      <c r="X40" s="196"/>
      <c r="Y40" s="41"/>
      <c r="AA40" s="19"/>
      <c r="AB40" s="167"/>
      <c r="AC40" s="21"/>
    </row>
    <row r="41" spans="1:29" ht="16.5" thickBot="1" x14ac:dyDescent="0.3">
      <c r="A41" s="105"/>
      <c r="B41" s="384"/>
      <c r="C41" s="385">
        <v>0</v>
      </c>
      <c r="D41" s="386"/>
      <c r="E41" s="387"/>
      <c r="F41" s="148"/>
      <c r="G41" s="388"/>
      <c r="H41" s="389"/>
      <c r="I41" s="148"/>
      <c r="J41" s="390"/>
      <c r="K41" s="391"/>
      <c r="L41" s="77"/>
      <c r="M41" s="36"/>
      <c r="N41" s="36"/>
      <c r="O41" s="277"/>
      <c r="P41" s="114"/>
      <c r="Q41" s="114"/>
      <c r="R41" s="114"/>
      <c r="V41" s="29"/>
      <c r="W41" s="44"/>
      <c r="X41" s="196"/>
      <c r="Y41" s="41"/>
      <c r="AA41" s="19"/>
      <c r="AB41" s="167"/>
      <c r="AC41" s="21"/>
    </row>
    <row r="42" spans="1:29" ht="16.5" thickBot="1" x14ac:dyDescent="0.3">
      <c r="B42" s="115" t="s">
        <v>16</v>
      </c>
      <c r="C42" s="116">
        <f>SUM(C5:C41)</f>
        <v>219911.65</v>
      </c>
      <c r="D42" s="117"/>
      <c r="E42" s="303" t="s">
        <v>16</v>
      </c>
      <c r="F42" s="304">
        <f>SUM(F5:F39)</f>
        <v>2210568</v>
      </c>
      <c r="G42" s="117"/>
      <c r="H42" s="120" t="s">
        <v>306</v>
      </c>
      <c r="I42" s="121">
        <f>SUM(I5:I39)</f>
        <v>51366.5</v>
      </c>
      <c r="J42" s="327"/>
      <c r="K42" s="122" t="s">
        <v>307</v>
      </c>
      <c r="L42" s="123">
        <f>SUM(L6:L39)</f>
        <v>254948.18999999997</v>
      </c>
      <c r="O42" s="278"/>
      <c r="P42" s="36"/>
      <c r="Q42" s="36"/>
      <c r="R42" s="36"/>
      <c r="V42" s="29">
        <v>43973</v>
      </c>
      <c r="W42" s="38" t="s">
        <v>10</v>
      </c>
      <c r="X42" s="196">
        <v>5010</v>
      </c>
      <c r="Y42" s="41"/>
      <c r="AA42" s="19" t="s">
        <v>161</v>
      </c>
      <c r="AB42" s="167"/>
      <c r="AC42" s="21">
        <v>0</v>
      </c>
    </row>
    <row r="43" spans="1:29" ht="17.25" customHeight="1" thickTop="1" thickBot="1" x14ac:dyDescent="0.3">
      <c r="C43" s="8" t="s">
        <v>12</v>
      </c>
      <c r="M43" s="351">
        <f>N39+M39</f>
        <v>1980103</v>
      </c>
      <c r="N43" s="352"/>
      <c r="O43" s="279"/>
      <c r="P43" s="124"/>
      <c r="V43" s="29">
        <v>43980</v>
      </c>
      <c r="W43" s="44" t="s">
        <v>11</v>
      </c>
      <c r="X43" s="196">
        <v>5010</v>
      </c>
      <c r="Y43" s="41"/>
      <c r="AA43" s="19" t="s">
        <v>162</v>
      </c>
      <c r="AB43" s="167"/>
      <c r="AC43" s="21">
        <v>0</v>
      </c>
    </row>
    <row r="44" spans="1:29" ht="15.75" x14ac:dyDescent="0.25">
      <c r="A44" s="59"/>
      <c r="B44" s="125"/>
      <c r="C44" s="4"/>
      <c r="H44" s="353" t="s">
        <v>18</v>
      </c>
      <c r="I44" s="354"/>
      <c r="J44" s="328"/>
      <c r="K44" s="355">
        <f>I42+L42</f>
        <v>306314.68999999994</v>
      </c>
      <c r="L44" s="356"/>
      <c r="P44" s="127"/>
      <c r="S44" s="5"/>
      <c r="T44" s="128"/>
      <c r="U44" s="128"/>
      <c r="V44" s="29">
        <v>43980</v>
      </c>
      <c r="W44" s="38" t="s">
        <v>10</v>
      </c>
      <c r="X44" s="196">
        <v>5010</v>
      </c>
      <c r="Y44" s="41"/>
      <c r="AA44" s="19" t="s">
        <v>163</v>
      </c>
      <c r="AB44" s="167"/>
      <c r="AC44" s="21">
        <v>0</v>
      </c>
    </row>
    <row r="45" spans="1:29" ht="16.5" thickBot="1" x14ac:dyDescent="0.3">
      <c r="D45" s="357" t="s">
        <v>19</v>
      </c>
      <c r="E45" s="357"/>
      <c r="F45" s="129">
        <f>F42-K44-C42</f>
        <v>1684341.6600000001</v>
      </c>
      <c r="I45" s="130"/>
      <c r="J45" s="329"/>
      <c r="P45" s="127"/>
      <c r="V45" s="29"/>
      <c r="W45" s="44" t="s">
        <v>11</v>
      </c>
      <c r="X45" s="196">
        <v>0</v>
      </c>
      <c r="Y45" s="41"/>
      <c r="AA45" s="19" t="s">
        <v>164</v>
      </c>
      <c r="AB45" s="167"/>
      <c r="AC45" s="21">
        <v>0</v>
      </c>
    </row>
    <row r="46" spans="1:29" ht="18.75" x14ac:dyDescent="0.3">
      <c r="D46" s="339" t="s">
        <v>20</v>
      </c>
      <c r="E46" s="339"/>
      <c r="F46" s="131">
        <v>-1590870.08</v>
      </c>
      <c r="I46" s="340" t="s">
        <v>21</v>
      </c>
      <c r="J46" s="341"/>
      <c r="K46" s="342">
        <f>F51</f>
        <v>357966.56000000006</v>
      </c>
      <c r="L46" s="343"/>
      <c r="P46" s="305">
        <f>M43</f>
        <v>1980103</v>
      </c>
      <c r="Q46" s="5" t="s">
        <v>308</v>
      </c>
      <c r="V46" s="29"/>
      <c r="W46" s="38" t="s">
        <v>10</v>
      </c>
      <c r="X46" s="196">
        <v>0</v>
      </c>
      <c r="Y46" s="41"/>
      <c r="AA46" s="19" t="s">
        <v>165</v>
      </c>
      <c r="AB46" s="167"/>
      <c r="AC46" s="21">
        <v>0</v>
      </c>
    </row>
    <row r="47" spans="1:29" ht="4.5" customHeight="1" thickBot="1" x14ac:dyDescent="0.35">
      <c r="D47" s="132"/>
      <c r="E47" s="133"/>
      <c r="F47" s="134">
        <v>0</v>
      </c>
      <c r="I47" s="135"/>
      <c r="J47" s="330"/>
      <c r="K47" s="136"/>
      <c r="L47" s="136"/>
      <c r="P47" s="300">
        <v>0</v>
      </c>
      <c r="V47" s="8"/>
      <c r="W47" s="44" t="s">
        <v>11</v>
      </c>
      <c r="X47" s="196">
        <v>0</v>
      </c>
    </row>
    <row r="48" spans="1:29" ht="20.25" thickTop="1" thickBot="1" x14ac:dyDescent="0.35">
      <c r="C48" s="16" t="s">
        <v>12</v>
      </c>
      <c r="E48" s="59" t="s">
        <v>22</v>
      </c>
      <c r="F48" s="131">
        <f>SUM(F45:F47)</f>
        <v>93471.580000000075</v>
      </c>
      <c r="H48" s="30"/>
      <c r="I48" s="137" t="s">
        <v>23</v>
      </c>
      <c r="J48" s="331"/>
      <c r="K48" s="370">
        <f>-C4</f>
        <v>-239420.42</v>
      </c>
      <c r="L48" s="371"/>
      <c r="M48" s="214"/>
      <c r="P48" s="300">
        <f>I42</f>
        <v>51366.5</v>
      </c>
      <c r="Q48" s="5" t="s">
        <v>305</v>
      </c>
      <c r="V48" s="8"/>
      <c r="W48" s="65" t="s">
        <v>16</v>
      </c>
      <c r="X48" s="66">
        <f>SUM(X4:X14)</f>
        <v>55110</v>
      </c>
    </row>
    <row r="49" spans="2:22" ht="16.5" thickBot="1" x14ac:dyDescent="0.3">
      <c r="D49" s="139" t="s">
        <v>24</v>
      </c>
      <c r="E49" s="59" t="s">
        <v>25</v>
      </c>
      <c r="F49" s="140">
        <v>5592</v>
      </c>
      <c r="P49" s="300">
        <f>C42</f>
        <v>219911.65</v>
      </c>
      <c r="Q49" s="5" t="s">
        <v>304</v>
      </c>
      <c r="V49" s="8"/>
    </row>
    <row r="50" spans="2:22" ht="20.25" thickTop="1" thickBot="1" x14ac:dyDescent="0.35">
      <c r="C50" s="231">
        <v>43985</v>
      </c>
      <c r="D50" s="372" t="s">
        <v>26</v>
      </c>
      <c r="E50" s="373"/>
      <c r="F50" s="142">
        <v>258902.98</v>
      </c>
      <c r="I50" s="374" t="s">
        <v>129</v>
      </c>
      <c r="J50" s="375"/>
      <c r="K50" s="376">
        <f>K46+K48</f>
        <v>118546.14000000004</v>
      </c>
      <c r="L50" s="377"/>
      <c r="P50" s="306">
        <f>140625.87-27661</f>
        <v>112964.87</v>
      </c>
      <c r="Q50" s="5" t="s">
        <v>303</v>
      </c>
    </row>
    <row r="51" spans="2:22" ht="18.75" x14ac:dyDescent="0.3">
      <c r="C51" s="143"/>
      <c r="D51" s="144"/>
      <c r="E51" s="61" t="s">
        <v>27</v>
      </c>
      <c r="F51" s="145">
        <f>F48+F49+F50</f>
        <v>357966.56000000006</v>
      </c>
      <c r="J51" s="332"/>
      <c r="M51" s="146"/>
      <c r="P51" s="301">
        <f>-S18</f>
        <v>-35028.869999999995</v>
      </c>
    </row>
    <row r="52" spans="2:22" ht="15.75" thickBot="1" x14ac:dyDescent="0.3">
      <c r="P52" s="302">
        <v>-12735.45</v>
      </c>
      <c r="Q52" s="5" t="s">
        <v>286</v>
      </c>
    </row>
    <row r="53" spans="2:22" x14ac:dyDescent="0.25">
      <c r="B53"/>
      <c r="C53"/>
      <c r="D53" s="378"/>
      <c r="E53" s="378"/>
      <c r="M53" s="147"/>
      <c r="N53" s="59"/>
      <c r="O53" s="59"/>
      <c r="P53" s="128">
        <f>SUM(P46:P52)</f>
        <v>2316581.6999999997</v>
      </c>
      <c r="Q53" s="186"/>
      <c r="R53" s="186"/>
    </row>
    <row r="54" spans="2:22" x14ac:dyDescent="0.25">
      <c r="B54"/>
      <c r="C54"/>
      <c r="M54" s="147"/>
      <c r="N54" s="59"/>
      <c r="O54" s="59"/>
      <c r="P54" s="59"/>
      <c r="Q54" s="186"/>
      <c r="R54" s="186"/>
    </row>
    <row r="55" spans="2:22" x14ac:dyDescent="0.25">
      <c r="B55"/>
      <c r="C55"/>
      <c r="N55" s="59"/>
      <c r="O55" s="59"/>
      <c r="P55" s="59"/>
      <c r="Q55" s="186"/>
      <c r="R55" s="186"/>
    </row>
    <row r="56" spans="2:22" x14ac:dyDescent="0.25">
      <c r="B56"/>
      <c r="C56"/>
      <c r="F56"/>
      <c r="I56"/>
      <c r="J56" s="222"/>
      <c r="L56" s="102">
        <v>10000</v>
      </c>
      <c r="M56"/>
      <c r="N56" s="59"/>
      <c r="O56" s="59"/>
      <c r="P56" s="59"/>
      <c r="Q56" s="186"/>
      <c r="R56" s="186"/>
    </row>
    <row r="57" spans="2:22" x14ac:dyDescent="0.25">
      <c r="B57"/>
      <c r="C57"/>
      <c r="F57" s="148"/>
      <c r="L57" s="102">
        <f>9345+10260</f>
        <v>19605</v>
      </c>
      <c r="N57" s="59"/>
      <c r="O57" s="59"/>
      <c r="P57" s="59"/>
      <c r="Q57" s="186"/>
      <c r="R57" s="186"/>
    </row>
    <row r="58" spans="2:22" x14ac:dyDescent="0.25">
      <c r="F58" s="36"/>
      <c r="L58" s="102">
        <v>1856</v>
      </c>
      <c r="M58" s="4"/>
      <c r="N58" s="59"/>
      <c r="O58" s="59"/>
      <c r="P58" s="59"/>
      <c r="Q58" s="186"/>
      <c r="R58" s="186"/>
    </row>
    <row r="59" spans="2:22" x14ac:dyDescent="0.25">
      <c r="F59" s="36"/>
      <c r="L59" s="293">
        <v>4162.8999999999996</v>
      </c>
      <c r="M59" s="4"/>
      <c r="N59" s="59"/>
      <c r="O59" s="59"/>
      <c r="P59" s="59"/>
      <c r="Q59" s="186"/>
      <c r="R59" s="186"/>
    </row>
    <row r="60" spans="2:22" x14ac:dyDescent="0.25">
      <c r="F60" s="36"/>
      <c r="L60" s="102">
        <v>21723.21</v>
      </c>
      <c r="M60" s="4"/>
      <c r="N60" s="59"/>
      <c r="O60" s="59"/>
      <c r="P60" s="59"/>
      <c r="Q60" s="186"/>
      <c r="R60" s="186"/>
    </row>
    <row r="61" spans="2:22" x14ac:dyDescent="0.25">
      <c r="F61" s="36"/>
      <c r="L61" s="102">
        <v>1276</v>
      </c>
      <c r="M61" s="4"/>
      <c r="N61" s="59"/>
      <c r="O61" s="59"/>
      <c r="P61" s="59"/>
      <c r="Q61" s="186"/>
      <c r="R61" s="186"/>
    </row>
    <row r="62" spans="2:22" x14ac:dyDescent="0.25">
      <c r="F62" s="36"/>
      <c r="L62" s="102">
        <v>49250</v>
      </c>
      <c r="M62" s="4"/>
    </row>
    <row r="63" spans="2:22" x14ac:dyDescent="0.25">
      <c r="F63" s="36"/>
      <c r="L63" s="102">
        <v>1315.86</v>
      </c>
      <c r="M63" s="4"/>
    </row>
    <row r="64" spans="2:22" x14ac:dyDescent="0.25">
      <c r="F64" s="36"/>
      <c r="L64" s="292">
        <v>1700.75</v>
      </c>
      <c r="M64" s="4"/>
    </row>
    <row r="65" spans="6:13" x14ac:dyDescent="0.25">
      <c r="F65" s="36"/>
      <c r="L65" s="102">
        <v>3432.6</v>
      </c>
      <c r="M65" s="4"/>
    </row>
    <row r="66" spans="6:13" x14ac:dyDescent="0.25">
      <c r="F66" s="36"/>
      <c r="L66" s="37">
        <f>SUM(L56:L65)</f>
        <v>114322.32</v>
      </c>
      <c r="M66" s="4"/>
    </row>
    <row r="67" spans="6:13" x14ac:dyDescent="0.25">
      <c r="F67" s="148"/>
      <c r="M67" s="4"/>
    </row>
    <row r="68" spans="6:13" x14ac:dyDescent="0.25">
      <c r="M68" s="4"/>
    </row>
    <row r="69" spans="6:13" x14ac:dyDescent="0.25">
      <c r="M69" s="4"/>
    </row>
    <row r="70" spans="6:13" x14ac:dyDescent="0.25">
      <c r="M70" s="4"/>
    </row>
    <row r="71" spans="6:13" x14ac:dyDescent="0.25">
      <c r="M71" s="4"/>
    </row>
    <row r="72" spans="6:13" x14ac:dyDescent="0.25">
      <c r="M72" s="4"/>
    </row>
    <row r="73" spans="6:13" x14ac:dyDescent="0.25">
      <c r="M73" s="4"/>
    </row>
    <row r="74" spans="6:13" x14ac:dyDescent="0.25">
      <c r="M74" s="4"/>
    </row>
    <row r="75" spans="6:13" x14ac:dyDescent="0.25">
      <c r="M75" s="4"/>
    </row>
    <row r="76" spans="6:13" x14ac:dyDescent="0.25">
      <c r="M76" s="4"/>
    </row>
    <row r="77" spans="6:13" x14ac:dyDescent="0.25">
      <c r="M77" s="4"/>
    </row>
    <row r="78" spans="6:13" x14ac:dyDescent="0.25">
      <c r="M78" s="4"/>
    </row>
    <row r="79" spans="6:13" x14ac:dyDescent="0.25">
      <c r="M79" s="4"/>
    </row>
    <row r="80" spans="6:13" x14ac:dyDescent="0.25">
      <c r="M80" s="4"/>
    </row>
  </sheetData>
  <mergeCells count="20">
    <mergeCell ref="D45:E45"/>
    <mergeCell ref="C1:K1"/>
    <mergeCell ref="AF1:AG2"/>
    <mergeCell ref="E2:F3"/>
    <mergeCell ref="W2:X3"/>
    <mergeCell ref="AA2:AC2"/>
    <mergeCell ref="B3:C3"/>
    <mergeCell ref="E4:F4"/>
    <mergeCell ref="H4:I4"/>
    <mergeCell ref="M43:N43"/>
    <mergeCell ref="H44:I44"/>
    <mergeCell ref="K44:L44"/>
    <mergeCell ref="D53:E53"/>
    <mergeCell ref="D46:E46"/>
    <mergeCell ref="I46:J46"/>
    <mergeCell ref="K46:L46"/>
    <mergeCell ref="K48:L48"/>
    <mergeCell ref="D50:E50"/>
    <mergeCell ref="I50:J50"/>
    <mergeCell ref="K50:L50"/>
  </mergeCells>
  <pageMargins left="0.23622047244094491" right="0.15748031496062992" top="0.35433070866141736" bottom="0.31496062992125984" header="0.31496062992125984" footer="0.31496062992125984"/>
  <pageSetup scale="70" orientation="landscape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4 CARNES  ENERO 2020</vt:lpstr>
      <vt:lpstr>REMISIONES  ENERO  2020</vt:lpstr>
      <vt:lpstr>4 CARNES  FEBRERO   2020   </vt:lpstr>
      <vt:lpstr>REMISIONES  FEBRERO   2020    </vt:lpstr>
      <vt:lpstr>4 CARNES   MARZO   2020   </vt:lpstr>
      <vt:lpstr>REMISIONES  MARZO   2020   </vt:lpstr>
      <vt:lpstr>4 CARNES   ABRIL   2020   </vt:lpstr>
      <vt:lpstr>REMISIONES   ABRIL   2020  </vt:lpstr>
      <vt:lpstr>4  CARNES   MAYO   2020    </vt:lpstr>
      <vt:lpstr>REMISIONES    MAYO   2020   </vt:lpstr>
      <vt:lpstr>Hoja1</vt:lpstr>
      <vt:lpstr>Hoja3</vt:lpstr>
      <vt:lpstr>CANCELACIONES</vt:lpstr>
      <vt:lpstr>Hoja10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2020-06-18T16:19:54Z</cp:lastPrinted>
  <dcterms:created xsi:type="dcterms:W3CDTF">2020-01-17T15:55:16Z</dcterms:created>
  <dcterms:modified xsi:type="dcterms:W3CDTF">2020-06-18T16:23:20Z</dcterms:modified>
</cp:coreProperties>
</file>