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7  JULIO 2020\"/>
    </mc:Choice>
  </mc:AlternateContent>
  <xr:revisionPtr revIDLastSave="0" documentId="13_ncr:1_{C96C8B16-0474-43E0-85AC-F02EE177EA3F}" xr6:coauthVersionLast="45" xr6:coauthVersionMax="45" xr10:uidLastSave="{00000000-0000-0000-0000-000000000000}"/>
  <bookViews>
    <workbookView xWindow="6345" yWindow="765" windowWidth="16935" windowHeight="11625" firstSheet="10" activeTab="11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4 CARNES   ABRIL   2020   " sheetId="7" r:id="rId7"/>
    <sheet name="REMISIONES   ABRIL   2020  " sheetId="8" r:id="rId8"/>
    <sheet name="4  CARNES   MAYO   2020    " sheetId="11" r:id="rId9"/>
    <sheet name="REMISIONES    MAYO   2020   " sheetId="12" r:id="rId10"/>
    <sheet name="4 CARNES   JUNIO   2020   " sheetId="14" r:id="rId11"/>
    <sheet name="REMISIONES  JUNIO  2020" sheetId="13" r:id="rId12"/>
    <sheet name="4 CARNES  J U L I O   2020  " sheetId="16" r:id="rId13"/>
    <sheet name="REMISIONES  J U L I O    2020  " sheetId="18" r:id="rId14"/>
    <sheet name="Hoja1" sheetId="17" r:id="rId15"/>
    <sheet name="Hoja2" sheetId="15" r:id="rId16"/>
    <sheet name="CANCELACIONES" sheetId="9" r:id="rId17"/>
    <sheet name="Hoja10" sheetId="10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6" l="1"/>
  <c r="P40" i="16" s="1"/>
  <c r="P39" i="16"/>
  <c r="P28" i="16"/>
  <c r="F26" i="18"/>
  <c r="F27" i="18" s="1"/>
  <c r="F28" i="18" s="1"/>
  <c r="F29" i="18" s="1"/>
  <c r="F30" i="18" s="1"/>
  <c r="F31" i="18" s="1"/>
  <c r="F32" i="18" s="1"/>
  <c r="F33" i="18" s="1"/>
  <c r="C40" i="16" l="1"/>
  <c r="F40" i="16"/>
  <c r="I40" i="16"/>
  <c r="L40" i="16"/>
  <c r="N40" i="16"/>
  <c r="M40" i="16"/>
  <c r="Q39" i="16"/>
  <c r="L58" i="13" l="1"/>
  <c r="P21" i="16" l="1"/>
  <c r="L15" i="16"/>
  <c r="P22" i="16" s="1"/>
  <c r="P20" i="16" l="1"/>
  <c r="M19" i="16"/>
  <c r="P19" i="16" s="1"/>
  <c r="P17" i="16" l="1"/>
  <c r="L14" i="16" l="1"/>
  <c r="P15" i="16" s="1"/>
  <c r="P13" i="16"/>
  <c r="M13" i="16"/>
  <c r="P14" i="16" l="1"/>
  <c r="P11" i="16"/>
  <c r="M8" i="16"/>
  <c r="L12" i="16"/>
  <c r="P8" i="16" s="1"/>
  <c r="P66" i="14" l="1"/>
  <c r="P6" i="14"/>
  <c r="P28" i="14"/>
  <c r="P27" i="14"/>
  <c r="L66" i="14" l="1"/>
  <c r="P13" i="14"/>
  <c r="P31" i="14"/>
  <c r="I66" i="14"/>
  <c r="C53" i="13"/>
  <c r="C66" i="14"/>
  <c r="E35" i="18"/>
  <c r="C35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AC46" i="16"/>
  <c r="X46" i="16"/>
  <c r="K46" i="16"/>
  <c r="Q38" i="16"/>
  <c r="Q37" i="16"/>
  <c r="Q36" i="16"/>
  <c r="Q35" i="16"/>
  <c r="Q34" i="16"/>
  <c r="Q33" i="16"/>
  <c r="Q32" i="16"/>
  <c r="Q30" i="16"/>
  <c r="Q29" i="16"/>
  <c r="Q28" i="16"/>
  <c r="P27" i="16"/>
  <c r="Q27" i="16" s="1"/>
  <c r="P26" i="16"/>
  <c r="Q26" i="16" s="1"/>
  <c r="P25" i="16"/>
  <c r="Q25" i="16" s="1"/>
  <c r="P24" i="16"/>
  <c r="Q24" i="16" s="1"/>
  <c r="P23" i="16"/>
  <c r="Q23" i="16" s="1"/>
  <c r="Q22" i="16"/>
  <c r="Q21" i="16"/>
  <c r="Q20" i="16"/>
  <c r="Q19" i="16"/>
  <c r="Q13" i="16"/>
  <c r="P18" i="16"/>
  <c r="Q18" i="16" s="1"/>
  <c r="Q31" i="16"/>
  <c r="Q17" i="16"/>
  <c r="P16" i="16"/>
  <c r="Q16" i="16" s="1"/>
  <c r="S18" i="16"/>
  <c r="Q15" i="16"/>
  <c r="Q14" i="16"/>
  <c r="P12" i="16"/>
  <c r="Q12" i="16" s="1"/>
  <c r="Q11" i="16"/>
  <c r="P10" i="16"/>
  <c r="Q10" i="16" s="1"/>
  <c r="P9" i="16"/>
  <c r="Q9" i="16" s="1"/>
  <c r="Q7" i="16"/>
  <c r="Q40" i="16" s="1"/>
  <c r="P6" i="16"/>
  <c r="Q6" i="16" s="1"/>
  <c r="P5" i="16"/>
  <c r="Q5" i="16" s="1"/>
  <c r="P42" i="16" l="1"/>
  <c r="F34" i="18"/>
  <c r="F35" i="18" s="1"/>
  <c r="Q8" i="16"/>
  <c r="K42" i="16"/>
  <c r="M42" i="16"/>
  <c r="F66" i="14"/>
  <c r="F43" i="16" l="1"/>
  <c r="F46" i="16" s="1"/>
  <c r="F49" i="16" s="1"/>
  <c r="K44" i="16" s="1"/>
  <c r="K48" i="16" s="1"/>
  <c r="F50" i="13"/>
  <c r="F51" i="13" s="1"/>
  <c r="F52" i="13" s="1"/>
  <c r="P45" i="14" l="1"/>
  <c r="I8" i="14"/>
  <c r="I40" i="14" l="1"/>
  <c r="P48" i="14" l="1"/>
  <c r="P49" i="14"/>
  <c r="P50" i="14"/>
  <c r="P51" i="14"/>
  <c r="Q51" i="14" s="1"/>
  <c r="P52" i="14"/>
  <c r="P53" i="14"/>
  <c r="Q53" i="14" s="1"/>
  <c r="P54" i="14"/>
  <c r="P55" i="14"/>
  <c r="Q55" i="14" s="1"/>
  <c r="P56" i="14"/>
  <c r="P57" i="14"/>
  <c r="Q57" i="14" s="1"/>
  <c r="P58" i="14"/>
  <c r="P59" i="14"/>
  <c r="Q59" i="14" s="1"/>
  <c r="P60" i="14"/>
  <c r="Q60" i="14" s="1"/>
  <c r="Q61" i="14"/>
  <c r="P65" i="14"/>
  <c r="P47" i="14"/>
  <c r="Q47" i="14" s="1"/>
  <c r="Q48" i="14"/>
  <c r="Q49" i="14"/>
  <c r="Q50" i="14"/>
  <c r="Q52" i="14"/>
  <c r="Q54" i="14"/>
  <c r="Q56" i="14"/>
  <c r="Q58" i="14"/>
  <c r="Q65" i="14"/>
  <c r="P46" i="14"/>
  <c r="Q46" i="14" s="1"/>
  <c r="N66" i="14"/>
  <c r="L25" i="14"/>
  <c r="L19" i="14" l="1"/>
  <c r="P42" i="14" s="1"/>
  <c r="Q42" i="14" s="1"/>
  <c r="P41" i="14"/>
  <c r="P43" i="14"/>
  <c r="Q43" i="14" s="1"/>
  <c r="P44" i="14"/>
  <c r="Q44" i="14" s="1"/>
  <c r="Q45" i="14"/>
  <c r="P40" i="14"/>
  <c r="Q41" i="14" l="1"/>
  <c r="P39" i="14" l="1"/>
  <c r="Q39" i="14" s="1"/>
  <c r="Q40" i="14"/>
  <c r="M35" i="14" l="1"/>
  <c r="L18" i="14"/>
  <c r="P34" i="14"/>
  <c r="P35" i="14" l="1"/>
  <c r="P30" i="14"/>
  <c r="P29" i="14"/>
  <c r="Q29" i="14" l="1"/>
  <c r="L16" i="14"/>
  <c r="M27" i="14" l="1"/>
  <c r="M21" i="14" l="1"/>
  <c r="L15" i="14"/>
  <c r="P21" i="14" l="1"/>
  <c r="P16" i="14"/>
  <c r="P15" i="14"/>
  <c r="P12" i="14" l="1"/>
  <c r="L13" i="14"/>
  <c r="P14" i="14" s="1"/>
  <c r="X72" i="14" l="1"/>
  <c r="P20" i="14" l="1"/>
  <c r="M8" i="14"/>
  <c r="M66" i="14" s="1"/>
  <c r="P8" i="14" l="1"/>
  <c r="M68" i="14"/>
  <c r="L12" i="14"/>
  <c r="E53" i="13" l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3" i="13" s="1"/>
  <c r="AC72" i="14"/>
  <c r="K72" i="14"/>
  <c r="P38" i="14"/>
  <c r="Q38" i="14" s="1"/>
  <c r="P37" i="14"/>
  <c r="Q37" i="14" s="1"/>
  <c r="P36" i="14"/>
  <c r="Q36" i="14" s="1"/>
  <c r="Q35" i="14"/>
  <c r="Q34" i="14"/>
  <c r="P33" i="14"/>
  <c r="Q33" i="14" s="1"/>
  <c r="P32" i="14"/>
  <c r="Q32" i="14" s="1"/>
  <c r="Q31" i="14"/>
  <c r="Q30" i="14"/>
  <c r="Q27" i="14"/>
  <c r="P26" i="14"/>
  <c r="Q26" i="14" s="1"/>
  <c r="P25" i="14"/>
  <c r="Q25" i="14" s="1"/>
  <c r="P24" i="14"/>
  <c r="Q24" i="14" s="1"/>
  <c r="P23" i="14"/>
  <c r="Q23" i="14" s="1"/>
  <c r="P22" i="14"/>
  <c r="Q22" i="14" s="1"/>
  <c r="Q20" i="14"/>
  <c r="S18" i="14"/>
  <c r="P18" i="14"/>
  <c r="Q18" i="14" s="1"/>
  <c r="P17" i="14"/>
  <c r="Q17" i="14" s="1"/>
  <c r="Q16" i="14"/>
  <c r="Q15" i="14"/>
  <c r="Q21" i="14"/>
  <c r="Q14" i="14"/>
  <c r="Q12" i="14"/>
  <c r="P11" i="14"/>
  <c r="Q11" i="14" s="1"/>
  <c r="P10" i="14"/>
  <c r="Q10" i="14" s="1"/>
  <c r="P9" i="14"/>
  <c r="Q9" i="14" s="1"/>
  <c r="Q8" i="14"/>
  <c r="P7" i="14"/>
  <c r="Q7" i="14" s="1"/>
  <c r="Q6" i="14"/>
  <c r="P5" i="14"/>
  <c r="Q5" i="14" s="1"/>
  <c r="Q13" i="14" l="1"/>
  <c r="K68" i="14"/>
  <c r="F69" i="14" s="1"/>
  <c r="Q28" i="14"/>
  <c r="P19" i="14"/>
  <c r="Q19" i="14" s="1"/>
  <c r="L66" i="11"/>
  <c r="L57" i="11"/>
  <c r="F42" i="11"/>
  <c r="C42" i="11"/>
  <c r="L42" i="11"/>
  <c r="K44" i="11" s="1"/>
  <c r="I42" i="11"/>
  <c r="L28" i="11"/>
  <c r="F72" i="14" l="1"/>
  <c r="F75" i="14" s="1"/>
  <c r="K70" i="14" s="1"/>
  <c r="K74" i="14" s="1"/>
  <c r="Q66" i="14"/>
  <c r="P50" i="11"/>
  <c r="Q39" i="7"/>
  <c r="P39" i="7"/>
  <c r="Q44" i="1"/>
  <c r="P44" i="1"/>
  <c r="P41" i="3"/>
  <c r="Q39" i="5"/>
  <c r="P39" i="5"/>
  <c r="P51" i="11" l="1"/>
  <c r="P49" i="11"/>
  <c r="Q5" i="11"/>
  <c r="Q7" i="11"/>
  <c r="P5" i="11"/>
  <c r="P23" i="11"/>
  <c r="Q23" i="11" s="1"/>
  <c r="M43" i="11" l="1"/>
  <c r="C51" i="12"/>
  <c r="M31" i="11" l="1"/>
  <c r="P29" i="11"/>
  <c r="P28" i="11" l="1"/>
  <c r="L15" i="11" l="1"/>
  <c r="P22" i="11" l="1"/>
  <c r="P21" i="11"/>
  <c r="L14" i="11"/>
  <c r="P20" i="11"/>
  <c r="P19" i="11" l="1"/>
  <c r="M19" i="11"/>
  <c r="P32" i="11"/>
  <c r="P26" i="11"/>
  <c r="P15" i="11" l="1"/>
  <c r="P14" i="11"/>
  <c r="L13" i="11"/>
  <c r="P13" i="11"/>
  <c r="N41" i="11" l="1"/>
  <c r="M41" i="11"/>
  <c r="P8" i="11"/>
  <c r="P7" i="11"/>
  <c r="L12" i="11"/>
  <c r="P6" i="11"/>
  <c r="Q8" i="11" l="1"/>
  <c r="E51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X48" i="11"/>
  <c r="K48" i="11"/>
  <c r="P48" i="11"/>
  <c r="P38" i="11"/>
  <c r="Q38" i="11" s="1"/>
  <c r="P37" i="11"/>
  <c r="Q37" i="11" s="1"/>
  <c r="P36" i="11"/>
  <c r="Q36" i="11" s="1"/>
  <c r="P35" i="11"/>
  <c r="Q35" i="11" s="1"/>
  <c r="P34" i="11"/>
  <c r="Q34" i="11" s="1"/>
  <c r="P33" i="11"/>
  <c r="Q32" i="11"/>
  <c r="P31" i="11"/>
  <c r="Q31" i="11" s="1"/>
  <c r="P30" i="11"/>
  <c r="Q30" i="11" s="1"/>
  <c r="Q28" i="11"/>
  <c r="Q26" i="11"/>
  <c r="P25" i="11"/>
  <c r="Q25" i="11" s="1"/>
  <c r="P24" i="11"/>
  <c r="Q24" i="11" s="1"/>
  <c r="Q21" i="11"/>
  <c r="Q20" i="11"/>
  <c r="Q19" i="11"/>
  <c r="S18" i="11"/>
  <c r="P18" i="11"/>
  <c r="Q18" i="11" s="1"/>
  <c r="P17" i="11"/>
  <c r="Q17" i="11" s="1"/>
  <c r="P16" i="11"/>
  <c r="Q16" i="11" s="1"/>
  <c r="Q14" i="11"/>
  <c r="Q13" i="11"/>
  <c r="Q15" i="11"/>
  <c r="P12" i="11"/>
  <c r="Q12" i="11" s="1"/>
  <c r="P11" i="11"/>
  <c r="Q11" i="11" s="1"/>
  <c r="P10" i="11"/>
  <c r="Q10" i="11" s="1"/>
  <c r="P9" i="11"/>
  <c r="Q9" i="11" s="1"/>
  <c r="Q6" i="11"/>
  <c r="Q33" i="11" l="1"/>
  <c r="Q41" i="11" s="1"/>
  <c r="P41" i="11"/>
  <c r="Q29" i="11"/>
  <c r="P46" i="11"/>
  <c r="P53" i="11" s="1"/>
  <c r="Q22" i="11"/>
  <c r="F45" i="11"/>
  <c r="F48" i="11" s="1"/>
  <c r="F51" i="11" s="1"/>
  <c r="K46" i="11" s="1"/>
  <c r="K50" i="11" s="1"/>
  <c r="P27" i="11"/>
  <c r="Q27" i="11" s="1"/>
  <c r="I40" i="7"/>
  <c r="C40" i="7"/>
  <c r="F40" i="7"/>
  <c r="P13" i="7"/>
  <c r="P51" i="7" l="1"/>
  <c r="L40" i="7"/>
  <c r="P5" i="7"/>
  <c r="E51" i="8" l="1"/>
  <c r="C51" i="8"/>
  <c r="P38" i="7" l="1"/>
  <c r="P37" i="7"/>
  <c r="P36" i="7"/>
  <c r="M32" i="7" l="1"/>
  <c r="Q29" i="7" l="1"/>
  <c r="L16" i="7"/>
  <c r="P28" i="7" l="1"/>
  <c r="M26" i="7" l="1"/>
  <c r="P23" i="7" l="1"/>
  <c r="P20" i="7"/>
  <c r="P22" i="7"/>
  <c r="Q22" i="7"/>
  <c r="M24" i="7" l="1"/>
  <c r="Q23" i="7"/>
  <c r="L14" i="7" l="1"/>
  <c r="P14" i="7" l="1"/>
  <c r="P15" i="7"/>
  <c r="P17" i="7"/>
  <c r="L13" i="7"/>
  <c r="M14" i="7"/>
  <c r="P12" i="7" l="1"/>
  <c r="M12" i="7"/>
  <c r="P8" i="7"/>
  <c r="Q8" i="7" s="1"/>
  <c r="L12" i="7"/>
  <c r="P6" i="7"/>
  <c r="P33" i="7"/>
  <c r="P27" i="7"/>
  <c r="Q27" i="7" s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X46" i="7"/>
  <c r="K46" i="7"/>
  <c r="N39" i="7"/>
  <c r="Q38" i="7"/>
  <c r="Q37" i="7"/>
  <c r="Q36" i="7"/>
  <c r="P35" i="7"/>
  <c r="Q35" i="7" s="1"/>
  <c r="Q33" i="7"/>
  <c r="P32" i="7"/>
  <c r="Q32" i="7" s="1"/>
  <c r="P31" i="7"/>
  <c r="Q31" i="7" s="1"/>
  <c r="P30" i="7"/>
  <c r="Q30" i="7" s="1"/>
  <c r="P29" i="7"/>
  <c r="Q28" i="7"/>
  <c r="P26" i="7"/>
  <c r="Q26" i="7" s="1"/>
  <c r="P25" i="7"/>
  <c r="Q25" i="7" s="1"/>
  <c r="P24" i="7"/>
  <c r="Q24" i="7" s="1"/>
  <c r="P21" i="7"/>
  <c r="Q21" i="7" s="1"/>
  <c r="P19" i="7"/>
  <c r="Q19" i="7" s="1"/>
  <c r="S18" i="7"/>
  <c r="P18" i="7"/>
  <c r="Q18" i="7" s="1"/>
  <c r="Q17" i="7"/>
  <c r="P34" i="7"/>
  <c r="Q34" i="7" s="1"/>
  <c r="P16" i="7"/>
  <c r="Q16" i="7" s="1"/>
  <c r="Q15" i="7"/>
  <c r="Q14" i="7"/>
  <c r="Q13" i="7"/>
  <c r="Q12" i="7"/>
  <c r="P11" i="7"/>
  <c r="Q11" i="7" s="1"/>
  <c r="P10" i="7"/>
  <c r="Q10" i="7" s="1"/>
  <c r="M39" i="7"/>
  <c r="P9" i="7"/>
  <c r="Q9" i="7" s="1"/>
  <c r="P7" i="7"/>
  <c r="Q7" i="7" s="1"/>
  <c r="Q6" i="7"/>
  <c r="Q5" i="7"/>
  <c r="K42" i="7" l="1"/>
  <c r="F43" i="7" s="1"/>
  <c r="F46" i="7" s="1"/>
  <c r="F49" i="7" s="1"/>
  <c r="K44" i="7" s="1"/>
  <c r="K48" i="7" s="1"/>
  <c r="M41" i="7"/>
  <c r="Q20" i="7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Q27" i="5" l="1"/>
  <c r="P27" i="5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K42" i="5" l="1"/>
  <c r="F43" i="5" s="1"/>
  <c r="F46" i="5" s="1"/>
  <c r="F49" i="5" s="1"/>
  <c r="K44" i="5" s="1"/>
  <c r="K48" i="5" s="1"/>
  <c r="M41" i="5"/>
  <c r="Q20" i="5"/>
  <c r="P8" i="5"/>
  <c r="Q8" i="5" s="1"/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P30" i="1" l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4D922E9-E8B1-4FDC-BE54-78F7ECB062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D331EB4-3164-46C0-BF81-E3BF5D6B63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455A1B0E-3999-4F90-BA63-E4503941665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5DFFFE8-9DC6-4138-B4A0-C296EEE789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3463C3-D541-4582-B7DD-4B3C8E06D3C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0DB0764B-7D94-44E0-9C7E-DC403A60A2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68ECDA5-4808-4ABC-A7BB-00340FCDF6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84C30779-28B7-4569-B145-4538478130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5983A61-208D-4346-B6D4-E5715B87FDE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27EED1-9E8E-4815-A8DD-734B600568C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75E0FB9F-94DB-4C5D-8B25-F4008780A05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C385B205-54F0-40B3-B22F-616A0CE638C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466CC55-3F9C-48F9-B816-F38ADD9FAB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39D73C3-413E-44AE-8F72-38B33F498C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05207A8-5937-4A85-AFCF-CBB7A85AA4E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003F9320-4804-4A77-846B-7E3F0481613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3302E5FC-001F-4B42-9F5A-5E08CDC098E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2F43D04-D568-4D2E-B198-9DEAAB9591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0ECDC7F-3B89-4F08-A205-9DC4B9226F8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D7523AA-0931-46ED-838E-CC74F157C8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<sst xmlns="http://schemas.openxmlformats.org/spreadsheetml/2006/main" count="1630" uniqueCount="414">
  <si>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</si>
  <si>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</si>
  <si>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</si>
  <si>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</si>
  <si>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</si>
  <si>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</si>
  <si>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</si>
  <si>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</si>
  <si>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</si>
  <si>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</si>
  <si>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</si>
  <si>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</si>
  <si>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</si>
  <si>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</si>
  <si>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</si>
  <si>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</si>
  <si>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</si>
  <si>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</si>
  <si>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</si>
  <si>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</si>
  <si>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</si>
  <si>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</si>
  <si>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</si>
  <si>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</si>
  <si>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</si>
  <si>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</si>
  <si>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</si>
  <si>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</si>
  <si>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</si>
  <si>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</si>
  <si>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</si>
  <si>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</si>
  <si>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</si>
  <si>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</si>
  <si>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</si>
  <si>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</si>
  <si>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</si>
  <si>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</si>
  <si>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</si>
  <si>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</si>
  <si>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</si>
  <si>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</si>
  <si>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</si>
  <si>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</si>
  <si>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</si>
  <si>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</si>
  <si>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</si>
  <si>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</si>
  <si>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</si>
  <si>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</si>
  <si>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</si>
  <si>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</si>
  <si>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</si>
  <si>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</si>
  <si>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</si>
  <si>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</si>
  <si>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</si>
  <si>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</si>
  <si>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</si>
  <si>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</si>
  <si>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</si>
  <si>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</si>
  <si>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</si>
  <si>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</si>
  <si>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</si>
  <si>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</si>
  <si>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</si>
  <si>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</si>
  <si>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</si>
  <si>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</si>
  <si>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</si>
  <si>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</si>
  <si>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</si>
  <si>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</si>
  <si>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</si>
  <si>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</si>
  <si>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</si>
  <si>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</si>
  <si>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</si>
  <si>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</si>
  <si>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</si>
  <si>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</si>
  <si>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</si>
  <si>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</si>
  <si>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</si>
  <si>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</si>
  <si>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</si>
  <si>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</si>
  <si>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</si>
  <si>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</si>
  <si>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</si>
  <si>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</si>
  <si>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</si>
  <si>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</si>
  <si>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</si>
  <si>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</si>
  <si>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</si>
  <si>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</si>
  <si>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</si>
  <si>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</si>
  <si>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</si>
  <si>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</si>
  <si>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</si>
  <si>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</si>
  <si>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</si>
  <si>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</si>
  <si>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</si>
  <si>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</si>
  <si>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</si>
  <si>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</si>
  <si>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</si>
  <si>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</si>
  <si>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</si>
  <si>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</si>
  <si>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</si>
  <si>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</si>
  <si>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</si>
  <si>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</si>
  <si>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</si>
  <si>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</si>
  <si>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</si>
  <si>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</si>
  <si>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</si>
  <si>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</si>
  <si>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</si>
  <si>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</si>
  <si>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</si>
  <si>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</si>
  <si>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</si>
  <si>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</si>
  <si>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</si>
  <si>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</si>
  <si>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</si>
  <si>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</si>
  <si>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</si>
  <si>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</si>
  <si>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</si>
  <si>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</si>
  <si>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</si>
  <si>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</si>
  <si>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</si>
  <si>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</si>
  <si>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</si>
  <si>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</si>
  <si>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</si>
  <si>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</si>
  <si>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</si>
  <si>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</si>
  <si>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</si>
  <si>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</si>
  <si>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</si>
  <si>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</si>
  <si>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</si>
  <si>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</si>
  <si>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</si>
  <si>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</si>
  <si>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</si>
  <si>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</si>
  <si>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</si>
  <si>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</si>
  <si>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</si>
  <si>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</si>
  <si>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</si>
  <si>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</si>
  <si>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</si>
  <si>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</si>
  <si>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</si>
  <si>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</si>
  <si>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</si>
  <si>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</si>
  <si>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</si>
  <si>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</si>
  <si>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</si>
  <si>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</si>
  <si>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</si>
  <si>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</si>
  <si>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</si>
  <si>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</si>
  <si>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</si>
  <si>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</si>
  <si>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</si>
  <si>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</si>
  <si>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</si>
  <si>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</si>
  <si>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</si>
  <si>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</si>
  <si>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</si>
  <si>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</si>
  <si>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</si>
  <si>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</si>
  <si>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</si>
  <si>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</si>
  <si>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</si>
  <si>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</si>
  <si>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</si>
  <si>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</si>
  <si>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</si>
  <si>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</si>
  <si>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</si>
  <si>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</si>
  <si>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</si>
  <si>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</si>
  <si>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</si>
  <si>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</si>
  <si>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</si>
  <si>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</si>
  <si>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</si>
  <si>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</si>
  <si>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</si>
  <si>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</si>
  <si>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</si>
  <si>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</si>
  <si>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</si>
  <si>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</si>
  <si>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</si>
  <si>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</si>
  <si>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</si>
  <si>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</si>
  <si>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</si>
  <si>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</si>
  <si>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</si>
  <si>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</si>
  <si>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</si>
  <si>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</si>
  <si>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</si>
  <si>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</si>
  <si>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</si>
  <si>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</si>
  <si>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</si>
  <si>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</si>
  <si>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</si>
  <si>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</si>
  <si>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</si>
  <si>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</si>
  <si>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</si>
  <si>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</si>
  <si>
    <t>BALANCE      ABASTO 4 CARNES   ABRIL       2 0 2 0</t>
  </si>
  <si>
    <t>BALANCE      ABASTO 4 CARNES   MARZO      2 0 2 0</t>
  </si>
  <si>
    <t>NOMINA 15</t>
  </si>
  <si>
    <t>NOMINA 16</t>
  </si>
  <si>
    <t>NOMINA 17</t>
  </si>
  <si>
    <t>NOMINA 18</t>
  </si>
  <si>
    <t>NOMINA 19</t>
  </si>
  <si>
    <t>FUMIGACION</t>
  </si>
  <si>
    <t>RES-QUESOS-CHISTORRA-SALSAS-POLLO-TOSTADAS</t>
  </si>
  <si>
    <t>NO ABRIO</t>
  </si>
  <si>
    <t>POLLO--RES</t>
  </si>
  <si>
    <t>CHORIZO-JUGO</t>
  </si>
  <si>
    <t>Tranfer y Dep</t>
  </si>
  <si>
    <t>POLLO--MAIZ-QUESO</t>
  </si>
  <si>
    <t xml:space="preserve">Transfer </t>
  </si>
  <si>
    <t>RES-POLLO-CHORIZO-JUGO</t>
  </si>
  <si>
    <t>POLLO-QUESOS-VERDURA</t>
  </si>
  <si>
    <t>RES-MAIZ</t>
  </si>
  <si>
    <t>NOMINA  19</t>
  </si>
  <si>
    <t>TOSTADAS--SALSAS</t>
  </si>
  <si>
    <t>PATA-POLLO</t>
  </si>
  <si>
    <t>RES-QUESOS-POLLO</t>
  </si>
  <si>
    <t>RES-VERDURAS</t>
  </si>
  <si>
    <t>TOCINETA-QUESOS-POLLO-TOSTADAS-CHORIZO</t>
  </si>
  <si>
    <t>RES-POLLO-SALSAS</t>
  </si>
  <si>
    <t>RES--POLLO--VINAGRE</t>
  </si>
  <si>
    <t>OBRADOR</t>
  </si>
  <si>
    <t>QUESOS-MAIZ</t>
  </si>
  <si>
    <t>ABRIL.,2020</t>
  </si>
  <si>
    <t>IMPUESTOS FED</t>
  </si>
  <si>
    <t>POLICIA AUX</t>
  </si>
  <si>
    <t>Art de limpieza</t>
  </si>
  <si>
    <t xml:space="preserve">PAPELERIA </t>
  </si>
  <si>
    <t>BOMBA P/Fumigar</t>
  </si>
  <si>
    <t>Tenencia MOTO</t>
  </si>
  <si>
    <t xml:space="preserve">VIGILANCIA </t>
  </si>
  <si>
    <t>LLANTA MOTO</t>
  </si>
  <si>
    <t>FONACOT</t>
  </si>
  <si>
    <t>CELULARES-INTERNET</t>
  </si>
  <si>
    <t>ADT-SECURITY</t>
  </si>
  <si>
    <t>Material empaques</t>
  </si>
  <si>
    <t>Motores Vitrinas</t>
  </si>
  <si>
    <t>COMISIONES BANCO</t>
  </si>
  <si>
    <t>I.M.S.S  MARZO</t>
  </si>
  <si>
    <t>BALANCE      ABASTO 4 CARNES   MAYO       2 0 2 0</t>
  </si>
  <si>
    <t>NOMINA 20</t>
  </si>
  <si>
    <t>NOMINA 21</t>
  </si>
  <si>
    <t>NOMINA  22</t>
  </si>
  <si>
    <t xml:space="preserve">NOMINA  </t>
  </si>
  <si>
    <t>NOMINA 22</t>
  </si>
  <si>
    <t>CREDITOS ANT</t>
  </si>
  <si>
    <t>Caja de Rollos</t>
  </si>
  <si>
    <t>MAIZ-POLLO-JUGO</t>
  </si>
  <si>
    <t>POLLO-QUESOS-CHORIZO-VERDURAS</t>
  </si>
  <si>
    <t>SAT--S.H.C.P</t>
  </si>
  <si>
    <t>TOCINETA</t>
  </si>
  <si>
    <t>56.00obrad</t>
  </si>
  <si>
    <t>PROTECCION CIVIL</t>
  </si>
  <si>
    <t>QUESOS --POLLO-MAIZ-TOSTADAS</t>
  </si>
  <si>
    <t>POLLO-QUESOS-MAIZ-TOSTADAS</t>
  </si>
  <si>
    <t>MAIZ-QUESO-JUGO</t>
  </si>
  <si>
    <t>QUESOS--POLLO</t>
  </si>
  <si>
    <t>POLLO-SALSAS-TOSTADAS</t>
  </si>
  <si>
    <t>POLLO-CHORIZO-SAZONADOR</t>
  </si>
  <si>
    <t>gastos</t>
  </si>
  <si>
    <t>compras</t>
  </si>
  <si>
    <t>gastos 1</t>
  </si>
  <si>
    <t>TOTAL 1</t>
  </si>
  <si>
    <t>TOTAL  2</t>
  </si>
  <si>
    <t>bancos</t>
  </si>
  <si>
    <t>May.,2020</t>
  </si>
  <si>
    <t>VIGILANCIA</t>
  </si>
  <si>
    <t>CELULARES</t>
  </si>
  <si>
    <t>COMISIONES</t>
  </si>
  <si>
    <t>DESECHABLES</t>
  </si>
  <si>
    <t>IMSS-INFONAVIT</t>
  </si>
  <si>
    <t>Manto BASCULA Torrey</t>
  </si>
  <si>
    <t>ARQUITECTO Pisos</t>
  </si>
  <si>
    <t>NOMINA 23</t>
  </si>
  <si>
    <t>NOMINA 24</t>
  </si>
  <si>
    <t>NOMINA 25</t>
  </si>
  <si>
    <t>BALANCE      ABASTO 4 CARNES   JUNIO        2 0 2 0</t>
  </si>
  <si>
    <t>NOMINA 26</t>
  </si>
  <si>
    <t>MAIZ-POLLO-ARABE</t>
  </si>
  <si>
    <t>POLLO-QUESOS-ARABE</t>
  </si>
  <si>
    <t>RES  Facturado</t>
  </si>
  <si>
    <t>SALDO 1</t>
  </si>
  <si>
    <t>TOTAL   1</t>
  </si>
  <si>
    <t>MAIZ-TOSTADAS</t>
  </si>
  <si>
    <t>POLLO-PAPAS</t>
  </si>
  <si>
    <t>QUESO-SALCHICHA-TOCINETA-POLLO</t>
  </si>
  <si>
    <t>NOMINA  25</t>
  </si>
  <si>
    <t>JAMON-MAIZ-POLLO</t>
  </si>
  <si>
    <t>QUESOS-POLLO-CHORIZO-PAPAS</t>
  </si>
  <si>
    <t>POLLO-MAIZ-QUESOS-ARABE</t>
  </si>
  <si>
    <t>SALCHICHA, CHISTORRA</t>
  </si>
  <si>
    <t>POLLO-LONGANIZA-CHORIZO</t>
  </si>
  <si>
    <t>QUESO-POLLO-PAPAS</t>
  </si>
  <si>
    <t>POLLO-SALSAS-CECINA</t>
  </si>
  <si>
    <t xml:space="preserve">POLLO-LONGANIZA  </t>
  </si>
  <si>
    <t>TOSTADAS-MAIZ-VINAGRE</t>
  </si>
  <si>
    <t>QUESOS-POLLO-SABROSITO</t>
  </si>
  <si>
    <t>SALSAS</t>
  </si>
  <si>
    <t>LONGANIZAS-TOSTADAS</t>
  </si>
  <si>
    <t xml:space="preserve">POLLO-MAIZ </t>
  </si>
  <si>
    <t>QUESOS-POLLO</t>
  </si>
  <si>
    <t>LONGANIZAS--MAIZ</t>
  </si>
  <si>
    <t>NOMINA 27</t>
  </si>
  <si>
    <t>QUESO-TOCINETA-VERDURA</t>
  </si>
  <si>
    <t>QUESOS -POLLO</t>
  </si>
  <si>
    <t>pollo-chorizo</t>
  </si>
  <si>
    <t>pollo-tostadas</t>
  </si>
  <si>
    <t>Quesos</t>
  </si>
  <si>
    <t>Rem-ASO</t>
  </si>
  <si>
    <t>Marco Nuevo</t>
  </si>
  <si>
    <t>RENTA  3-Jul-2020</t>
  </si>
  <si>
    <t>QUESOS POLLO</t>
  </si>
  <si>
    <t>NOMINA 28</t>
  </si>
  <si>
    <t>PAPAS</t>
  </si>
  <si>
    <t>sin sistema</t>
  </si>
  <si>
    <t>Licencia de facturacion</t>
  </si>
  <si>
    <t>Junio.,2020</t>
  </si>
  <si>
    <t>CAMARAS</t>
  </si>
  <si>
    <t>LONGANIZAS</t>
  </si>
  <si>
    <t>quesos,jamon-pollo-salsas-</t>
  </si>
  <si>
    <t>COMISIONES BANC</t>
  </si>
  <si>
    <t>SANITIZACION</t>
  </si>
  <si>
    <t>URSULA MATADAMAS</t>
  </si>
  <si>
    <t>AMAZON</t>
  </si>
  <si>
    <t>RENTAS JUNIO,JULIO</t>
  </si>
  <si>
    <t>Mandiles</t>
  </si>
  <si>
    <t xml:space="preserve"> I M S S </t>
  </si>
  <si>
    <t>CONTRAS RES</t>
  </si>
  <si>
    <t>RES f-132</t>
  </si>
  <si>
    <t>RES f--133</t>
  </si>
  <si>
    <t>RES f-141</t>
  </si>
  <si>
    <t>RES f-150</t>
  </si>
  <si>
    <t>RES f-159</t>
  </si>
  <si>
    <t>RES f-163</t>
  </si>
  <si>
    <t>RES f-144</t>
  </si>
  <si>
    <t>SUKARNE</t>
  </si>
  <si>
    <t>TELCEL  Celular</t>
  </si>
  <si>
    <t>AFORES</t>
  </si>
  <si>
    <t xml:space="preserve">RENTA </t>
  </si>
  <si>
    <t>NOMINA 29</t>
  </si>
  <si>
    <t>NOMINA 30</t>
  </si>
  <si>
    <t>NOMINA 31</t>
  </si>
  <si>
    <t>NOMINA 33</t>
  </si>
  <si>
    <t>RES  f</t>
  </si>
  <si>
    <t>Julio.,2020</t>
  </si>
  <si>
    <t>NOMINA 32</t>
  </si>
  <si>
    <t>POLLO-LONGANIZAS-QUESOS</t>
  </si>
  <si>
    <t>Longaniza-pollo-maiz</t>
  </si>
  <si>
    <t>NOMINA 34</t>
  </si>
  <si>
    <t>NOMINA 35</t>
  </si>
  <si>
    <t>SALCHICHA</t>
  </si>
  <si>
    <t>LONGANIZA-PAPA-POLLO</t>
  </si>
  <si>
    <t>QUESOS-CHORIZOS-CECINA-LONGANIZA</t>
  </si>
  <si>
    <t>PAPAS-POLLO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</si>
  <si>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</si>
  <si>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</si>
  <si>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</si>
  <si>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</si>
  <si>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</si>
  <si>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</si>
  <si>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</si>
  <si>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 xml:space="preserve"># </t>
  </si>
  <si>
    <t>POLLO-QUESOS VERDURA</t>
  </si>
  <si>
    <t>POLLO-ENCHILADA-CHORIZO-</t>
  </si>
  <si>
    <t>#  173035</t>
  </si>
  <si>
    <t># 173044</t>
  </si>
  <si>
    <t>#  173204</t>
  </si>
  <si>
    <t># 173205</t>
  </si>
  <si>
    <t>RES--f</t>
  </si>
  <si>
    <t>julio.,2020</t>
  </si>
  <si>
    <t>VIGILANTES</t>
  </si>
  <si>
    <t>NOMINA  31</t>
  </si>
  <si>
    <t>BALANCE      ABASTO 4 CARNES   JULIO        2 0 2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</si>
</sst>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1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165" fontId="2" fillId="0" borderId="5" xfId="0" applyNumberFormat="1" applyFont="1" applyBorder="1"/>
    <xf numFmtId="44" fontId="12" fillId="0" borderId="5" xfId="1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  <xf numFmtId="166" fontId="9" fillId="0" borderId="48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31" fillId="0" borderId="5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4" fontId="2" fillId="0" borderId="68" xfId="1" applyFont="1" applyFill="1" applyBorder="1"/>
    <xf numFmtId="166" fontId="19" fillId="16" borderId="0" xfId="0" applyNumberFormat="1" applyFont="1" applyFill="1"/>
    <xf numFmtId="44" fontId="40" fillId="0" borderId="0" xfId="1" applyFont="1" applyFill="1" applyBorder="1" applyAlignment="1">
      <alignment horizontal="right"/>
    </xf>
    <xf numFmtId="44" fontId="42" fillId="0" borderId="0" xfId="1" applyFont="1" applyFill="1" applyBorder="1" applyAlignment="1">
      <alignment horizontal="right"/>
    </xf>
    <xf numFmtId="44" fontId="40" fillId="0" borderId="0" xfId="1" applyFont="1" applyFill="1" applyAlignment="1">
      <alignment horizontal="right"/>
    </xf>
    <xf numFmtId="168" fontId="43" fillId="0" borderId="0" xfId="1" applyNumberFormat="1" applyFont="1" applyFill="1" applyBorder="1" applyAlignment="1">
      <alignment horizontal="right" vertical="center" wrapText="1"/>
    </xf>
    <xf numFmtId="44" fontId="39" fillId="10" borderId="0" xfId="1" applyFont="1" applyFill="1"/>
    <xf numFmtId="44" fontId="2" fillId="10" borderId="0" xfId="1" applyFont="1" applyFill="1"/>
    <xf numFmtId="166" fontId="44" fillId="0" borderId="0" xfId="0" applyNumberFormat="1" applyFont="1" applyFill="1"/>
    <xf numFmtId="44" fontId="2" fillId="17" borderId="0" xfId="1" applyFont="1" applyFill="1"/>
    <xf numFmtId="165" fontId="12" fillId="0" borderId="19" xfId="1" applyNumberFormat="1" applyFont="1" applyBorder="1" applyAlignment="1">
      <alignment horizontal="center"/>
    </xf>
    <xf numFmtId="44" fontId="12" fillId="0" borderId="25" xfId="1" applyFont="1" applyFill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9" fillId="0" borderId="19" xfId="1" applyNumberFormat="1" applyFont="1" applyBorder="1" applyAlignment="1">
      <alignment horizontal="left"/>
    </xf>
    <xf numFmtId="44" fontId="12" fillId="0" borderId="29" xfId="1" applyFont="1" applyFill="1" applyBorder="1" applyAlignment="1">
      <alignment horizontal="right"/>
    </xf>
    <xf numFmtId="0" fontId="39" fillId="0" borderId="4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44" fontId="12" fillId="0" borderId="16" xfId="1" applyFont="1" applyBorder="1" applyAlignment="1">
      <alignment horizontal="right"/>
    </xf>
    <xf numFmtId="166" fontId="12" fillId="0" borderId="5" xfId="0" applyNumberFormat="1" applyFont="1" applyFill="1" applyBorder="1"/>
    <xf numFmtId="44" fontId="12" fillId="0" borderId="0" xfId="1" applyFont="1" applyFill="1" applyBorder="1"/>
    <xf numFmtId="44" fontId="16" fillId="0" borderId="5" xfId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16" fontId="12" fillId="0" borderId="38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44" fontId="41" fillId="0" borderId="0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44" fontId="2" fillId="0" borderId="73" xfId="1" applyFont="1" applyFill="1" applyBorder="1" applyAlignment="1">
      <alignment horizontal="right"/>
    </xf>
    <xf numFmtId="44" fontId="2" fillId="0" borderId="73" xfId="1" applyFont="1" applyFill="1" applyBorder="1"/>
    <xf numFmtId="44" fontId="2" fillId="0" borderId="74" xfId="1" applyFont="1" applyFill="1" applyBorder="1"/>
    <xf numFmtId="0" fontId="40" fillId="0" borderId="45" xfId="0" applyFont="1" applyBorder="1" applyAlignment="1">
      <alignment horizontal="center"/>
    </xf>
    <xf numFmtId="44" fontId="42" fillId="0" borderId="45" xfId="1" applyFont="1" applyBorder="1"/>
    <xf numFmtId="168" fontId="2" fillId="0" borderId="26" xfId="1" applyNumberFormat="1" applyFont="1" applyFill="1" applyBorder="1" applyAlignment="1">
      <alignment horizontal="right"/>
    </xf>
    <xf numFmtId="166" fontId="2" fillId="0" borderId="73" xfId="1" applyNumberFormat="1" applyFont="1" applyFill="1" applyBorder="1" applyAlignment="1">
      <alignment horizontal="right"/>
    </xf>
    <xf numFmtId="44" fontId="9" fillId="0" borderId="13" xfId="1" applyFont="1" applyBorder="1"/>
    <xf numFmtId="165" fontId="8" fillId="3" borderId="75" xfId="0" applyNumberFormat="1" applyFont="1" applyFill="1" applyBorder="1" applyAlignment="1">
      <alignment horizontal="left"/>
    </xf>
    <xf numFmtId="166" fontId="16" fillId="0" borderId="75" xfId="0" applyNumberFormat="1" applyFont="1" applyFill="1" applyBorder="1" applyAlignment="1">
      <alignment horizontal="left"/>
    </xf>
    <xf numFmtId="166" fontId="17" fillId="0" borderId="75" xfId="0" applyNumberFormat="1" applyFont="1" applyFill="1" applyBorder="1"/>
    <xf numFmtId="166" fontId="19" fillId="0" borderId="75" xfId="0" applyNumberFormat="1" applyFont="1" applyFill="1" applyBorder="1"/>
    <xf numFmtId="166" fontId="16" fillId="0" borderId="75" xfId="0" applyNumberFormat="1" applyFont="1" applyFill="1" applyBorder="1"/>
    <xf numFmtId="166" fontId="12" fillId="0" borderId="75" xfId="0" applyNumberFormat="1" applyFont="1" applyFill="1" applyBorder="1"/>
    <xf numFmtId="166" fontId="44" fillId="0" borderId="75" xfId="0" applyNumberFormat="1" applyFont="1" applyFill="1" applyBorder="1"/>
    <xf numFmtId="166" fontId="17" fillId="0" borderId="76" xfId="0" applyNumberFormat="1" applyFont="1" applyFill="1" applyBorder="1"/>
    <xf numFmtId="166" fontId="16" fillId="0" borderId="76" xfId="0" applyNumberFormat="1" applyFont="1" applyFill="1" applyBorder="1"/>
    <xf numFmtId="166" fontId="19" fillId="0" borderId="76" xfId="0" applyNumberFormat="1" applyFont="1" applyFill="1" applyBorder="1"/>
    <xf numFmtId="166" fontId="12" fillId="0" borderId="76" xfId="0" applyNumberFormat="1" applyFont="1" applyFill="1" applyBorder="1"/>
    <xf numFmtId="164" fontId="2" fillId="0" borderId="78" xfId="0" applyNumberFormat="1" applyFont="1" applyFill="1" applyBorder="1" applyAlignment="1">
      <alignment horizontal="center"/>
    </xf>
    <xf numFmtId="44" fontId="2" fillId="0" borderId="79" xfId="1" applyFont="1" applyFill="1" applyBorder="1"/>
    <xf numFmtId="44" fontId="2" fillId="0" borderId="77" xfId="1" applyFont="1" applyFill="1" applyBorder="1"/>
    <xf numFmtId="44" fontId="2" fillId="0" borderId="80" xfId="1" applyFont="1" applyFill="1" applyBorder="1"/>
    <xf numFmtId="44" fontId="2" fillId="0" borderId="81" xfId="1" applyFont="1" applyBorder="1"/>
    <xf numFmtId="165" fontId="1" fillId="0" borderId="0" xfId="1" applyNumberFormat="1" applyFill="1"/>
    <xf numFmtId="165" fontId="1" fillId="14" borderId="0" xfId="1" applyNumberFormat="1" applyFill="1"/>
    <xf numFmtId="165" fontId="14" fillId="0" borderId="13" xfId="0" applyNumberFormat="1" applyFont="1" applyBorder="1"/>
    <xf numFmtId="165" fontId="1" fillId="0" borderId="0" xfId="1" applyNumberFormat="1"/>
    <xf numFmtId="165" fontId="2" fillId="0" borderId="0" xfId="1" applyNumberFormat="1" applyFont="1" applyFill="1"/>
    <xf numFmtId="165" fontId="9" fillId="0" borderId="0" xfId="1" applyNumberFormat="1" applyFont="1" applyFill="1"/>
    <xf numFmtId="165" fontId="13" fillId="0" borderId="0" xfId="1" applyNumberFormat="1" applyFont="1" applyFill="1" applyAlignment="1">
      <alignment horizontal="left"/>
    </xf>
    <xf numFmtId="165" fontId="19" fillId="0" borderId="0" xfId="1" applyNumberFormat="1" applyFont="1" applyFill="1" applyAlignment="1">
      <alignment horizontal="center"/>
    </xf>
    <xf numFmtId="165" fontId="2" fillId="0" borderId="0" xfId="1" applyNumberFormat="1" applyFont="1" applyBorder="1"/>
    <xf numFmtId="165" fontId="9" fillId="0" borderId="48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39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0" fontId="2" fillId="0" borderId="27" xfId="0" applyFont="1" applyBorder="1" applyAlignment="1">
      <alignment horizontal="center"/>
    </xf>
    <xf numFmtId="44" fontId="2" fillId="0" borderId="27" xfId="1" applyFont="1" applyBorder="1"/>
    <xf numFmtId="44" fontId="12" fillId="0" borderId="27" xfId="1" applyFont="1" applyBorder="1"/>
    <xf numFmtId="0" fontId="12" fillId="0" borderId="27" xfId="0" applyFont="1" applyBorder="1"/>
    <xf numFmtId="0" fontId="2" fillId="0" borderId="5" xfId="0" applyFont="1" applyFill="1" applyBorder="1"/>
    <xf numFmtId="166" fontId="2" fillId="0" borderId="25" xfId="0" applyNumberFormat="1" applyFont="1" applyFill="1" applyBorder="1"/>
    <xf numFmtId="44" fontId="2" fillId="0" borderId="41" xfId="1" applyFont="1" applyFill="1" applyBorder="1"/>
    <xf numFmtId="166" fontId="19" fillId="18" borderId="76" xfId="0" applyNumberFormat="1" applyFont="1" applyFill="1" applyBorder="1"/>
    <xf numFmtId="166" fontId="12" fillId="18" borderId="76" xfId="0" applyNumberFormat="1" applyFont="1" applyFill="1" applyBorder="1"/>
    <xf numFmtId="164" fontId="2" fillId="18" borderId="78" xfId="0" applyNumberFormat="1" applyFont="1" applyFill="1" applyBorder="1" applyAlignment="1">
      <alignment horizontal="center"/>
    </xf>
    <xf numFmtId="44" fontId="2" fillId="18" borderId="77" xfId="1" applyFont="1" applyFill="1" applyBorder="1"/>
    <xf numFmtId="44" fontId="2" fillId="18" borderId="80" xfId="1" applyFont="1" applyFill="1" applyBorder="1"/>
    <xf numFmtId="44" fontId="2" fillId="18" borderId="81" xfId="1" applyFont="1" applyFill="1" applyBorder="1"/>
    <xf numFmtId="44" fontId="2" fillId="18" borderId="25" xfId="1" applyFont="1" applyFill="1" applyBorder="1" applyAlignment="1">
      <alignment horizontal="right"/>
    </xf>
    <xf numFmtId="15" fontId="2" fillId="3" borderId="17" xfId="0" applyNumberFormat="1" applyFont="1" applyFill="1" applyBorder="1"/>
    <xf numFmtId="44" fontId="2" fillId="18" borderId="21" xfId="1" applyFont="1" applyFill="1" applyBorder="1"/>
    <xf numFmtId="44" fontId="2" fillId="18" borderId="22" xfId="1" applyFont="1" applyFill="1" applyBorder="1"/>
    <xf numFmtId="44" fontId="2" fillId="18" borderId="79" xfId="1" applyFont="1" applyFill="1" applyBorder="1"/>
    <xf numFmtId="44" fontId="2" fillId="18" borderId="18" xfId="1" applyFont="1" applyFill="1" applyBorder="1"/>
    <xf numFmtId="166" fontId="12" fillId="0" borderId="0" xfId="0" applyNumberFormat="1" applyFont="1" applyFill="1" applyBorder="1"/>
    <xf numFmtId="15" fontId="2" fillId="0" borderId="0" xfId="0" applyNumberFormat="1" applyFont="1" applyFill="1" applyBorder="1"/>
    <xf numFmtId="0" fontId="19" fillId="0" borderId="28" xfId="0" applyFont="1" applyFill="1" applyBorder="1" applyAlignment="1">
      <alignment horizontal="left"/>
    </xf>
    <xf numFmtId="44" fontId="2" fillId="0" borderId="82" xfId="1" applyFont="1" applyFill="1" applyBorder="1"/>
    <xf numFmtId="15" fontId="2" fillId="0" borderId="84" xfId="0" applyNumberFormat="1" applyFont="1" applyFill="1" applyBorder="1"/>
    <xf numFmtId="15" fontId="2" fillId="0" borderId="34" xfId="0" applyNumberFormat="1" applyFont="1" applyFill="1" applyBorder="1"/>
    <xf numFmtId="0" fontId="0" fillId="0" borderId="86" xfId="0" applyFill="1" applyBorder="1"/>
    <xf numFmtId="0" fontId="0" fillId="0" borderId="85" xfId="0" applyBorder="1"/>
    <xf numFmtId="165" fontId="13" fillId="0" borderId="63" xfId="1" applyNumberFormat="1" applyFont="1" applyFill="1" applyBorder="1" applyAlignment="1">
      <alignment horizontal="left"/>
    </xf>
    <xf numFmtId="165" fontId="13" fillId="0" borderId="4" xfId="0" applyNumberFormat="1" applyFont="1" applyFill="1" applyBorder="1" applyAlignment="1">
      <alignment horizontal="left"/>
    </xf>
    <xf numFmtId="165" fontId="19" fillId="17" borderId="0" xfId="1" applyNumberFormat="1" applyFont="1" applyFill="1"/>
    <xf numFmtId="165" fontId="19" fillId="17" borderId="5" xfId="1" applyNumberFormat="1" applyFont="1" applyFill="1" applyBorder="1" applyAlignment="1">
      <alignment horizontal="left"/>
    </xf>
    <xf numFmtId="44" fontId="2" fillId="17" borderId="0" xfId="1" applyFont="1" applyFill="1" applyBorder="1"/>
    <xf numFmtId="44" fontId="2" fillId="0" borderId="33" xfId="1" applyFont="1" applyBorder="1"/>
    <xf numFmtId="166" fontId="12" fillId="0" borderId="83" xfId="0" applyNumberFormat="1" applyFont="1" applyBorder="1"/>
    <xf numFmtId="166" fontId="12" fillId="0" borderId="0" xfId="0" applyNumberFormat="1" applyFont="1" applyBorder="1"/>
    <xf numFmtId="44" fontId="2" fillId="3" borderId="0" xfId="1" applyFont="1" applyFill="1" applyBorder="1"/>
    <xf numFmtId="0" fontId="38" fillId="0" borderId="41" xfId="0" applyFont="1" applyFill="1" applyBorder="1" applyAlignment="1">
      <alignment vertical="center" wrapText="1"/>
    </xf>
    <xf numFmtId="44" fontId="2" fillId="18" borderId="24" xfId="1" applyFont="1" applyFill="1" applyBorder="1"/>
    <xf numFmtId="165" fontId="2" fillId="18" borderId="0" xfId="1" applyNumberFormat="1" applyFont="1" applyFill="1" applyAlignment="1">
      <alignment horizontal="center"/>
    </xf>
    <xf numFmtId="0" fontId="8" fillId="0" borderId="0" xfId="0" applyFont="1" applyFill="1"/>
    <xf numFmtId="0" fontId="2" fillId="5" borderId="0" xfId="0" applyFont="1" applyFill="1" applyAlignment="1">
      <alignment horizontal="center"/>
    </xf>
    <xf numFmtId="15" fontId="2" fillId="18" borderId="17" xfId="0" applyNumberFormat="1" applyFont="1" applyFill="1" applyBorder="1"/>
    <xf numFmtId="164" fontId="2" fillId="3" borderId="78" xfId="0" applyNumberFormat="1" applyFont="1" applyFill="1" applyBorder="1" applyAlignment="1">
      <alignment horizontal="center"/>
    </xf>
    <xf numFmtId="164" fontId="2" fillId="11" borderId="78" xfId="0" applyNumberFormat="1" applyFont="1" applyFill="1" applyBorder="1" applyAlignment="1">
      <alignment horizontal="center"/>
    </xf>
    <xf numFmtId="0" fontId="0" fillId="0" borderId="0" xfId="0" applyBorder="1"/>
    <xf numFmtId="165" fontId="13" fillId="0" borderId="0" xfId="1" applyNumberFormat="1" applyFont="1" applyFill="1" applyBorder="1" applyAlignment="1">
      <alignment horizontal="left"/>
    </xf>
    <xf numFmtId="164" fontId="2" fillId="0" borderId="88" xfId="0" applyNumberFormat="1" applyFont="1" applyFill="1" applyBorder="1" applyAlignment="1">
      <alignment horizontal="center"/>
    </xf>
    <xf numFmtId="164" fontId="12" fillId="0" borderId="89" xfId="0" applyNumberFormat="1" applyFont="1" applyBorder="1" applyAlignment="1">
      <alignment horizontal="center"/>
    </xf>
    <xf numFmtId="44" fontId="9" fillId="0" borderId="91" xfId="1" applyFont="1" applyBorder="1"/>
    <xf numFmtId="44" fontId="2" fillId="0" borderId="92" xfId="1" applyFont="1" applyFill="1" applyBorder="1"/>
    <xf numFmtId="44" fontId="2" fillId="0" borderId="93" xfId="1" applyFont="1" applyFill="1" applyBorder="1"/>
    <xf numFmtId="44" fontId="2" fillId="0" borderId="94" xfId="1" applyFont="1" applyFill="1" applyBorder="1"/>
    <xf numFmtId="164" fontId="2" fillId="10" borderId="78" xfId="0" applyNumberFormat="1" applyFont="1" applyFill="1" applyBorder="1" applyAlignment="1">
      <alignment horizontal="center"/>
    </xf>
    <xf numFmtId="164" fontId="2" fillId="0" borderId="92" xfId="0" applyNumberFormat="1" applyFont="1" applyFill="1" applyBorder="1" applyAlignment="1">
      <alignment horizontal="center"/>
    </xf>
    <xf numFmtId="44" fontId="2" fillId="3" borderId="94" xfId="1" applyFont="1" applyFill="1" applyBorder="1"/>
    <xf numFmtId="44" fontId="15" fillId="0" borderId="0" xfId="1" applyFont="1" applyBorder="1"/>
    <xf numFmtId="164" fontId="2" fillId="0" borderId="0" xfId="0" applyNumberFormat="1" applyFont="1" applyBorder="1" applyAlignment="1">
      <alignment horizontal="center"/>
    </xf>
    <xf numFmtId="0" fontId="19" fillId="3" borderId="5" xfId="0" applyFont="1" applyFill="1" applyBorder="1" applyAlignment="1">
      <alignment horizontal="left"/>
    </xf>
    <xf numFmtId="44" fontId="12" fillId="0" borderId="0" xfId="1" applyFont="1" applyFill="1" applyBorder="1" applyAlignment="1">
      <alignment horizontal="right"/>
    </xf>
    <xf numFmtId="44" fontId="0" fillId="0" borderId="0" xfId="0" applyNumberFormat="1" applyBorder="1"/>
    <xf numFmtId="0" fontId="19" fillId="0" borderId="4" xfId="0" applyFont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44" fontId="2" fillId="0" borderId="38" xfId="1" applyFont="1" applyFill="1" applyBorder="1"/>
    <xf numFmtId="16" fontId="13" fillId="0" borderId="0" xfId="0" applyNumberFormat="1" applyFont="1"/>
    <xf numFmtId="44" fontId="2" fillId="19" borderId="94" xfId="1" applyFont="1" applyFill="1" applyBorder="1"/>
    <xf numFmtId="44" fontId="2" fillId="19" borderId="92" xfId="1" applyFont="1" applyFill="1" applyBorder="1"/>
    <xf numFmtId="15" fontId="16" fillId="0" borderId="0" xfId="0" applyNumberFormat="1" applyFont="1" applyFill="1" applyBorder="1" applyAlignment="1">
      <alignment horizontal="center" wrapText="1"/>
    </xf>
    <xf numFmtId="44" fontId="2" fillId="0" borderId="0" xfId="0" applyNumberFormat="1" applyFont="1" applyFill="1" applyBorder="1"/>
    <xf numFmtId="168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44" fontId="2" fillId="3" borderId="18" xfId="1" applyFont="1" applyFill="1" applyBorder="1"/>
    <xf numFmtId="44" fontId="2" fillId="3" borderId="79" xfId="1" applyFont="1" applyFill="1" applyBorder="1"/>
    <xf numFmtId="44" fontId="2" fillId="3" borderId="24" xfId="1" applyFont="1" applyFill="1" applyBorder="1"/>
    <xf numFmtId="164" fontId="2" fillId="0" borderId="0" xfId="0" applyNumberFormat="1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44" fontId="2" fillId="0" borderId="33" xfId="1" applyFont="1" applyFill="1" applyBorder="1"/>
    <xf numFmtId="0" fontId="0" fillId="0" borderId="85" xfId="0" applyFill="1" applyBorder="1"/>
    <xf numFmtId="165" fontId="19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165" fontId="12" fillId="0" borderId="7" xfId="0" applyNumberFormat="1" applyFont="1" applyFill="1" applyBorder="1" applyAlignment="1">
      <alignment horizontal="center"/>
    </xf>
    <xf numFmtId="44" fontId="12" fillId="0" borderId="16" xfId="1" applyFont="1" applyFill="1" applyBorder="1" applyAlignment="1">
      <alignment horizontal="right"/>
    </xf>
    <xf numFmtId="165" fontId="19" fillId="0" borderId="19" xfId="1" applyNumberFormat="1" applyFont="1" applyFill="1" applyBorder="1" applyAlignment="1">
      <alignment horizontal="left"/>
    </xf>
    <xf numFmtId="16" fontId="12" fillId="0" borderId="38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44" fontId="15" fillId="0" borderId="0" xfId="1" applyFont="1" applyFill="1" applyBorder="1"/>
    <xf numFmtId="15" fontId="16" fillId="0" borderId="0" xfId="0" applyNumberFormat="1" applyFont="1" applyFill="1" applyBorder="1" applyAlignment="1">
      <alignment wrapText="1"/>
    </xf>
    <xf numFmtId="44" fontId="12" fillId="0" borderId="5" xfId="1" applyFont="1" applyFill="1" applyBorder="1" applyAlignment="1">
      <alignment horizontal="left" vertical="center"/>
    </xf>
    <xf numFmtId="165" fontId="2" fillId="0" borderId="5" xfId="1" applyNumberFormat="1" applyFont="1" applyFill="1" applyBorder="1" applyAlignment="1">
      <alignment horizontal="left"/>
    </xf>
    <xf numFmtId="164" fontId="2" fillId="18" borderId="90" xfId="0" applyNumberFormat="1" applyFont="1" applyFill="1" applyBorder="1" applyAlignment="1">
      <alignment horizontal="center"/>
    </xf>
    <xf numFmtId="44" fontId="2" fillId="18" borderId="92" xfId="1" applyFont="1" applyFill="1" applyBorder="1"/>
    <xf numFmtId="166" fontId="12" fillId="18" borderId="0" xfId="0" applyNumberFormat="1" applyFont="1" applyFill="1" applyBorder="1"/>
    <xf numFmtId="15" fontId="2" fillId="18" borderId="87" xfId="0" applyNumberFormat="1" applyFont="1" applyFill="1" applyBorder="1"/>
    <xf numFmtId="44" fontId="2" fillId="18" borderId="0" xfId="1" applyFont="1" applyFill="1" applyBorder="1"/>
    <xf numFmtId="15" fontId="0" fillId="0" borderId="0" xfId="0" applyNumberFormat="1"/>
    <xf numFmtId="164" fontId="8" fillId="0" borderId="0" xfId="0" applyNumberFormat="1" applyFont="1"/>
    <xf numFmtId="164" fontId="2" fillId="0" borderId="0" xfId="0" applyNumberFormat="1" applyFont="1"/>
    <xf numFmtId="44" fontId="40" fillId="0" borderId="0" xfId="1" applyFont="1" applyFill="1" applyBorder="1" applyAlignment="1">
      <alignment horizontal="left"/>
    </xf>
    <xf numFmtId="44" fontId="12" fillId="3" borderId="21" xfId="1" applyFont="1" applyFill="1" applyBorder="1"/>
    <xf numFmtId="44" fontId="33" fillId="3" borderId="50" xfId="1" applyFont="1" applyFill="1" applyBorder="1"/>
    <xf numFmtId="166" fontId="9" fillId="0" borderId="76" xfId="0" applyNumberFormat="1" applyFont="1" applyFill="1" applyBorder="1"/>
    <xf numFmtId="166" fontId="9" fillId="0" borderId="83" xfId="0" applyNumberFormat="1" applyFont="1" applyFill="1" applyBorder="1"/>
    <xf numFmtId="44" fontId="2" fillId="0" borderId="65" xfId="1" applyFont="1" applyFill="1" applyBorder="1"/>
    <xf numFmtId="44" fontId="5" fillId="0" borderId="0" xfId="0" applyNumberFormat="1" applyFont="1"/>
    <xf numFmtId="166" fontId="46" fillId="0" borderId="76" xfId="0" applyNumberFormat="1" applyFont="1" applyFill="1" applyBorder="1"/>
    <xf numFmtId="164" fontId="2" fillId="3" borderId="0" xfId="0" applyNumberFormat="1" applyFont="1" applyFill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45" fillId="13" borderId="30" xfId="0" applyFont="1" applyFill="1" applyBorder="1" applyAlignment="1">
      <alignment horizontal="center" vertical="center" wrapText="1"/>
    </xf>
    <xf numFmtId="44" fontId="5" fillId="0" borderId="7" xfId="1" applyFont="1" applyFill="1" applyBorder="1" applyAlignment="1">
      <alignment vertical="center" wrapText="1"/>
    </xf>
    <xf numFmtId="44" fontId="5" fillId="0" borderId="47" xfId="1" applyFont="1" applyFill="1" applyBorder="1" applyAlignment="1">
      <alignment vertic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  <color rgb="FF66FFFF"/>
      <color rgb="FFFFCC99"/>
      <color rgb="FF99CCFF"/>
      <color rgb="FFFF9933"/>
      <color rgb="FF990099"/>
      <color rgb="FFFF99FF"/>
      <color rgb="FF66FFCC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C108338-9351-44A1-B64E-AA46A3B9BB6A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249BADA-3158-4C6F-B880-55377AE0C2A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DE08E1-7568-4731-ACE1-418A51CF7812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385D16A-D35A-49DD-8B50-381F01C08AE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4A80AE4-5262-4455-88FE-C3C2A2D7DFCB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9A81256-14B1-4692-A0FB-CFCF33E7AD20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C78645-AC0E-49F1-A15D-22A6DC94C08C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D7B180D-1F77-4B40-A21D-FB52B8F4EDE9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3159D79-19E0-4F9D-89A8-C54DC8E7313F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5035AEA-FF87-43EC-81E8-22822231A0D3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CCB900D-E570-47F9-B78A-798FA6768596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50850F-F1E4-47BB-AF61-2E029B09EB85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5C88857B-6E53-4A6F-AAC7-203FDBCCB9FE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D67E6F6-1845-4AAB-AC43-885D5CB8F10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B502EB9-A484-41B7-9EFB-04179B2C95EF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8FCB4C-7343-4CC0-9844-6C3C4BA26E8A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29D11A4-E962-4779-BED1-22B548194B53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1E057BB-65D2-43FE-BA4D-1191CA8ABD06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2B8581F-A382-4DCF-9EF6-F0CF9DB5699E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9485F9D-F0D0-4E79-8155-BAE6EFE1B52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AA607C-6525-4545-B022-9995274C691E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334619-6684-4039-B00E-0909D7DBC110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75263B5-7FB9-4C0C-8F0D-9EDFE811EFF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51C7660-6400-4CC9-945E-47ED5C7D4EFD}"/>
            </a:ext>
          </a:extLst>
        </xdr:cNvPr>
        <xdr:cNvSpPr/>
      </xdr:nvSpPr>
      <xdr:spPr>
        <a:xfrm rot="5400000">
          <a:off x="10944223" y="93249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17F6BA1-3936-4533-8BBB-D5823F8AAD6F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7E4EB25-84C2-45AC-8946-E5DFF652473B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295D869-13F3-4A48-B5B0-0A8434C5CEBA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E0607B-D060-4308-B9D8-3283825385EA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9B193F5-454B-4560-9D24-F2312ECBEA81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146B166-838F-44DF-87F5-3CB6C534EB82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43EB802-FBE2-4681-BE00-320090051CC9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8CA14EA-3F0B-4176-B27A-174FDC6A8A25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16A7FB80-EEAD-45D6-AA1C-4F5E956983E0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38B2876-5B85-41F9-BDE7-4BAC06E9D078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2D3B927-4CDB-4673-A799-0C74D83F970F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FE208C9-F33B-4778-9A6A-DE164D4CE6B8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F19" workbookViewId="0">
      <selection activeCell="P44" sqref="P44:Q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448" t="s">
        <v>42</v>
      </c>
      <c r="D1" s="448"/>
      <c r="E1" s="448"/>
      <c r="F1" s="448"/>
      <c r="G1" s="448"/>
      <c r="H1" s="448"/>
      <c r="I1" s="448"/>
      <c r="J1" s="448"/>
      <c r="K1" s="448"/>
      <c r="L1" s="2"/>
      <c r="M1" s="3"/>
      <c r="AE1" s="462" t="s">
        <v>45</v>
      </c>
      <c r="AF1" s="463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470" t="s">
        <v>4</v>
      </c>
      <c r="W2" s="471"/>
      <c r="Z2" s="467" t="s">
        <v>43</v>
      </c>
      <c r="AA2" s="468"/>
      <c r="AB2" s="469"/>
      <c r="AD2" s="193" t="s">
        <v>44</v>
      </c>
      <c r="AE2" s="464"/>
      <c r="AF2" s="465"/>
    </row>
    <row r="3" spans="1:32" ht="14.25" customHeight="1" thickBot="1" x14ac:dyDescent="0.35">
      <c r="B3" s="449" t="s">
        <v>1</v>
      </c>
      <c r="C3" s="450"/>
      <c r="D3" s="15"/>
      <c r="I3" s="17" t="s">
        <v>2</v>
      </c>
      <c r="J3" s="12"/>
      <c r="K3" s="18" t="s">
        <v>3</v>
      </c>
      <c r="L3" s="18"/>
      <c r="V3" s="472"/>
      <c r="W3" s="473"/>
      <c r="X3" s="195" t="s">
        <v>37</v>
      </c>
      <c r="Z3" s="19" t="s">
        <v>49</v>
      </c>
      <c r="AA3" s="200">
        <v>43840</v>
      </c>
      <c r="AB3" s="21">
        <v>2000</v>
      </c>
      <c r="AD3" s="89"/>
      <c r="AE3" s="194"/>
      <c r="AF3" s="75">
        <v>0</v>
      </c>
    </row>
    <row r="4" spans="1:32" ht="20.25" thickTop="1" thickBot="1" x14ac:dyDescent="0.35">
      <c r="A4" s="22" t="s">
        <v>5</v>
      </c>
      <c r="B4" s="23"/>
      <c r="C4" s="216">
        <v>273391.58</v>
      </c>
      <c r="D4" s="215">
        <v>43837</v>
      </c>
      <c r="E4" s="451" t="s">
        <v>6</v>
      </c>
      <c r="F4" s="452"/>
      <c r="H4" s="453" t="s">
        <v>7</v>
      </c>
      <c r="I4" s="45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199" t="s">
        <v>11</v>
      </c>
      <c r="W4" s="196">
        <v>5010</v>
      </c>
      <c r="X4" s="197"/>
      <c r="Z4" s="19" t="s">
        <v>50</v>
      </c>
      <c r="AA4" s="200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198">
        <f>P5-F5</f>
        <v>23039.520000000004</v>
      </c>
      <c r="T5" s="37"/>
      <c r="U5" s="29">
        <v>43840</v>
      </c>
      <c r="V5" s="38" t="s">
        <v>10</v>
      </c>
      <c r="W5" s="196">
        <v>5010</v>
      </c>
      <c r="X5" s="197"/>
      <c r="Z5" s="19" t="s">
        <v>51</v>
      </c>
      <c r="AA5" s="200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6">
        <v>5010</v>
      </c>
      <c r="X6" s="197"/>
      <c r="Z6" s="19" t="s">
        <v>52</v>
      </c>
      <c r="AA6" s="200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198">
        <f t="shared" si="0"/>
        <v>27558.869999999995</v>
      </c>
      <c r="S7" s="5"/>
      <c r="T7" s="4"/>
      <c r="U7" s="48">
        <v>43847</v>
      </c>
      <c r="V7" s="38" t="s">
        <v>10</v>
      </c>
      <c r="W7" s="196">
        <v>5010</v>
      </c>
      <c r="X7" s="197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3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1">
        <f t="shared" si="0"/>
        <v>11070.319999999978</v>
      </c>
      <c r="S8" s="5"/>
      <c r="T8" s="4"/>
      <c r="U8" s="29">
        <v>43854</v>
      </c>
      <c r="V8" s="44" t="s">
        <v>11</v>
      </c>
      <c r="W8" s="196">
        <v>5010</v>
      </c>
      <c r="X8" s="197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6">
        <v>5010</v>
      </c>
      <c r="X9" s="197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198">
        <f t="shared" si="0"/>
        <v>2784.179999999993</v>
      </c>
      <c r="T10" s="37"/>
      <c r="U10" s="29">
        <v>43861</v>
      </c>
      <c r="V10" s="44" t="s">
        <v>11</v>
      </c>
      <c r="W10" s="196">
        <v>5010</v>
      </c>
      <c r="X10" s="197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6">
        <v>5010</v>
      </c>
      <c r="X11" s="197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6">
        <v>0</v>
      </c>
      <c r="X12" s="197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6">
        <v>0</v>
      </c>
      <c r="X13" s="197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198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6">
        <v>0</v>
      </c>
      <c r="X14" s="197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1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6">
        <v>0</v>
      </c>
      <c r="X15" s="197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87">
        <v>0</v>
      </c>
      <c r="T17" s="188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89"/>
      <c r="W19" s="190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2" t="s">
        <v>74</v>
      </c>
      <c r="L20" s="196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466"/>
      <c r="W20" s="466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1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1">
        <f>P22-F22</f>
        <v>10215.700000000012</v>
      </c>
      <c r="T22" s="8"/>
      <c r="U22" s="29"/>
      <c r="V22" s="191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1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1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1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2"/>
      <c r="W26" s="192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1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5"/>
      <c r="C35" s="206"/>
      <c r="D35" s="207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08">
        <v>43852</v>
      </c>
      <c r="C36" s="227">
        <v>13264.76</v>
      </c>
      <c r="D36" s="209" t="s">
        <v>80</v>
      </c>
      <c r="E36" s="98"/>
      <c r="F36" s="36"/>
      <c r="H36" s="153"/>
      <c r="I36" s="99"/>
      <c r="J36" s="217" t="s">
        <v>131</v>
      </c>
      <c r="K36" s="218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6">
        <v>37192.32</v>
      </c>
      <c r="D37" s="210" t="s">
        <v>80</v>
      </c>
      <c r="E37" s="98"/>
      <c r="F37" s="36"/>
      <c r="H37" s="153"/>
      <c r="I37" s="36"/>
      <c r="J37" s="217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6">
        <v>10018</v>
      </c>
      <c r="D38" s="210" t="s">
        <v>80</v>
      </c>
      <c r="E38" s="98"/>
      <c r="F38" s="36"/>
      <c r="H38" s="153"/>
      <c r="I38" s="36"/>
      <c r="J38" s="217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6">
        <v>11866</v>
      </c>
      <c r="D39" s="210" t="s">
        <v>80</v>
      </c>
      <c r="E39" s="98"/>
      <c r="F39" s="36"/>
      <c r="H39" s="153"/>
      <c r="I39" s="36"/>
      <c r="J39" s="217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6">
        <v>10826.96</v>
      </c>
      <c r="D40" s="210" t="s">
        <v>80</v>
      </c>
      <c r="E40" s="98"/>
      <c r="F40" s="36"/>
      <c r="H40" s="153"/>
      <c r="I40" s="36"/>
      <c r="J40" s="217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6">
        <v>15199.8</v>
      </c>
      <c r="D41" s="210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6"/>
      <c r="D42" s="210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1"/>
      <c r="C43" s="212"/>
      <c r="D43" s="213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4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SUM(P5:P43)</f>
        <v>3006668.77</v>
      </c>
      <c r="Q44" s="114">
        <f>SUM(Q5:Q43)</f>
        <v>116157.46999999999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455">
        <f>N44+M44</f>
        <v>2693282.98</v>
      </c>
      <c r="N46" s="456"/>
      <c r="O46" s="124"/>
      <c r="P46" s="124"/>
      <c r="U46" s="8"/>
    </row>
    <row r="47" spans="1:27" ht="15.75" x14ac:dyDescent="0.25">
      <c r="A47" s="59"/>
      <c r="B47" s="125"/>
      <c r="C47" s="4"/>
      <c r="H47" s="457" t="s">
        <v>18</v>
      </c>
      <c r="I47" s="458"/>
      <c r="J47" s="126"/>
      <c r="K47" s="459">
        <f>I45+L45</f>
        <v>217774.8</v>
      </c>
      <c r="L47" s="460"/>
      <c r="P47" s="127"/>
      <c r="S47" s="5"/>
      <c r="T47" s="128"/>
      <c r="U47" s="8"/>
    </row>
    <row r="48" spans="1:27" ht="15.75" x14ac:dyDescent="0.25">
      <c r="D48" s="461" t="s">
        <v>19</v>
      </c>
      <c r="E48" s="461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443" t="s">
        <v>20</v>
      </c>
      <c r="E49" s="443"/>
      <c r="F49" s="131">
        <v>-2518468.4500000002</v>
      </c>
      <c r="I49" s="444" t="s">
        <v>21</v>
      </c>
      <c r="J49" s="445"/>
      <c r="K49" s="446">
        <f>F54</f>
        <v>333404.95999999996</v>
      </c>
      <c r="L49" s="447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474">
        <f>-C4</f>
        <v>-273391.58</v>
      </c>
      <c r="L51" s="475"/>
      <c r="M51" s="214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476" t="s">
        <v>26</v>
      </c>
      <c r="E53" s="477"/>
      <c r="F53" s="142">
        <v>355209.27</v>
      </c>
      <c r="I53" s="478" t="s">
        <v>129</v>
      </c>
      <c r="J53" s="479"/>
      <c r="K53" s="480">
        <f>K49+K51</f>
        <v>60013.379999999946</v>
      </c>
      <c r="L53" s="481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482"/>
      <c r="E56" s="482"/>
      <c r="M56" s="147"/>
      <c r="N56" s="59"/>
      <c r="O56" s="59"/>
      <c r="P56" s="128"/>
      <c r="Q56" s="186"/>
      <c r="R56" s="186"/>
    </row>
    <row r="57" spans="2:21" x14ac:dyDescent="0.25">
      <c r="B57"/>
      <c r="C57"/>
      <c r="M57" s="147"/>
      <c r="N57" s="59"/>
      <c r="O57" s="59"/>
      <c r="P57" s="59"/>
      <c r="Q57" s="186"/>
      <c r="R57" s="186"/>
    </row>
    <row r="58" spans="2:21" x14ac:dyDescent="0.25">
      <c r="B58"/>
      <c r="C58"/>
      <c r="N58" s="59"/>
      <c r="O58" s="59"/>
      <c r="P58" s="59"/>
      <c r="Q58" s="186"/>
      <c r="R58" s="186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6"/>
      <c r="R59" s="186"/>
    </row>
    <row r="60" spans="2:21" x14ac:dyDescent="0.25">
      <c r="B60"/>
      <c r="C60"/>
      <c r="F60" s="148"/>
      <c r="N60" s="59"/>
      <c r="O60" s="59"/>
      <c r="P60" s="59"/>
      <c r="Q60" s="186"/>
      <c r="R60" s="186"/>
    </row>
    <row r="61" spans="2:21" x14ac:dyDescent="0.25">
      <c r="F61" s="36"/>
      <c r="M61" s="4"/>
      <c r="N61" s="59"/>
      <c r="O61" s="59"/>
      <c r="P61" s="59"/>
      <c r="Q61" s="186"/>
      <c r="R61" s="186"/>
    </row>
    <row r="62" spans="2:21" x14ac:dyDescent="0.25">
      <c r="F62" s="36"/>
      <c r="M62" s="4"/>
      <c r="N62" s="59"/>
      <c r="O62" s="59"/>
      <c r="P62" s="59"/>
      <c r="Q62" s="186"/>
      <c r="R62" s="186"/>
    </row>
    <row r="63" spans="2:21" x14ac:dyDescent="0.25">
      <c r="F63" s="36"/>
      <c r="M63" s="4"/>
      <c r="N63" s="59"/>
      <c r="O63" s="59"/>
      <c r="P63" s="59"/>
      <c r="Q63" s="186"/>
      <c r="R63" s="186"/>
    </row>
    <row r="64" spans="2:21" x14ac:dyDescent="0.25">
      <c r="F64" s="36"/>
      <c r="M64" s="4"/>
      <c r="N64" s="59"/>
      <c r="O64" s="59"/>
      <c r="P64" s="59"/>
      <c r="Q64" s="186"/>
      <c r="R64" s="186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AE1:AF2"/>
    <mergeCell ref="V20:W20"/>
    <mergeCell ref="Z2:AB2"/>
    <mergeCell ref="V2:W3"/>
    <mergeCell ref="D49:E49"/>
    <mergeCell ref="I49:J49"/>
    <mergeCell ref="K49:L49"/>
    <mergeCell ref="C1:K1"/>
    <mergeCell ref="B3:C3"/>
    <mergeCell ref="E4:F4"/>
    <mergeCell ref="H4:I4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5937-C61B-488F-A6DD-D38E3DB1A739}">
  <sheetPr>
    <tabColor rgb="FF7030A0"/>
  </sheetPr>
  <dimension ref="A1:F87"/>
  <sheetViews>
    <sheetView topLeftCell="A28" workbookViewId="0">
      <selection activeCell="K49" sqref="K49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43958</v>
      </c>
      <c r="B3" s="272">
        <v>14095</v>
      </c>
      <c r="C3" s="176">
        <v>79581.399999999994</v>
      </c>
      <c r="D3" s="270"/>
      <c r="E3" s="5"/>
      <c r="F3" s="173">
        <f>C3-E3</f>
        <v>79581.399999999994</v>
      </c>
    </row>
    <row r="4" spans="1:6" x14ac:dyDescent="0.25">
      <c r="A4" s="271">
        <v>43959</v>
      </c>
      <c r="B4" s="272">
        <v>14233</v>
      </c>
      <c r="C4" s="176">
        <v>3666</v>
      </c>
      <c r="D4" s="273">
        <v>43959</v>
      </c>
      <c r="E4" s="176">
        <v>83247.399999999994</v>
      </c>
      <c r="F4" s="173">
        <f>F3+C4-E4</f>
        <v>0</v>
      </c>
    </row>
    <row r="5" spans="1:6" x14ac:dyDescent="0.25">
      <c r="A5" s="273">
        <v>43960</v>
      </c>
      <c r="B5" s="272">
        <v>14387</v>
      </c>
      <c r="C5" s="176">
        <v>133106</v>
      </c>
      <c r="D5" s="273"/>
      <c r="E5" s="176"/>
      <c r="F5" s="173">
        <f t="shared" ref="F5:F50" si="0">F4+C5-E5</f>
        <v>133106</v>
      </c>
    </row>
    <row r="6" spans="1:6" x14ac:dyDescent="0.25">
      <c r="A6" s="273">
        <v>43960</v>
      </c>
      <c r="B6" s="272">
        <v>14388</v>
      </c>
      <c r="C6" s="176">
        <v>79782.67</v>
      </c>
      <c r="D6" s="273"/>
      <c r="E6" s="176"/>
      <c r="F6" s="173">
        <f t="shared" si="0"/>
        <v>212888.66999999998</v>
      </c>
    </row>
    <row r="7" spans="1:6" x14ac:dyDescent="0.25">
      <c r="A7" s="273">
        <v>43960</v>
      </c>
      <c r="B7" s="272">
        <v>14390</v>
      </c>
      <c r="C7" s="176">
        <v>28090.400000000001</v>
      </c>
      <c r="D7" s="273"/>
      <c r="E7" s="176"/>
      <c r="F7" s="173">
        <f t="shared" si="0"/>
        <v>240979.06999999998</v>
      </c>
    </row>
    <row r="8" spans="1:6" x14ac:dyDescent="0.25">
      <c r="A8" s="273">
        <v>43961</v>
      </c>
      <c r="B8" s="272">
        <v>14487</v>
      </c>
      <c r="C8" s="176">
        <v>25851.5</v>
      </c>
      <c r="D8" s="273"/>
      <c r="E8" s="176"/>
      <c r="F8" s="173">
        <f t="shared" si="0"/>
        <v>266830.56999999995</v>
      </c>
    </row>
    <row r="9" spans="1:6" x14ac:dyDescent="0.25">
      <c r="A9" s="273">
        <v>43962</v>
      </c>
      <c r="B9" s="272">
        <v>14648</v>
      </c>
      <c r="C9" s="176">
        <v>84770.49</v>
      </c>
      <c r="D9" s="273"/>
      <c r="E9" s="176"/>
      <c r="F9" s="173">
        <f t="shared" si="0"/>
        <v>351601.05999999994</v>
      </c>
    </row>
    <row r="10" spans="1:6" x14ac:dyDescent="0.25">
      <c r="A10" s="273">
        <v>43963</v>
      </c>
      <c r="B10" s="272">
        <v>14766</v>
      </c>
      <c r="C10" s="176">
        <v>3075.79</v>
      </c>
      <c r="D10" s="273"/>
      <c r="E10" s="176"/>
      <c r="F10" s="173">
        <f t="shared" si="0"/>
        <v>354676.84999999992</v>
      </c>
    </row>
    <row r="11" spans="1:6" x14ac:dyDescent="0.25">
      <c r="A11" s="271">
        <v>43964</v>
      </c>
      <c r="B11" s="272">
        <v>14779</v>
      </c>
      <c r="C11" s="176">
        <v>103355</v>
      </c>
      <c r="D11" s="273"/>
      <c r="E11" s="176"/>
      <c r="F11" s="173">
        <f t="shared" si="0"/>
        <v>458031.84999999992</v>
      </c>
    </row>
    <row r="12" spans="1:6" x14ac:dyDescent="0.25">
      <c r="A12" s="273">
        <v>43964</v>
      </c>
      <c r="B12" s="272">
        <v>14872</v>
      </c>
      <c r="C12" s="176">
        <v>77501.89</v>
      </c>
      <c r="D12" s="273"/>
      <c r="E12" s="176"/>
      <c r="F12" s="173">
        <f t="shared" si="0"/>
        <v>535533.73999999987</v>
      </c>
    </row>
    <row r="13" spans="1:6" x14ac:dyDescent="0.25">
      <c r="A13" s="273">
        <v>43965</v>
      </c>
      <c r="B13" s="272">
        <v>14894</v>
      </c>
      <c r="C13" s="176">
        <v>1261.5</v>
      </c>
      <c r="D13" s="273">
        <v>43966</v>
      </c>
      <c r="E13" s="176">
        <v>536795.24</v>
      </c>
      <c r="F13" s="173">
        <f t="shared" si="0"/>
        <v>0</v>
      </c>
    </row>
    <row r="14" spans="1:6" x14ac:dyDescent="0.25">
      <c r="A14" s="273">
        <v>43967</v>
      </c>
      <c r="B14" s="272">
        <v>15178</v>
      </c>
      <c r="C14" s="176">
        <v>12104</v>
      </c>
      <c r="D14" s="273"/>
      <c r="E14" s="176"/>
      <c r="F14" s="173">
        <f t="shared" si="0"/>
        <v>12104</v>
      </c>
    </row>
    <row r="15" spans="1:6" x14ac:dyDescent="0.25">
      <c r="A15" s="273">
        <v>43967</v>
      </c>
      <c r="B15" s="272">
        <v>15258</v>
      </c>
      <c r="C15" s="176">
        <v>37598.54</v>
      </c>
      <c r="D15" s="273"/>
      <c r="E15" s="176"/>
      <c r="F15" s="173">
        <f t="shared" si="0"/>
        <v>49702.54</v>
      </c>
    </row>
    <row r="16" spans="1:6" x14ac:dyDescent="0.25">
      <c r="A16" s="273">
        <v>43968</v>
      </c>
      <c r="B16" s="272">
        <v>15278</v>
      </c>
      <c r="C16" s="176">
        <v>1428</v>
      </c>
      <c r="D16" s="273"/>
      <c r="E16" s="176"/>
      <c r="F16" s="173">
        <f t="shared" si="0"/>
        <v>51130.54</v>
      </c>
    </row>
    <row r="17" spans="1:6" x14ac:dyDescent="0.25">
      <c r="A17" s="273">
        <v>43969</v>
      </c>
      <c r="B17" s="272">
        <v>15364</v>
      </c>
      <c r="C17" s="176">
        <v>34928.9</v>
      </c>
      <c r="D17" s="273"/>
      <c r="E17" s="176"/>
      <c r="F17" s="173">
        <f t="shared" si="0"/>
        <v>86059.44</v>
      </c>
    </row>
    <row r="18" spans="1:6" x14ac:dyDescent="0.25">
      <c r="A18" s="273">
        <v>43970</v>
      </c>
      <c r="B18" s="272">
        <v>15498</v>
      </c>
      <c r="C18" s="176">
        <v>12930.6</v>
      </c>
      <c r="D18" s="273"/>
      <c r="E18" s="176"/>
      <c r="F18" s="173">
        <f t="shared" si="0"/>
        <v>98990.040000000008</v>
      </c>
    </row>
    <row r="19" spans="1:6" x14ac:dyDescent="0.25">
      <c r="A19" s="273">
        <v>43971</v>
      </c>
      <c r="B19" s="272">
        <v>15635</v>
      </c>
      <c r="C19" s="176">
        <v>36627.279999999999</v>
      </c>
      <c r="D19" s="273"/>
      <c r="E19" s="176"/>
      <c r="F19" s="173">
        <f t="shared" si="0"/>
        <v>135617.32</v>
      </c>
    </row>
    <row r="20" spans="1:6" x14ac:dyDescent="0.25">
      <c r="A20" s="273">
        <v>43971</v>
      </c>
      <c r="B20" s="272">
        <v>15638</v>
      </c>
      <c r="C20" s="176">
        <v>14591.08</v>
      </c>
      <c r="D20" s="273"/>
      <c r="E20" s="176"/>
      <c r="F20" s="173">
        <f t="shared" si="0"/>
        <v>150208.4</v>
      </c>
    </row>
    <row r="21" spans="1:6" x14ac:dyDescent="0.25">
      <c r="A21" s="273">
        <v>43971</v>
      </c>
      <c r="B21" s="272">
        <v>15708</v>
      </c>
      <c r="C21" s="176">
        <v>4401.3999999999996</v>
      </c>
      <c r="D21" s="273"/>
      <c r="E21" s="176"/>
      <c r="F21" s="173">
        <f t="shared" si="0"/>
        <v>154609.79999999999</v>
      </c>
    </row>
    <row r="22" spans="1:6" x14ac:dyDescent="0.25">
      <c r="A22" s="273">
        <v>43971</v>
      </c>
      <c r="B22" s="272">
        <v>15711</v>
      </c>
      <c r="C22" s="176">
        <v>4428</v>
      </c>
      <c r="D22" s="273"/>
      <c r="E22" s="176"/>
      <c r="F22" s="173">
        <f t="shared" si="0"/>
        <v>159037.79999999999</v>
      </c>
    </row>
    <row r="23" spans="1:6" x14ac:dyDescent="0.25">
      <c r="A23" s="273">
        <v>43972</v>
      </c>
      <c r="B23" s="272">
        <v>15845</v>
      </c>
      <c r="C23" s="176">
        <v>75141.94</v>
      </c>
      <c r="D23" s="273"/>
      <c r="E23" s="176"/>
      <c r="F23" s="173">
        <f t="shared" si="0"/>
        <v>234179.74</v>
      </c>
    </row>
    <row r="24" spans="1:6" x14ac:dyDescent="0.25">
      <c r="A24" s="273">
        <v>43973</v>
      </c>
      <c r="B24" s="272">
        <v>15893</v>
      </c>
      <c r="C24" s="176">
        <v>19906</v>
      </c>
      <c r="D24" s="273">
        <v>43974</v>
      </c>
      <c r="E24" s="176">
        <v>254085.74</v>
      </c>
      <c r="F24" s="173">
        <f t="shared" si="0"/>
        <v>0</v>
      </c>
    </row>
    <row r="25" spans="1:6" x14ac:dyDescent="0.25">
      <c r="A25" s="273">
        <v>43974</v>
      </c>
      <c r="B25" s="272">
        <v>16046</v>
      </c>
      <c r="C25" s="176">
        <v>66341.899999999994</v>
      </c>
      <c r="D25" s="273"/>
      <c r="E25" s="176"/>
      <c r="F25" s="173">
        <f t="shared" si="0"/>
        <v>66341.899999999994</v>
      </c>
    </row>
    <row r="26" spans="1:6" x14ac:dyDescent="0.25">
      <c r="A26" s="273">
        <v>43974</v>
      </c>
      <c r="B26" s="272">
        <v>16109</v>
      </c>
      <c r="C26" s="176">
        <v>42381.72</v>
      </c>
      <c r="D26" s="273"/>
      <c r="E26" s="176"/>
      <c r="F26" s="173">
        <f t="shared" si="0"/>
        <v>108723.62</v>
      </c>
    </row>
    <row r="27" spans="1:6" x14ac:dyDescent="0.25">
      <c r="A27" s="273">
        <v>43975</v>
      </c>
      <c r="B27" s="272">
        <v>16148</v>
      </c>
      <c r="C27" s="176">
        <v>23473.9</v>
      </c>
      <c r="D27" s="273"/>
      <c r="E27" s="176"/>
      <c r="F27" s="173">
        <f t="shared" si="0"/>
        <v>132197.51999999999</v>
      </c>
    </row>
    <row r="28" spans="1:6" x14ac:dyDescent="0.25">
      <c r="A28" s="271">
        <v>43975</v>
      </c>
      <c r="B28" s="272">
        <v>16198</v>
      </c>
      <c r="C28" s="176">
        <v>24648</v>
      </c>
      <c r="D28" s="273"/>
      <c r="E28" s="176"/>
      <c r="F28" s="173">
        <f t="shared" si="0"/>
        <v>156845.51999999999</v>
      </c>
    </row>
    <row r="29" spans="1:6" x14ac:dyDescent="0.25">
      <c r="A29" s="271">
        <v>43976</v>
      </c>
      <c r="B29" s="272">
        <v>16268</v>
      </c>
      <c r="C29" s="176">
        <v>35223.24</v>
      </c>
      <c r="D29" s="273"/>
      <c r="E29" s="176"/>
      <c r="F29" s="173">
        <f t="shared" si="0"/>
        <v>192068.75999999998</v>
      </c>
    </row>
    <row r="30" spans="1:6" x14ac:dyDescent="0.25">
      <c r="A30" s="271">
        <v>43977</v>
      </c>
      <c r="B30" s="272">
        <v>16335</v>
      </c>
      <c r="C30" s="176">
        <v>13000.32</v>
      </c>
      <c r="D30" s="273"/>
      <c r="E30" s="176"/>
      <c r="F30" s="173">
        <f t="shared" si="0"/>
        <v>205069.08</v>
      </c>
    </row>
    <row r="31" spans="1:6" x14ac:dyDescent="0.25">
      <c r="A31" s="271">
        <v>43978</v>
      </c>
      <c r="B31" s="272">
        <v>16485</v>
      </c>
      <c r="C31" s="176">
        <v>44075.09</v>
      </c>
      <c r="D31" s="273"/>
      <c r="E31" s="176"/>
      <c r="F31" s="173">
        <f t="shared" si="0"/>
        <v>249144.16999999998</v>
      </c>
    </row>
    <row r="32" spans="1:6" x14ac:dyDescent="0.25">
      <c r="A32" s="271">
        <v>43978</v>
      </c>
      <c r="B32" s="272">
        <v>16499</v>
      </c>
      <c r="C32" s="176">
        <v>2259.6</v>
      </c>
      <c r="D32" s="273"/>
      <c r="E32" s="176"/>
      <c r="F32" s="173">
        <f t="shared" si="0"/>
        <v>251403.77</v>
      </c>
    </row>
    <row r="33" spans="1:6" x14ac:dyDescent="0.25">
      <c r="A33" s="271">
        <v>43978</v>
      </c>
      <c r="B33" s="272">
        <v>16557</v>
      </c>
      <c r="C33" s="176">
        <v>32743.56</v>
      </c>
      <c r="D33" s="273"/>
      <c r="E33" s="176"/>
      <c r="F33" s="173">
        <f t="shared" si="0"/>
        <v>284147.33</v>
      </c>
    </row>
    <row r="34" spans="1:6" x14ac:dyDescent="0.25">
      <c r="A34" s="271">
        <v>43979</v>
      </c>
      <c r="B34" s="272">
        <v>16574</v>
      </c>
      <c r="C34" s="176">
        <v>27533.4</v>
      </c>
      <c r="D34" s="273"/>
      <c r="E34" s="176"/>
      <c r="F34" s="173">
        <f t="shared" si="0"/>
        <v>311680.73000000004</v>
      </c>
    </row>
    <row r="35" spans="1:6" x14ac:dyDescent="0.25">
      <c r="A35" s="271">
        <v>43979</v>
      </c>
      <c r="B35" s="272">
        <v>16648</v>
      </c>
      <c r="C35" s="176">
        <v>137280.17000000001</v>
      </c>
      <c r="D35" s="273"/>
      <c r="E35" s="176"/>
      <c r="F35" s="173">
        <f t="shared" si="0"/>
        <v>448960.9</v>
      </c>
    </row>
    <row r="36" spans="1:6" x14ac:dyDescent="0.25">
      <c r="A36" s="271">
        <v>43979</v>
      </c>
      <c r="B36" s="272">
        <v>16649</v>
      </c>
      <c r="C36" s="176">
        <v>1834.8</v>
      </c>
      <c r="D36" s="273"/>
      <c r="E36" s="176"/>
      <c r="F36" s="173">
        <f t="shared" si="0"/>
        <v>450795.7</v>
      </c>
    </row>
    <row r="37" spans="1:6" x14ac:dyDescent="0.25">
      <c r="A37" s="271">
        <v>43980</v>
      </c>
      <c r="B37" s="272">
        <v>16702</v>
      </c>
      <c r="C37" s="176">
        <v>18531.599999999999</v>
      </c>
      <c r="D37" s="273">
        <v>43980</v>
      </c>
      <c r="E37" s="176">
        <v>469327.3</v>
      </c>
      <c r="F37" s="173">
        <f t="shared" si="0"/>
        <v>0</v>
      </c>
    </row>
    <row r="38" spans="1:6" x14ac:dyDescent="0.25">
      <c r="A38" s="271">
        <v>43981</v>
      </c>
      <c r="B38" s="272">
        <v>16900</v>
      </c>
      <c r="C38" s="176">
        <v>26087.84</v>
      </c>
      <c r="D38" s="273"/>
      <c r="E38" s="176"/>
      <c r="F38" s="173">
        <f t="shared" si="0"/>
        <v>26087.84</v>
      </c>
    </row>
    <row r="39" spans="1:6" x14ac:dyDescent="0.25">
      <c r="A39" s="271">
        <v>43981</v>
      </c>
      <c r="B39" s="272">
        <v>16951</v>
      </c>
      <c r="C39" s="176">
        <v>76968.05</v>
      </c>
      <c r="D39" s="273"/>
      <c r="E39" s="176"/>
      <c r="F39" s="173">
        <f t="shared" si="0"/>
        <v>103055.89</v>
      </c>
    </row>
    <row r="40" spans="1:6" x14ac:dyDescent="0.25">
      <c r="A40" s="271">
        <v>43982</v>
      </c>
      <c r="B40" s="272">
        <v>16973</v>
      </c>
      <c r="C40" s="176">
        <v>1492.4</v>
      </c>
      <c r="D40" s="273"/>
      <c r="E40" s="176"/>
      <c r="F40" s="173">
        <f t="shared" si="0"/>
        <v>104548.29</v>
      </c>
    </row>
    <row r="41" spans="1:6" x14ac:dyDescent="0.25">
      <c r="A41" s="271">
        <v>43982</v>
      </c>
      <c r="B41" s="272">
        <v>16975</v>
      </c>
      <c r="C41" s="176">
        <v>1120</v>
      </c>
      <c r="D41" s="273"/>
      <c r="E41" s="176"/>
      <c r="F41" s="173">
        <f t="shared" si="0"/>
        <v>105668.29</v>
      </c>
    </row>
    <row r="42" spans="1:6" x14ac:dyDescent="0.25">
      <c r="A42" s="271">
        <v>43983</v>
      </c>
      <c r="B42" s="272">
        <v>17106</v>
      </c>
      <c r="C42" s="176">
        <v>75463.360000000001</v>
      </c>
      <c r="D42" s="273"/>
      <c r="E42" s="176"/>
      <c r="F42" s="173">
        <f t="shared" si="0"/>
        <v>181131.65</v>
      </c>
    </row>
    <row r="43" spans="1:6" x14ac:dyDescent="0.25">
      <c r="A43" s="271">
        <v>43984</v>
      </c>
      <c r="B43" s="272">
        <v>17221</v>
      </c>
      <c r="C43" s="176">
        <v>62772.95</v>
      </c>
      <c r="D43" s="273"/>
      <c r="E43" s="176"/>
      <c r="F43" s="173">
        <f t="shared" si="0"/>
        <v>243904.59999999998</v>
      </c>
    </row>
    <row r="44" spans="1:6" x14ac:dyDescent="0.25">
      <c r="A44" s="271">
        <v>43985</v>
      </c>
      <c r="B44" s="272">
        <v>17271</v>
      </c>
      <c r="C44" s="176">
        <v>3032.8</v>
      </c>
      <c r="D44" s="273"/>
      <c r="E44" s="176"/>
      <c r="F44" s="173">
        <f>F43+C44-E44</f>
        <v>246937.39999999997</v>
      </c>
    </row>
    <row r="45" spans="1:6" x14ac:dyDescent="0.25">
      <c r="A45" s="174">
        <v>43985</v>
      </c>
      <c r="B45" s="272">
        <v>17353</v>
      </c>
      <c r="C45" s="176">
        <v>477</v>
      </c>
      <c r="D45" s="177">
        <v>43956</v>
      </c>
      <c r="E45" s="176">
        <v>247414.39999999999</v>
      </c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1590870.0800000005</v>
      </c>
      <c r="D51" s="1"/>
      <c r="E51" s="4">
        <f>SUM(E3:E50)</f>
        <v>1590870.0799999998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D25-93F6-4A39-9B74-143C379C1195}">
  <sheetPr>
    <tabColor theme="0" tint="-0.34998626667073579"/>
  </sheetPr>
  <dimension ref="A1:AL104"/>
  <sheetViews>
    <sheetView topLeftCell="A58" workbookViewId="0">
      <selection activeCell="K30" sqref="K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448" t="s">
        <v>317</v>
      </c>
      <c r="D1" s="448"/>
      <c r="E1" s="448"/>
      <c r="F1" s="448"/>
      <c r="G1" s="448"/>
      <c r="H1" s="448"/>
      <c r="I1" s="448"/>
      <c r="J1" s="448"/>
      <c r="K1" s="448"/>
      <c r="L1" s="2"/>
      <c r="M1" s="3"/>
      <c r="AK1" s="462" t="s">
        <v>45</v>
      </c>
      <c r="AL1" s="463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470" t="s">
        <v>4</v>
      </c>
      <c r="X2" s="471"/>
      <c r="AB2" s="470" t="s">
        <v>4</v>
      </c>
      <c r="AC2" s="471"/>
      <c r="AF2" s="467" t="s">
        <v>43</v>
      </c>
      <c r="AG2" s="468"/>
      <c r="AH2" s="469"/>
      <c r="AJ2" s="193" t="s">
        <v>44</v>
      </c>
      <c r="AK2" s="464"/>
      <c r="AL2" s="465"/>
    </row>
    <row r="3" spans="1:38" ht="18" customHeight="1" thickBot="1" x14ac:dyDescent="0.35">
      <c r="B3" s="449" t="s">
        <v>1</v>
      </c>
      <c r="C3" s="450"/>
      <c r="D3" s="15"/>
      <c r="E3" s="374"/>
      <c r="F3" s="374"/>
      <c r="H3" s="485" t="s">
        <v>190</v>
      </c>
      <c r="I3" s="485"/>
      <c r="K3" s="234" t="s">
        <v>2</v>
      </c>
      <c r="L3" s="236" t="s">
        <v>191</v>
      </c>
      <c r="M3" s="236"/>
      <c r="W3" s="472"/>
      <c r="X3" s="473"/>
      <c r="Y3" s="195" t="s">
        <v>37</v>
      </c>
      <c r="AB3" s="472"/>
      <c r="AC3" s="473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258902.98</v>
      </c>
      <c r="D4" s="308">
        <v>43985</v>
      </c>
      <c r="E4" s="451" t="s">
        <v>6</v>
      </c>
      <c r="F4" s="452"/>
      <c r="H4" s="453" t="s">
        <v>7</v>
      </c>
      <c r="I4" s="454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43986</v>
      </c>
      <c r="C5" s="320">
        <v>1628</v>
      </c>
      <c r="D5" s="309" t="s">
        <v>72</v>
      </c>
      <c r="E5" s="151">
        <v>43986</v>
      </c>
      <c r="F5" s="32">
        <v>63308</v>
      </c>
      <c r="G5" s="152"/>
      <c r="H5" s="153">
        <v>43986</v>
      </c>
      <c r="I5" s="33">
        <v>0</v>
      </c>
      <c r="M5" s="34">
        <v>60417</v>
      </c>
      <c r="N5" s="35">
        <v>1263</v>
      </c>
      <c r="O5" s="36"/>
      <c r="P5" s="36">
        <f>C5+I5+M5+N5</f>
        <v>63308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43987</v>
      </c>
      <c r="C6" s="320">
        <v>2529</v>
      </c>
      <c r="D6" s="310" t="s">
        <v>69</v>
      </c>
      <c r="E6" s="151">
        <v>43987</v>
      </c>
      <c r="F6" s="32">
        <v>111162</v>
      </c>
      <c r="G6" s="152"/>
      <c r="H6" s="153">
        <v>43987</v>
      </c>
      <c r="I6" s="39">
        <v>10020</v>
      </c>
      <c r="J6" s="60">
        <v>44010</v>
      </c>
      <c r="K6" s="46" t="s">
        <v>13</v>
      </c>
      <c r="L6" s="47">
        <v>1450</v>
      </c>
      <c r="M6" s="34">
        <v>96999</v>
      </c>
      <c r="N6" s="35">
        <v>1614</v>
      </c>
      <c r="O6" s="276"/>
      <c r="P6" s="36">
        <f>C6+I6+M6+N6</f>
        <v>111162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43988</v>
      </c>
      <c r="C7" s="320">
        <v>1537</v>
      </c>
      <c r="D7" s="311" t="s">
        <v>319</v>
      </c>
      <c r="E7" s="151">
        <v>43988</v>
      </c>
      <c r="F7" s="32">
        <v>90597</v>
      </c>
      <c r="G7" s="152"/>
      <c r="H7" s="153">
        <v>43988</v>
      </c>
      <c r="I7" s="39">
        <v>0</v>
      </c>
      <c r="J7" s="328"/>
      <c r="K7" s="378" t="s">
        <v>14</v>
      </c>
      <c r="L7" s="50">
        <v>27661</v>
      </c>
      <c r="M7" s="34">
        <v>76979</v>
      </c>
      <c r="N7" s="35">
        <v>2131</v>
      </c>
      <c r="O7" s="127"/>
      <c r="P7" s="36">
        <f>C7+I7+M7+N7+L12</f>
        <v>99441.42</v>
      </c>
      <c r="Q7" s="201">
        <f>P7-F7</f>
        <v>8844.4199999999983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43989</v>
      </c>
      <c r="C8" s="409">
        <v>2981.7</v>
      </c>
      <c r="D8" s="312" t="s">
        <v>48</v>
      </c>
      <c r="E8" s="352">
        <v>43989</v>
      </c>
      <c r="F8" s="408">
        <v>163567</v>
      </c>
      <c r="G8" s="152"/>
      <c r="H8" s="153">
        <v>43989</v>
      </c>
      <c r="I8" s="410">
        <f>14990+1800+990+120+38</f>
        <v>17938</v>
      </c>
      <c r="J8" s="367" t="s">
        <v>350</v>
      </c>
      <c r="K8" s="20" t="s">
        <v>351</v>
      </c>
      <c r="L8" s="52">
        <v>20000</v>
      </c>
      <c r="M8" s="34">
        <f>48800+90+51400+52850</f>
        <v>153140</v>
      </c>
      <c r="N8" s="35">
        <v>7614</v>
      </c>
      <c r="O8" s="276"/>
      <c r="P8" s="36">
        <f>C8+I8+M8+N8+L10</f>
        <v>181673.7</v>
      </c>
      <c r="Q8" s="283">
        <f>P8-F8</f>
        <v>18106.700000000012</v>
      </c>
      <c r="R8" s="198"/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43990</v>
      </c>
      <c r="C9" s="355">
        <v>0</v>
      </c>
      <c r="D9" s="313"/>
      <c r="E9" s="379">
        <v>43990</v>
      </c>
      <c r="F9" s="356">
        <v>0</v>
      </c>
      <c r="G9" s="152"/>
      <c r="H9" s="153">
        <v>43990</v>
      </c>
      <c r="I9" s="375">
        <v>0</v>
      </c>
      <c r="J9" s="376" t="s">
        <v>355</v>
      </c>
      <c r="K9" s="200"/>
      <c r="L9" s="343">
        <v>0</v>
      </c>
      <c r="M9" s="353">
        <v>0</v>
      </c>
      <c r="N9" s="354">
        <v>0</v>
      </c>
      <c r="O9" s="276"/>
      <c r="P9" s="36">
        <f>C9+I9+M9+N9</f>
        <v>0</v>
      </c>
      <c r="Q9" s="5">
        <f t="shared" ref="Q9:Q11" si="0">P9-F9</f>
        <v>0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43991</v>
      </c>
      <c r="C10" s="355">
        <v>0</v>
      </c>
      <c r="D10" s="311"/>
      <c r="E10" s="379">
        <v>43991</v>
      </c>
      <c r="F10" s="356">
        <v>0</v>
      </c>
      <c r="G10" s="152"/>
      <c r="H10" s="153">
        <v>43991</v>
      </c>
      <c r="I10" s="375">
        <v>0</v>
      </c>
      <c r="J10" s="376" t="s">
        <v>355</v>
      </c>
      <c r="K10" s="366"/>
      <c r="L10" s="68"/>
      <c r="M10" s="353">
        <v>0</v>
      </c>
      <c r="N10" s="354">
        <v>0</v>
      </c>
      <c r="O10" s="127"/>
      <c r="P10" s="36">
        <f>C10+I10+M10+N10+L11</f>
        <v>0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43992</v>
      </c>
      <c r="C11" s="320">
        <v>5416</v>
      </c>
      <c r="D11" s="310" t="s">
        <v>320</v>
      </c>
      <c r="E11" s="151">
        <v>43992</v>
      </c>
      <c r="F11" s="32">
        <v>58587</v>
      </c>
      <c r="G11" s="152"/>
      <c r="H11" s="153">
        <v>43992</v>
      </c>
      <c r="I11" s="39">
        <v>1499</v>
      </c>
      <c r="J11" s="331"/>
      <c r="K11" s="57"/>
      <c r="L11" s="55"/>
      <c r="M11" s="34">
        <v>48424</v>
      </c>
      <c r="N11" s="35">
        <v>3248</v>
      </c>
      <c r="O11" s="276"/>
      <c r="P11" s="36">
        <f>C11+I11+M11+N11</f>
        <v>58587</v>
      </c>
      <c r="Q11" s="5">
        <f t="shared" si="0"/>
        <v>0</v>
      </c>
      <c r="S11" s="58">
        <v>0</v>
      </c>
      <c r="T11" s="37"/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43993</v>
      </c>
      <c r="C12" s="320">
        <v>2545</v>
      </c>
      <c r="D12" s="310" t="s">
        <v>48</v>
      </c>
      <c r="E12" s="151">
        <v>43993</v>
      </c>
      <c r="F12" s="32">
        <v>73669</v>
      </c>
      <c r="G12" s="152"/>
      <c r="H12" s="153">
        <v>43993</v>
      </c>
      <c r="I12" s="39">
        <v>0</v>
      </c>
      <c r="J12" s="60">
        <v>43988</v>
      </c>
      <c r="K12" s="20" t="s">
        <v>314</v>
      </c>
      <c r="L12" s="55">
        <f>14394.42+400+4000</f>
        <v>18794.419999999998</v>
      </c>
      <c r="M12" s="34">
        <v>65800</v>
      </c>
      <c r="N12" s="35">
        <v>5327</v>
      </c>
      <c r="O12" s="298"/>
      <c r="P12" s="36">
        <f>C12+I12+M12+N12</f>
        <v>73672</v>
      </c>
      <c r="Q12" s="5">
        <f>P12-F12</f>
        <v>3</v>
      </c>
      <c r="S12" s="58">
        <v>8844.42</v>
      </c>
      <c r="T12" s="61" t="s">
        <v>314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43994</v>
      </c>
      <c r="C13" s="320">
        <v>2532</v>
      </c>
      <c r="D13" s="312" t="s">
        <v>325</v>
      </c>
      <c r="E13" s="151">
        <v>43994</v>
      </c>
      <c r="F13" s="32">
        <v>74415</v>
      </c>
      <c r="G13" s="152"/>
      <c r="H13" s="153">
        <v>43994</v>
      </c>
      <c r="I13" s="39">
        <v>12000</v>
      </c>
      <c r="J13" s="60">
        <v>43995</v>
      </c>
      <c r="K13" s="20" t="s">
        <v>315</v>
      </c>
      <c r="L13" s="55">
        <f>13827.16+4000</f>
        <v>17827.16</v>
      </c>
      <c r="M13" s="34">
        <v>56323</v>
      </c>
      <c r="N13" s="35">
        <v>3560</v>
      </c>
      <c r="O13" s="276"/>
      <c r="P13" s="36">
        <f>C13+I13+M13+N13</f>
        <v>74415</v>
      </c>
      <c r="Q13" s="5">
        <f>P13-F13</f>
        <v>0</v>
      </c>
      <c r="S13" s="58">
        <v>8546.16</v>
      </c>
      <c r="T13" s="61" t="s">
        <v>315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43995</v>
      </c>
      <c r="C14" s="320">
        <v>1160</v>
      </c>
      <c r="D14" s="311" t="s">
        <v>324</v>
      </c>
      <c r="E14" s="151">
        <v>43995</v>
      </c>
      <c r="F14" s="32">
        <v>99608</v>
      </c>
      <c r="G14" s="152"/>
      <c r="H14" s="153">
        <v>43995</v>
      </c>
      <c r="I14" s="39">
        <v>0</v>
      </c>
      <c r="J14" s="60">
        <v>43996</v>
      </c>
      <c r="K14" s="20" t="s">
        <v>315</v>
      </c>
      <c r="L14" s="55">
        <v>400</v>
      </c>
      <c r="M14" s="34">
        <v>83411</v>
      </c>
      <c r="N14" s="35">
        <v>5756</v>
      </c>
      <c r="O14" s="276"/>
      <c r="P14" s="36">
        <f>C14+I14+M14+N14+L13</f>
        <v>108154.16</v>
      </c>
      <c r="Q14" s="201">
        <f>P14-F14</f>
        <v>8546.1600000000035</v>
      </c>
      <c r="S14" s="58">
        <v>8921.5300000000007</v>
      </c>
      <c r="T14" s="61" t="s">
        <v>316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43996</v>
      </c>
      <c r="C15" s="320">
        <v>12071</v>
      </c>
      <c r="D15" s="310" t="s">
        <v>326</v>
      </c>
      <c r="E15" s="151">
        <v>43996</v>
      </c>
      <c r="F15" s="32">
        <v>80402</v>
      </c>
      <c r="G15" s="152"/>
      <c r="H15" s="153">
        <v>43996</v>
      </c>
      <c r="I15" s="39">
        <v>0</v>
      </c>
      <c r="J15" s="60">
        <v>44002</v>
      </c>
      <c r="K15" s="20" t="s">
        <v>327</v>
      </c>
      <c r="L15" s="55">
        <f>15085.71+4000+400</f>
        <v>19485.71</v>
      </c>
      <c r="M15" s="34">
        <v>62436</v>
      </c>
      <c r="N15" s="35">
        <v>5495</v>
      </c>
      <c r="O15" s="276"/>
      <c r="P15" s="36">
        <f>C15+I15+M15+N15+L14</f>
        <v>80402</v>
      </c>
      <c r="Q15" s="5">
        <f t="shared" ref="Q15:Q65" si="1">P15-F15</f>
        <v>0</v>
      </c>
      <c r="S15" s="58">
        <v>8243.8700000000008</v>
      </c>
      <c r="T15" s="61" t="s">
        <v>318</v>
      </c>
      <c r="U15" s="61"/>
      <c r="V15" s="29"/>
      <c r="W15" s="38" t="s">
        <v>10</v>
      </c>
      <c r="X15" s="196">
        <v>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43997</v>
      </c>
      <c r="C16" s="320">
        <v>1875</v>
      </c>
      <c r="D16" s="310" t="s">
        <v>72</v>
      </c>
      <c r="E16" s="151">
        <v>43997</v>
      </c>
      <c r="F16" s="32">
        <v>58690</v>
      </c>
      <c r="G16" s="152"/>
      <c r="H16" s="153">
        <v>43997</v>
      </c>
      <c r="I16" s="39">
        <v>400</v>
      </c>
      <c r="J16" s="60">
        <v>44009</v>
      </c>
      <c r="K16" s="20" t="s">
        <v>318</v>
      </c>
      <c r="L16" s="5">
        <f>12360.87+4000</f>
        <v>16360.87</v>
      </c>
      <c r="M16" s="34">
        <v>54259</v>
      </c>
      <c r="N16" s="35">
        <v>2156</v>
      </c>
      <c r="O16" s="276"/>
      <c r="P16" s="36">
        <f>C16+I16+M16+N16</f>
        <v>58690</v>
      </c>
      <c r="Q16" s="5">
        <f t="shared" si="1"/>
        <v>0</v>
      </c>
      <c r="S16" s="58">
        <v>8693.2999999999993</v>
      </c>
      <c r="T16" s="61" t="s">
        <v>343</v>
      </c>
      <c r="U16" s="61"/>
      <c r="V16" s="30"/>
      <c r="W16" s="44" t="s">
        <v>11</v>
      </c>
      <c r="X16" s="196">
        <v>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43998</v>
      </c>
      <c r="C17" s="320">
        <v>298.8</v>
      </c>
      <c r="D17" s="312" t="s">
        <v>82</v>
      </c>
      <c r="E17" s="151">
        <v>43998</v>
      </c>
      <c r="F17" s="32">
        <v>55065</v>
      </c>
      <c r="G17" s="152"/>
      <c r="H17" s="153">
        <v>43998</v>
      </c>
      <c r="I17" s="39">
        <v>932</v>
      </c>
      <c r="J17" s="67">
        <v>44010</v>
      </c>
      <c r="K17" s="20" t="s">
        <v>284</v>
      </c>
      <c r="L17" s="68">
        <v>400</v>
      </c>
      <c r="M17" s="34">
        <v>50358</v>
      </c>
      <c r="N17" s="35">
        <v>3476</v>
      </c>
      <c r="O17" s="276"/>
      <c r="P17" s="36">
        <f t="shared" ref="P17:P18" si="2">C17+I17+M17+N17</f>
        <v>55064.800000000003</v>
      </c>
      <c r="Q17" s="5">
        <f t="shared" si="1"/>
        <v>-0.19999999999708962</v>
      </c>
      <c r="S17" s="58">
        <v>7838.59</v>
      </c>
      <c r="T17" s="188" t="s">
        <v>353</v>
      </c>
      <c r="U17" s="221"/>
      <c r="V17" s="225"/>
      <c r="W17" s="38" t="s">
        <v>10</v>
      </c>
      <c r="X17" s="196">
        <v>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43999</v>
      </c>
      <c r="C18" s="320">
        <v>5807.82</v>
      </c>
      <c r="D18" s="310" t="s">
        <v>328</v>
      </c>
      <c r="E18" s="151">
        <v>43999</v>
      </c>
      <c r="F18" s="32">
        <v>70382</v>
      </c>
      <c r="G18" s="152"/>
      <c r="H18" s="153">
        <v>43999</v>
      </c>
      <c r="I18" s="39">
        <v>3000</v>
      </c>
      <c r="J18" s="67">
        <v>44015</v>
      </c>
      <c r="K18" s="71" t="s">
        <v>343</v>
      </c>
      <c r="L18" s="55">
        <f>13732.3+4000+400</f>
        <v>18132.3</v>
      </c>
      <c r="M18" s="34">
        <v>59681</v>
      </c>
      <c r="N18" s="35">
        <v>1893</v>
      </c>
      <c r="O18" s="276"/>
      <c r="P18" s="36">
        <f t="shared" si="2"/>
        <v>70381.820000000007</v>
      </c>
      <c r="Q18" s="5">
        <f t="shared" si="1"/>
        <v>-0.17999999999301508</v>
      </c>
      <c r="S18" s="5">
        <f>SUM(S11:S17)</f>
        <v>51087.869999999995</v>
      </c>
      <c r="T18" s="37" t="s">
        <v>17</v>
      </c>
      <c r="U18" s="37"/>
      <c r="V18" s="30"/>
      <c r="W18" s="44" t="s">
        <v>11</v>
      </c>
      <c r="X18" s="196">
        <v>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44000</v>
      </c>
      <c r="C19" s="320">
        <v>854</v>
      </c>
      <c r="D19" s="310" t="s">
        <v>72</v>
      </c>
      <c r="E19" s="151">
        <v>44000</v>
      </c>
      <c r="F19" s="32">
        <v>70688</v>
      </c>
      <c r="G19" s="152"/>
      <c r="H19" s="153">
        <v>44000</v>
      </c>
      <c r="I19" s="39">
        <v>0</v>
      </c>
      <c r="J19" s="67">
        <v>44023</v>
      </c>
      <c r="K19" s="71" t="s">
        <v>353</v>
      </c>
      <c r="L19" s="73">
        <f>11274.59+4000+400</f>
        <v>15674.59</v>
      </c>
      <c r="M19" s="34">
        <v>68185</v>
      </c>
      <c r="N19" s="35">
        <v>1649</v>
      </c>
      <c r="O19" s="276"/>
      <c r="P19" s="36">
        <f>C19+I19+M19+N19</f>
        <v>70688</v>
      </c>
      <c r="Q19" s="5">
        <f t="shared" si="1"/>
        <v>0</v>
      </c>
      <c r="R19" s="5" t="s">
        <v>292</v>
      </c>
      <c r="T19" s="8"/>
      <c r="U19" s="8"/>
      <c r="V19" s="30"/>
      <c r="W19" s="38" t="s">
        <v>10</v>
      </c>
      <c r="X19" s="196">
        <v>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44001</v>
      </c>
      <c r="C20" s="320">
        <v>11305</v>
      </c>
      <c r="D20" s="310" t="s">
        <v>329</v>
      </c>
      <c r="E20" s="151">
        <v>44001</v>
      </c>
      <c r="F20" s="32">
        <v>100344</v>
      </c>
      <c r="G20" s="152"/>
      <c r="H20" s="153">
        <v>44001</v>
      </c>
      <c r="I20" s="39">
        <v>10020</v>
      </c>
      <c r="J20" s="60"/>
      <c r="K20" s="220"/>
      <c r="L20" s="68"/>
      <c r="M20" s="34">
        <v>76170</v>
      </c>
      <c r="N20" s="35">
        <v>2849</v>
      </c>
      <c r="O20" s="276"/>
      <c r="P20" s="36">
        <f>C20+I20+M20+N20</f>
        <v>100344</v>
      </c>
      <c r="Q20" s="5">
        <f t="shared" si="1"/>
        <v>0</v>
      </c>
      <c r="T20" s="8"/>
      <c r="U20" s="8"/>
      <c r="V20" s="245"/>
      <c r="W20" s="44" t="s">
        <v>11</v>
      </c>
      <c r="X20" s="196">
        <v>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44002</v>
      </c>
      <c r="C21" s="320">
        <v>5569</v>
      </c>
      <c r="D21" s="310" t="s">
        <v>330</v>
      </c>
      <c r="E21" s="151">
        <v>44002</v>
      </c>
      <c r="F21" s="32">
        <v>132341</v>
      </c>
      <c r="G21" s="152"/>
      <c r="H21" s="153">
        <v>44002</v>
      </c>
      <c r="I21" s="39">
        <v>50.82</v>
      </c>
      <c r="J21" s="67"/>
      <c r="K21" s="74"/>
      <c r="L21" s="68"/>
      <c r="M21" s="34">
        <f>70000+38982</f>
        <v>108982</v>
      </c>
      <c r="N21" s="35">
        <v>7175</v>
      </c>
      <c r="O21" s="276"/>
      <c r="P21" s="36">
        <f>C21+I21+M21+N21+L15</f>
        <v>141262.53</v>
      </c>
      <c r="Q21" s="201">
        <f t="shared" si="1"/>
        <v>8921.5299999999988</v>
      </c>
      <c r="T21" s="8"/>
      <c r="U21" s="8"/>
      <c r="V21" s="29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44003</v>
      </c>
      <c r="C22" s="320">
        <v>2634</v>
      </c>
      <c r="D22" s="310" t="s">
        <v>331</v>
      </c>
      <c r="E22" s="151">
        <v>44003</v>
      </c>
      <c r="F22" s="32">
        <v>126332</v>
      </c>
      <c r="G22" s="152"/>
      <c r="H22" s="153">
        <v>44003</v>
      </c>
      <c r="I22" s="39">
        <v>0</v>
      </c>
      <c r="J22" s="76"/>
      <c r="K22" s="59"/>
      <c r="L22" s="77"/>
      <c r="M22" s="34">
        <v>117788</v>
      </c>
      <c r="N22" s="35">
        <v>5910</v>
      </c>
      <c r="O22" s="276"/>
      <c r="P22" s="36">
        <f t="shared" ref="P22:P27" si="3">C22+I22+M22+N22</f>
        <v>126332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44004</v>
      </c>
      <c r="C23" s="320">
        <v>0</v>
      </c>
      <c r="D23" s="310"/>
      <c r="E23" s="151">
        <v>44004</v>
      </c>
      <c r="F23" s="32">
        <v>68769</v>
      </c>
      <c r="G23" s="152"/>
      <c r="H23" s="153">
        <v>44004</v>
      </c>
      <c r="I23" s="39">
        <v>0</v>
      </c>
      <c r="J23" s="284"/>
      <c r="K23" s="289"/>
      <c r="L23" s="285"/>
      <c r="M23" s="34">
        <v>64930</v>
      </c>
      <c r="N23" s="35">
        <v>3839</v>
      </c>
      <c r="O23" s="257"/>
      <c r="P23" s="36">
        <f t="shared" si="3"/>
        <v>68769</v>
      </c>
      <c r="Q23" s="5">
        <f>P23-F23</f>
        <v>0</v>
      </c>
      <c r="T23" s="8"/>
      <c r="U23" s="8"/>
      <c r="V23" s="29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44005</v>
      </c>
      <c r="C24" s="320">
        <v>10976</v>
      </c>
      <c r="D24" s="310" t="s">
        <v>332</v>
      </c>
      <c r="E24" s="151">
        <v>44005</v>
      </c>
      <c r="F24" s="32">
        <v>59178</v>
      </c>
      <c r="G24" s="152"/>
      <c r="H24" s="153">
        <v>44005</v>
      </c>
      <c r="I24" s="39">
        <v>426</v>
      </c>
      <c r="J24" s="286" t="s">
        <v>357</v>
      </c>
      <c r="K24" s="398" t="s">
        <v>356</v>
      </c>
      <c r="L24" s="291">
        <v>6500</v>
      </c>
      <c r="M24" s="34">
        <v>47086</v>
      </c>
      <c r="N24" s="35">
        <v>690</v>
      </c>
      <c r="O24" s="276"/>
      <c r="P24" s="36">
        <f t="shared" si="3"/>
        <v>59178</v>
      </c>
      <c r="Q24" s="5">
        <f t="shared" ref="Q24:Q32" si="4">P24-F24</f>
        <v>0</v>
      </c>
      <c r="T24" s="8"/>
      <c r="U24" s="8"/>
      <c r="V24" s="29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44006</v>
      </c>
      <c r="C25" s="320">
        <v>3935</v>
      </c>
      <c r="D25" s="310" t="s">
        <v>333</v>
      </c>
      <c r="E25" s="151">
        <v>44006</v>
      </c>
      <c r="F25" s="32">
        <v>66092</v>
      </c>
      <c r="G25" s="152"/>
      <c r="H25" s="153">
        <v>44006</v>
      </c>
      <c r="I25" s="39">
        <v>450</v>
      </c>
      <c r="J25" s="287" t="s">
        <v>357</v>
      </c>
      <c r="K25" s="163" t="s">
        <v>226</v>
      </c>
      <c r="L25" s="102">
        <f>10260+9345</f>
        <v>19605</v>
      </c>
      <c r="M25" s="34">
        <v>57772</v>
      </c>
      <c r="N25" s="35">
        <v>3935</v>
      </c>
      <c r="O25" s="276"/>
      <c r="P25" s="36">
        <f t="shared" si="3"/>
        <v>66092</v>
      </c>
      <c r="Q25" s="5">
        <f t="shared" si="4"/>
        <v>0</v>
      </c>
      <c r="V25" s="29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44007</v>
      </c>
      <c r="C26" s="320">
        <v>6279</v>
      </c>
      <c r="D26" s="310" t="s">
        <v>334</v>
      </c>
      <c r="E26" s="151">
        <v>44007</v>
      </c>
      <c r="F26" s="32">
        <v>57063</v>
      </c>
      <c r="G26" s="152"/>
      <c r="H26" s="153">
        <v>44007</v>
      </c>
      <c r="I26" s="39">
        <v>0</v>
      </c>
      <c r="J26" s="67" t="s">
        <v>357</v>
      </c>
      <c r="K26" s="290" t="s">
        <v>224</v>
      </c>
      <c r="L26" s="285">
        <v>10000</v>
      </c>
      <c r="M26" s="34">
        <v>48139</v>
      </c>
      <c r="N26" s="35">
        <v>2645</v>
      </c>
      <c r="O26" s="276"/>
      <c r="P26" s="36">
        <f t="shared" si="3"/>
        <v>57063</v>
      </c>
      <c r="Q26" s="5">
        <f t="shared" si="4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44008</v>
      </c>
      <c r="C27" s="320">
        <v>8880</v>
      </c>
      <c r="D27" s="310" t="s">
        <v>335</v>
      </c>
      <c r="E27" s="151">
        <v>44008</v>
      </c>
      <c r="F27" s="32">
        <v>98558</v>
      </c>
      <c r="G27" s="152"/>
      <c r="H27" s="153">
        <v>44008</v>
      </c>
      <c r="I27" s="39">
        <v>12020</v>
      </c>
      <c r="J27" s="217" t="s">
        <v>357</v>
      </c>
      <c r="K27" s="295" t="s">
        <v>243</v>
      </c>
      <c r="L27" s="102">
        <v>986</v>
      </c>
      <c r="M27" s="34">
        <f>72343+935</f>
        <v>73278</v>
      </c>
      <c r="N27" s="35">
        <v>4380</v>
      </c>
      <c r="O27" s="276"/>
      <c r="P27" s="36">
        <f t="shared" si="3"/>
        <v>98558</v>
      </c>
      <c r="Q27" s="5">
        <f t="shared" si="4"/>
        <v>0</v>
      </c>
      <c r="V27" s="29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44009</v>
      </c>
      <c r="C28" s="320">
        <v>2416</v>
      </c>
      <c r="D28" s="314" t="s">
        <v>336</v>
      </c>
      <c r="E28" s="151">
        <v>44009</v>
      </c>
      <c r="F28" s="32">
        <v>111522</v>
      </c>
      <c r="G28" s="152"/>
      <c r="H28" s="153">
        <v>44009</v>
      </c>
      <c r="I28" s="39">
        <v>0</v>
      </c>
      <c r="J28" s="217" t="s">
        <v>357</v>
      </c>
      <c r="K28" s="424" t="s">
        <v>358</v>
      </c>
      <c r="L28" s="102">
        <v>15196</v>
      </c>
      <c r="M28" s="34">
        <v>97570</v>
      </c>
      <c r="N28" s="35">
        <v>3419</v>
      </c>
      <c r="O28" s="276"/>
      <c r="P28" s="36">
        <f>C28+I28+M28+N28+L9+L16</f>
        <v>119765.87</v>
      </c>
      <c r="Q28" s="201">
        <f t="shared" si="4"/>
        <v>8243.8699999999953</v>
      </c>
      <c r="V28" s="29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44010</v>
      </c>
      <c r="C29" s="320">
        <v>5855</v>
      </c>
      <c r="D29" s="315" t="s">
        <v>337</v>
      </c>
      <c r="E29" s="151">
        <v>44010</v>
      </c>
      <c r="F29" s="32">
        <v>70842</v>
      </c>
      <c r="G29" s="152"/>
      <c r="H29" s="153">
        <v>44010</v>
      </c>
      <c r="I29" s="39">
        <v>88</v>
      </c>
      <c r="J29" s="217" t="s">
        <v>357</v>
      </c>
      <c r="K29" s="163" t="s">
        <v>361</v>
      </c>
      <c r="L29" s="102">
        <v>6828.96</v>
      </c>
      <c r="M29" s="34">
        <v>56789</v>
      </c>
      <c r="N29" s="35">
        <v>6260</v>
      </c>
      <c r="O29" s="276"/>
      <c r="P29" s="36">
        <f>C29+I29+M29+N29+L6+L17</f>
        <v>70842</v>
      </c>
      <c r="Q29" s="5">
        <f>P29-F29</f>
        <v>0</v>
      </c>
      <c r="S29" s="6" t="s">
        <v>12</v>
      </c>
      <c r="V29" s="29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/>
      <c r="AH29" s="21">
        <v>0</v>
      </c>
    </row>
    <row r="30" spans="1:34" ht="15.75" thickBot="1" x14ac:dyDescent="0.3">
      <c r="A30" s="30"/>
      <c r="B30" s="319">
        <v>44011</v>
      </c>
      <c r="C30" s="320">
        <v>1160</v>
      </c>
      <c r="D30" s="315" t="s">
        <v>338</v>
      </c>
      <c r="E30" s="151">
        <v>44011</v>
      </c>
      <c r="F30" s="32">
        <v>73563</v>
      </c>
      <c r="G30" s="152"/>
      <c r="H30" s="153">
        <v>44011</v>
      </c>
      <c r="I30" s="244">
        <v>0</v>
      </c>
      <c r="J30" s="217" t="s">
        <v>357</v>
      </c>
      <c r="K30" s="296" t="s">
        <v>135</v>
      </c>
      <c r="L30" s="293">
        <v>1315.86</v>
      </c>
      <c r="M30" s="34">
        <v>72771</v>
      </c>
      <c r="N30" s="35">
        <v>2109</v>
      </c>
      <c r="O30" s="276"/>
      <c r="P30" s="36">
        <f>C30+I30+M30+N30</f>
        <v>76040</v>
      </c>
      <c r="Q30" s="198">
        <f t="shared" si="4"/>
        <v>2477</v>
      </c>
      <c r="V30" s="29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/>
      <c r="AH30" s="21">
        <v>0</v>
      </c>
    </row>
    <row r="31" spans="1:34" ht="15.75" thickBot="1" x14ac:dyDescent="0.3">
      <c r="A31" s="30"/>
      <c r="B31" s="319">
        <v>44012</v>
      </c>
      <c r="C31" s="321">
        <v>6640</v>
      </c>
      <c r="D31" s="315" t="s">
        <v>339</v>
      </c>
      <c r="E31" s="151">
        <v>44012</v>
      </c>
      <c r="F31" s="32">
        <v>62116</v>
      </c>
      <c r="G31" s="152"/>
      <c r="H31" s="153">
        <v>44012</v>
      </c>
      <c r="I31" s="244">
        <v>678</v>
      </c>
      <c r="J31" s="217" t="s">
        <v>357</v>
      </c>
      <c r="K31" s="163" t="s">
        <v>362</v>
      </c>
      <c r="L31" s="102">
        <v>1914</v>
      </c>
      <c r="M31" s="34">
        <v>52032</v>
      </c>
      <c r="N31" s="35">
        <v>2766</v>
      </c>
      <c r="O31" s="276"/>
      <c r="P31" s="36">
        <f>C31+I31+M31+N31</f>
        <v>62116</v>
      </c>
      <c r="Q31" s="5">
        <f t="shared" si="4"/>
        <v>0</v>
      </c>
      <c r="V31" s="29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/>
      <c r="AH31" s="21">
        <v>0</v>
      </c>
    </row>
    <row r="32" spans="1:34" ht="15.75" thickBot="1" x14ac:dyDescent="0.3">
      <c r="A32" s="30"/>
      <c r="B32" s="319">
        <v>44013</v>
      </c>
      <c r="C32" s="321">
        <v>1915</v>
      </c>
      <c r="D32" s="315" t="s">
        <v>340</v>
      </c>
      <c r="E32" s="151">
        <v>44013</v>
      </c>
      <c r="F32" s="237">
        <v>68656</v>
      </c>
      <c r="G32" s="152"/>
      <c r="H32" s="153">
        <v>44013</v>
      </c>
      <c r="I32" s="244">
        <v>2000</v>
      </c>
      <c r="J32" s="217" t="s">
        <v>357</v>
      </c>
      <c r="K32" s="395" t="s">
        <v>363</v>
      </c>
      <c r="L32" s="102">
        <v>1148.0999999999999</v>
      </c>
      <c r="M32" s="34">
        <v>58984</v>
      </c>
      <c r="N32" s="35">
        <v>5757</v>
      </c>
      <c r="O32" s="276"/>
      <c r="P32" s="36">
        <f t="shared" ref="P32:P39" si="5">C32+I32+M32+N32</f>
        <v>68656</v>
      </c>
      <c r="Q32" s="5">
        <f t="shared" si="4"/>
        <v>0</v>
      </c>
      <c r="V32" s="29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/>
      <c r="AH32" s="21">
        <v>0</v>
      </c>
    </row>
    <row r="33" spans="1:34" ht="16.5" thickBot="1" x14ac:dyDescent="0.3">
      <c r="A33" s="30"/>
      <c r="B33" s="319">
        <v>44014</v>
      </c>
      <c r="C33" s="321">
        <v>1753</v>
      </c>
      <c r="D33" s="316" t="s">
        <v>72</v>
      </c>
      <c r="E33" s="151">
        <v>44014</v>
      </c>
      <c r="F33" s="176">
        <v>73032</v>
      </c>
      <c r="G33" s="152"/>
      <c r="H33" s="153">
        <v>44014</v>
      </c>
      <c r="I33" s="244">
        <v>0</v>
      </c>
      <c r="J33" s="217" t="s">
        <v>357</v>
      </c>
      <c r="K33" s="399" t="s">
        <v>366</v>
      </c>
      <c r="L33" s="102">
        <v>1508</v>
      </c>
      <c r="M33" s="34">
        <v>67373</v>
      </c>
      <c r="N33" s="35">
        <v>3906</v>
      </c>
      <c r="O33" s="276"/>
      <c r="P33" s="36">
        <f t="shared" si="5"/>
        <v>73032</v>
      </c>
      <c r="Q33" s="5">
        <f t="shared" si="1"/>
        <v>0</v>
      </c>
      <c r="R33" s="36"/>
      <c r="V33" s="29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5.75" thickBot="1" x14ac:dyDescent="0.3">
      <c r="A34" s="30"/>
      <c r="B34" s="319">
        <v>44015</v>
      </c>
      <c r="C34" s="321">
        <v>5579</v>
      </c>
      <c r="D34" s="317" t="s">
        <v>341</v>
      </c>
      <c r="E34" s="151">
        <v>44015</v>
      </c>
      <c r="F34" s="176">
        <v>93850</v>
      </c>
      <c r="G34" s="152"/>
      <c r="H34" s="153">
        <v>44015</v>
      </c>
      <c r="I34" s="244">
        <v>14652.99</v>
      </c>
      <c r="J34" s="217" t="s">
        <v>357</v>
      </c>
      <c r="K34" s="163" t="s">
        <v>308</v>
      </c>
      <c r="L34" s="102">
        <v>1899.74</v>
      </c>
      <c r="M34" s="34">
        <v>50825</v>
      </c>
      <c r="N34" s="35">
        <v>2793</v>
      </c>
      <c r="O34" s="276"/>
      <c r="P34" s="36">
        <f>C34+I34+M34+N34+L8</f>
        <v>93849.989999999991</v>
      </c>
      <c r="Q34" s="5">
        <f t="shared" si="1"/>
        <v>-1.0000000009313226E-2</v>
      </c>
      <c r="R34" s="36"/>
      <c r="V34" s="29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5.75" thickBot="1" x14ac:dyDescent="0.3">
      <c r="A35" s="30"/>
      <c r="B35" s="319">
        <v>44016</v>
      </c>
      <c r="C35" s="321">
        <v>10900</v>
      </c>
      <c r="D35" s="316" t="s">
        <v>342</v>
      </c>
      <c r="E35" s="151">
        <v>44016</v>
      </c>
      <c r="F35" s="176">
        <v>99053</v>
      </c>
      <c r="G35" s="152"/>
      <c r="H35" s="153">
        <v>44016</v>
      </c>
      <c r="I35" s="244">
        <v>0</v>
      </c>
      <c r="J35" s="217"/>
      <c r="K35" s="164" t="s">
        <v>365</v>
      </c>
      <c r="L35" s="292">
        <v>11600</v>
      </c>
      <c r="M35" s="34">
        <f>73069+135+570</f>
        <v>73774</v>
      </c>
      <c r="N35" s="35">
        <v>4940</v>
      </c>
      <c r="O35" s="276"/>
      <c r="P35" s="36">
        <f>C35+I35+M35+N35+L18</f>
        <v>107746.3</v>
      </c>
      <c r="Q35" s="201">
        <f t="shared" si="1"/>
        <v>8693.3000000000029</v>
      </c>
      <c r="R35" s="36"/>
      <c r="V35" s="29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5.75" thickBot="1" x14ac:dyDescent="0.3">
      <c r="A36" s="30"/>
      <c r="B36" s="319">
        <v>44017</v>
      </c>
      <c r="C36" s="321">
        <v>9059</v>
      </c>
      <c r="D36" s="316" t="s">
        <v>344</v>
      </c>
      <c r="E36" s="151">
        <v>44017</v>
      </c>
      <c r="F36" s="176">
        <v>72452</v>
      </c>
      <c r="G36" s="152"/>
      <c r="H36" s="153">
        <v>44017</v>
      </c>
      <c r="I36" s="244">
        <v>0</v>
      </c>
      <c r="J36" s="217" t="s">
        <v>357</v>
      </c>
      <c r="K36" s="163" t="s">
        <v>364</v>
      </c>
      <c r="L36" s="102">
        <v>20</v>
      </c>
      <c r="M36" s="34">
        <v>61030</v>
      </c>
      <c r="N36" s="35">
        <v>2363</v>
      </c>
      <c r="O36" s="276"/>
      <c r="P36" s="36">
        <f t="shared" si="5"/>
        <v>72452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5.75" thickBot="1" x14ac:dyDescent="0.3">
      <c r="A37" s="30"/>
      <c r="B37" s="319">
        <v>44018</v>
      </c>
      <c r="C37" s="321">
        <v>3220</v>
      </c>
      <c r="D37" s="318" t="s">
        <v>345</v>
      </c>
      <c r="E37" s="151">
        <v>44018</v>
      </c>
      <c r="F37" s="176">
        <v>73507</v>
      </c>
      <c r="G37" s="152"/>
      <c r="H37" s="153">
        <v>44018</v>
      </c>
      <c r="I37" s="244">
        <v>0</v>
      </c>
      <c r="J37" s="217" t="s">
        <v>357</v>
      </c>
      <c r="K37" s="163" t="s">
        <v>367</v>
      </c>
      <c r="L37" s="102">
        <v>8394.5</v>
      </c>
      <c r="M37" s="34">
        <v>68986</v>
      </c>
      <c r="N37" s="35">
        <v>1301</v>
      </c>
      <c r="O37" s="276"/>
      <c r="P37" s="36">
        <f t="shared" si="5"/>
        <v>73507</v>
      </c>
      <c r="Q37" s="36">
        <f t="shared" si="1"/>
        <v>0</v>
      </c>
      <c r="R37" s="36"/>
      <c r="V37" s="29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5.75" thickBot="1" x14ac:dyDescent="0.3">
      <c r="A38" s="30"/>
      <c r="B38" s="319">
        <v>44019</v>
      </c>
      <c r="C38" s="322">
        <v>3535</v>
      </c>
      <c r="D38" s="318" t="s">
        <v>346</v>
      </c>
      <c r="E38" s="151">
        <v>44019</v>
      </c>
      <c r="F38" s="176">
        <v>69909</v>
      </c>
      <c r="G38" s="152"/>
      <c r="H38" s="153">
        <v>44019</v>
      </c>
      <c r="I38" s="244">
        <v>118</v>
      </c>
      <c r="J38" s="217" t="s">
        <v>357</v>
      </c>
      <c r="K38" s="229" t="s">
        <v>310</v>
      </c>
      <c r="L38" s="288">
        <v>10180.040000000001</v>
      </c>
      <c r="M38" s="34">
        <v>62096</v>
      </c>
      <c r="N38" s="35">
        <v>4160</v>
      </c>
      <c r="O38" s="276"/>
      <c r="P38" s="36">
        <f t="shared" si="5"/>
        <v>69909</v>
      </c>
      <c r="Q38" s="36">
        <f t="shared" si="1"/>
        <v>0</v>
      </c>
      <c r="R38" s="36"/>
      <c r="V38" s="29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5.75" thickBot="1" x14ac:dyDescent="0.3">
      <c r="A39" s="30"/>
      <c r="B39" s="319">
        <v>44020</v>
      </c>
      <c r="C39" s="322">
        <v>2705</v>
      </c>
      <c r="D39" s="357" t="s">
        <v>347</v>
      </c>
      <c r="E39" s="151">
        <v>44020</v>
      </c>
      <c r="F39" s="176">
        <v>81573</v>
      </c>
      <c r="G39" s="152"/>
      <c r="H39" s="153">
        <v>44020</v>
      </c>
      <c r="I39" s="344">
        <v>0</v>
      </c>
      <c r="J39" s="217" t="s">
        <v>357</v>
      </c>
      <c r="K39" s="229" t="s">
        <v>377</v>
      </c>
      <c r="L39" s="288">
        <v>2075</v>
      </c>
      <c r="M39" s="34">
        <v>76950</v>
      </c>
      <c r="N39" s="35">
        <v>1920</v>
      </c>
      <c r="O39" s="276"/>
      <c r="P39" s="36">
        <f t="shared" si="5"/>
        <v>81575</v>
      </c>
      <c r="Q39" s="36">
        <f t="shared" si="1"/>
        <v>2</v>
      </c>
      <c r="R39" s="36"/>
      <c r="V39" s="29"/>
      <c r="W39" s="38"/>
      <c r="X39" s="196"/>
      <c r="Y39" s="41"/>
      <c r="AA39" s="29"/>
      <c r="AB39" s="38"/>
      <c r="AC39" s="196"/>
      <c r="AD39" s="41"/>
      <c r="AF39" s="19"/>
      <c r="AG39" s="167"/>
      <c r="AH39" s="21"/>
    </row>
    <row r="40" spans="1:34" ht="15.75" thickBot="1" x14ac:dyDescent="0.3">
      <c r="A40" s="30"/>
      <c r="B40" s="319">
        <v>44021</v>
      </c>
      <c r="C40" s="322">
        <v>2880</v>
      </c>
      <c r="D40" s="357" t="s">
        <v>348</v>
      </c>
      <c r="E40" s="151">
        <v>44021</v>
      </c>
      <c r="F40" s="176">
        <v>60427</v>
      </c>
      <c r="G40" s="363"/>
      <c r="H40" s="358">
        <v>44021</v>
      </c>
      <c r="I40" s="344">
        <f>35767</f>
        <v>35767</v>
      </c>
      <c r="J40" s="368" t="s">
        <v>349</v>
      </c>
      <c r="K40" s="229"/>
      <c r="L40" s="288"/>
      <c r="M40" s="34">
        <v>55412</v>
      </c>
      <c r="N40" s="35">
        <v>2135</v>
      </c>
      <c r="O40" s="276"/>
      <c r="P40" s="36">
        <f>C40+I40+M40+N40</f>
        <v>96194</v>
      </c>
      <c r="Q40" s="369">
        <f t="shared" si="1"/>
        <v>35767</v>
      </c>
      <c r="R40" s="36"/>
      <c r="V40" s="29"/>
      <c r="W40" s="38"/>
      <c r="X40" s="196"/>
      <c r="Y40" s="41"/>
      <c r="AA40" s="29"/>
      <c r="AB40" s="38"/>
      <c r="AC40" s="196"/>
      <c r="AD40" s="41"/>
      <c r="AF40" s="19"/>
      <c r="AG40" s="167"/>
      <c r="AH40" s="21"/>
    </row>
    <row r="41" spans="1:34" ht="16.5" thickBot="1" x14ac:dyDescent="0.3">
      <c r="A41" s="105"/>
      <c r="B41" s="319">
        <v>44022</v>
      </c>
      <c r="C41" s="360">
        <v>9694</v>
      </c>
      <c r="D41" s="371" t="s">
        <v>352</v>
      </c>
      <c r="E41" s="362">
        <v>44022</v>
      </c>
      <c r="F41" s="370">
        <v>121105</v>
      </c>
      <c r="G41" s="364"/>
      <c r="H41" s="358">
        <v>44022</v>
      </c>
      <c r="I41" s="107">
        <v>12020</v>
      </c>
      <c r="J41" s="228"/>
      <c r="K41" s="265"/>
      <c r="L41" s="77"/>
      <c r="M41" s="176">
        <v>93691</v>
      </c>
      <c r="N41" s="176">
        <v>5700</v>
      </c>
      <c r="O41" s="277"/>
      <c r="P41" s="36">
        <f t="shared" ref="P41:P46" si="6">C41+I41+M41+N41</f>
        <v>121105</v>
      </c>
      <c r="Q41" s="36">
        <f t="shared" si="1"/>
        <v>0</v>
      </c>
      <c r="R41" s="114"/>
      <c r="V41" s="29"/>
      <c r="W41" s="44" t="s">
        <v>11</v>
      </c>
      <c r="X41" s="196">
        <v>0</v>
      </c>
      <c r="Y41" s="41"/>
      <c r="AA41" s="29">
        <v>43973</v>
      </c>
      <c r="AB41" s="44" t="s">
        <v>11</v>
      </c>
      <c r="AC41" s="196">
        <v>5010</v>
      </c>
      <c r="AD41" s="41"/>
      <c r="AF41" s="19" t="s">
        <v>160</v>
      </c>
      <c r="AG41" s="167"/>
      <c r="AH41" s="21">
        <v>0</v>
      </c>
    </row>
    <row r="42" spans="1:34" ht="16.5" thickBot="1" x14ac:dyDescent="0.3">
      <c r="A42" s="105"/>
      <c r="B42" s="319">
        <v>44023</v>
      </c>
      <c r="C42" s="360">
        <v>2148</v>
      </c>
      <c r="D42" s="372" t="s">
        <v>83</v>
      </c>
      <c r="E42" s="361">
        <v>44023</v>
      </c>
      <c r="F42" s="107">
        <v>124490</v>
      </c>
      <c r="G42" s="364"/>
      <c r="H42" s="358">
        <v>44023</v>
      </c>
      <c r="I42" s="107">
        <v>238</v>
      </c>
      <c r="J42" s="425" t="s">
        <v>385</v>
      </c>
      <c r="K42" s="359" t="s">
        <v>378</v>
      </c>
      <c r="L42" s="77">
        <v>4792</v>
      </c>
      <c r="M42" s="176">
        <v>108611</v>
      </c>
      <c r="N42" s="176">
        <v>5657</v>
      </c>
      <c r="O42" s="277"/>
      <c r="P42" s="36">
        <f>C42+I42+M42+N42+L19</f>
        <v>132328.59</v>
      </c>
      <c r="Q42" s="373">
        <f t="shared" si="1"/>
        <v>7838.5899999999965</v>
      </c>
      <c r="R42" s="114"/>
      <c r="V42" s="29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105"/>
      <c r="B43" s="319">
        <v>44024</v>
      </c>
      <c r="C43" s="360">
        <v>3042</v>
      </c>
      <c r="D43" s="372" t="s">
        <v>354</v>
      </c>
      <c r="E43" s="151">
        <v>44024</v>
      </c>
      <c r="F43" s="107">
        <v>68031</v>
      </c>
      <c r="G43" s="364"/>
      <c r="H43" s="358">
        <v>44024</v>
      </c>
      <c r="I43" s="107">
        <v>0</v>
      </c>
      <c r="J43" s="228"/>
      <c r="K43" s="359"/>
      <c r="L43" s="77"/>
      <c r="M43" s="176">
        <v>63676</v>
      </c>
      <c r="N43" s="176">
        <v>1313</v>
      </c>
      <c r="O43" s="277"/>
      <c r="P43" s="36">
        <f t="shared" si="6"/>
        <v>68031</v>
      </c>
      <c r="Q43" s="36">
        <f t="shared" si="1"/>
        <v>0</v>
      </c>
      <c r="R43" s="114"/>
      <c r="V43" s="29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105"/>
      <c r="B44" s="319">
        <v>44025</v>
      </c>
      <c r="C44" s="389">
        <v>6560.96</v>
      </c>
      <c r="D44" s="372" t="s">
        <v>360</v>
      </c>
      <c r="E44" s="151">
        <v>44025</v>
      </c>
      <c r="F44" s="107">
        <v>88944</v>
      </c>
      <c r="G44" s="364"/>
      <c r="H44" s="358">
        <v>44025</v>
      </c>
      <c r="I44" s="107">
        <v>0</v>
      </c>
      <c r="J44" s="228"/>
      <c r="K44" s="359"/>
      <c r="L44" s="77"/>
      <c r="M44" s="176">
        <v>78406</v>
      </c>
      <c r="N44" s="176">
        <v>3977</v>
      </c>
      <c r="O44" s="277"/>
      <c r="P44" s="36">
        <f t="shared" si="6"/>
        <v>88943.96</v>
      </c>
      <c r="Q44" s="36">
        <f t="shared" si="1"/>
        <v>-3.9999999993597157E-2</v>
      </c>
      <c r="R44" s="114"/>
      <c r="V44" s="29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105"/>
      <c r="B45" s="391">
        <v>44026</v>
      </c>
      <c r="C45" s="387">
        <v>4450</v>
      </c>
      <c r="D45" s="372" t="s">
        <v>359</v>
      </c>
      <c r="E45" s="151">
        <v>44026</v>
      </c>
      <c r="F45" s="107">
        <v>83382</v>
      </c>
      <c r="G45" s="364"/>
      <c r="H45" s="358">
        <v>44026</v>
      </c>
      <c r="I45" s="107">
        <v>39</v>
      </c>
      <c r="J45" s="365"/>
      <c r="K45" s="359"/>
      <c r="L45" s="77"/>
      <c r="M45" s="176">
        <v>77874</v>
      </c>
      <c r="N45" s="176">
        <v>1019</v>
      </c>
      <c r="O45" s="277"/>
      <c r="P45" s="36">
        <f>C45+I45+M45+N45</f>
        <v>83382</v>
      </c>
      <c r="Q45" s="36">
        <f t="shared" si="1"/>
        <v>0</v>
      </c>
      <c r="R45" s="114"/>
      <c r="V45" s="29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x14ac:dyDescent="0.25">
      <c r="A46" s="105"/>
      <c r="B46" s="426"/>
      <c r="C46" s="427"/>
      <c r="D46" s="428"/>
      <c r="E46" s="429"/>
      <c r="F46" s="430"/>
      <c r="G46" s="382"/>
      <c r="H46" s="358"/>
      <c r="I46" s="93"/>
      <c r="J46" s="383"/>
      <c r="K46" s="359"/>
      <c r="L46" s="77"/>
      <c r="M46" s="176">
        <v>0</v>
      </c>
      <c r="N46" s="176">
        <v>0</v>
      </c>
      <c r="O46" s="277"/>
      <c r="P46" s="36">
        <f t="shared" si="6"/>
        <v>0</v>
      </c>
      <c r="Q46" s="36">
        <f t="shared" si="1"/>
        <v>0</v>
      </c>
      <c r="R46" s="114"/>
      <c r="V46" s="29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x14ac:dyDescent="0.25">
      <c r="A47" s="105"/>
      <c r="B47" s="319">
        <v>43986</v>
      </c>
      <c r="C47" s="387">
        <v>20490.72</v>
      </c>
      <c r="D47" s="372" t="s">
        <v>384</v>
      </c>
      <c r="E47" s="358"/>
      <c r="F47" s="93"/>
      <c r="G47" s="382"/>
      <c r="H47" s="358"/>
      <c r="I47" s="93"/>
      <c r="J47" s="383"/>
      <c r="K47" s="359"/>
      <c r="L47" s="77"/>
      <c r="M47" s="176">
        <v>0</v>
      </c>
      <c r="N47" s="176">
        <v>0</v>
      </c>
      <c r="O47" s="277"/>
      <c r="P47" s="36">
        <f>+I47+M47+N47</f>
        <v>0</v>
      </c>
      <c r="Q47" s="36">
        <f t="shared" si="1"/>
        <v>0</v>
      </c>
      <c r="R47" s="114"/>
      <c r="V47" s="29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x14ac:dyDescent="0.25">
      <c r="A48" s="105"/>
      <c r="B48" s="319">
        <v>43988</v>
      </c>
      <c r="C48" s="387">
        <v>17866.36</v>
      </c>
      <c r="D48" s="372" t="s">
        <v>384</v>
      </c>
      <c r="E48" s="358"/>
      <c r="F48" s="93"/>
      <c r="G48" s="382"/>
      <c r="H48" s="358"/>
      <c r="I48" s="93"/>
      <c r="J48" s="383"/>
      <c r="K48" s="359"/>
      <c r="L48" s="77"/>
      <c r="M48" s="176">
        <v>0</v>
      </c>
      <c r="N48" s="176">
        <v>0</v>
      </c>
      <c r="O48" s="277"/>
      <c r="P48" s="36">
        <f t="shared" ref="P48:P65" si="7">+I48+M48+N48</f>
        <v>0</v>
      </c>
      <c r="Q48" s="36">
        <f t="shared" si="1"/>
        <v>0</v>
      </c>
      <c r="R48" s="114"/>
      <c r="V48" s="29"/>
      <c r="W48" s="44"/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x14ac:dyDescent="0.25">
      <c r="A49" s="105"/>
      <c r="B49" s="319">
        <v>43992</v>
      </c>
      <c r="C49" s="387">
        <v>13936.04</v>
      </c>
      <c r="D49" s="372" t="s">
        <v>384</v>
      </c>
      <c r="E49" s="358"/>
      <c r="F49" s="93"/>
      <c r="G49" s="382"/>
      <c r="H49" s="358"/>
      <c r="I49" s="93"/>
      <c r="J49" s="383"/>
      <c r="K49" s="359"/>
      <c r="L49" s="77"/>
      <c r="M49" s="176">
        <v>0</v>
      </c>
      <c r="N49" s="176">
        <v>0</v>
      </c>
      <c r="O49" s="277"/>
      <c r="P49" s="36">
        <f t="shared" si="7"/>
        <v>0</v>
      </c>
      <c r="Q49" s="36">
        <f t="shared" si="1"/>
        <v>0</v>
      </c>
      <c r="R49" s="114"/>
      <c r="V49" s="29"/>
      <c r="W49" s="44"/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x14ac:dyDescent="0.25">
      <c r="A50" s="105"/>
      <c r="B50" s="384">
        <v>43993</v>
      </c>
      <c r="C50" s="387">
        <v>25553.72</v>
      </c>
      <c r="D50" s="372" t="s">
        <v>384</v>
      </c>
      <c r="E50" s="358"/>
      <c r="F50" s="93"/>
      <c r="G50" s="382"/>
      <c r="H50" s="358"/>
      <c r="I50" s="93"/>
      <c r="J50" s="383"/>
      <c r="K50" s="359"/>
      <c r="L50" s="77"/>
      <c r="M50" s="176">
        <v>0</v>
      </c>
      <c r="N50" s="176">
        <v>0</v>
      </c>
      <c r="O50" s="277"/>
      <c r="P50" s="36">
        <f t="shared" si="7"/>
        <v>0</v>
      </c>
      <c r="Q50" s="36">
        <f t="shared" si="1"/>
        <v>0</v>
      </c>
      <c r="R50" s="114"/>
      <c r="V50" s="29"/>
      <c r="W50" s="44"/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x14ac:dyDescent="0.25">
      <c r="A51" s="105"/>
      <c r="B51" s="384">
        <v>43995</v>
      </c>
      <c r="C51" s="403">
        <v>5188.4799999999996</v>
      </c>
      <c r="D51" s="372" t="s">
        <v>370</v>
      </c>
      <c r="E51" s="358"/>
      <c r="F51" s="93"/>
      <c r="G51" s="382"/>
      <c r="H51" s="358"/>
      <c r="I51" s="93"/>
      <c r="J51" s="383"/>
      <c r="K51" s="359"/>
      <c r="L51" s="77"/>
      <c r="M51" s="176">
        <v>0</v>
      </c>
      <c r="N51" s="176">
        <v>0</v>
      </c>
      <c r="O51" s="277"/>
      <c r="P51" s="36">
        <f t="shared" si="7"/>
        <v>0</v>
      </c>
      <c r="Q51" s="36">
        <f t="shared" si="1"/>
        <v>0</v>
      </c>
      <c r="R51" s="114"/>
      <c r="V51" s="29"/>
      <c r="W51" s="44"/>
      <c r="X51" s="196"/>
      <c r="Y51" s="41"/>
      <c r="AA51" s="29"/>
      <c r="AB51" s="44"/>
      <c r="AC51" s="196"/>
      <c r="AD51" s="41"/>
      <c r="AF51" s="19"/>
      <c r="AG51" s="167"/>
      <c r="AH51" s="21"/>
    </row>
    <row r="52" spans="1:34" ht="15.75" x14ac:dyDescent="0.25">
      <c r="A52" s="105"/>
      <c r="B52" s="384">
        <v>43997</v>
      </c>
      <c r="C52" s="387">
        <v>15549.93</v>
      </c>
      <c r="D52" s="372" t="s">
        <v>384</v>
      </c>
      <c r="E52" s="358"/>
      <c r="F52" s="93"/>
      <c r="G52" s="382"/>
      <c r="H52" s="358"/>
      <c r="I52" s="93"/>
      <c r="J52" s="383"/>
      <c r="K52" s="359"/>
      <c r="L52" s="77"/>
      <c r="M52" s="176">
        <v>0</v>
      </c>
      <c r="N52" s="176">
        <v>0</v>
      </c>
      <c r="O52" s="277"/>
      <c r="P52" s="36">
        <f t="shared" si="7"/>
        <v>0</v>
      </c>
      <c r="Q52" s="36">
        <f t="shared" si="1"/>
        <v>0</v>
      </c>
      <c r="R52" s="114"/>
      <c r="V52" s="29"/>
      <c r="W52" s="44"/>
      <c r="X52" s="196"/>
      <c r="Y52" s="41"/>
      <c r="AA52" s="29"/>
      <c r="AB52" s="44"/>
      <c r="AC52" s="196"/>
      <c r="AD52" s="41"/>
      <c r="AF52" s="19"/>
      <c r="AG52" s="167"/>
      <c r="AH52" s="21"/>
    </row>
    <row r="53" spans="1:34" ht="15.75" x14ac:dyDescent="0.25">
      <c r="A53" s="105"/>
      <c r="B53" s="384">
        <v>43999</v>
      </c>
      <c r="C53" s="402">
        <v>30243.02</v>
      </c>
      <c r="D53" s="372" t="s">
        <v>369</v>
      </c>
      <c r="E53" s="358"/>
      <c r="F53" s="93"/>
      <c r="G53" s="382"/>
      <c r="H53" s="358"/>
      <c r="I53" s="93"/>
      <c r="J53" s="383"/>
      <c r="K53" s="359"/>
      <c r="L53" s="77"/>
      <c r="M53" s="176">
        <v>0</v>
      </c>
      <c r="N53" s="176">
        <v>0</v>
      </c>
      <c r="O53" s="277"/>
      <c r="P53" s="36">
        <f t="shared" si="7"/>
        <v>0</v>
      </c>
      <c r="Q53" s="36">
        <f t="shared" si="1"/>
        <v>0</v>
      </c>
      <c r="R53" s="114"/>
      <c r="V53" s="29"/>
      <c r="W53" s="44"/>
      <c r="X53" s="196"/>
      <c r="Y53" s="41"/>
      <c r="AA53" s="29"/>
      <c r="AB53" s="44"/>
      <c r="AC53" s="196"/>
      <c r="AD53" s="41"/>
      <c r="AF53" s="19"/>
      <c r="AG53" s="167"/>
      <c r="AH53" s="21"/>
    </row>
    <row r="54" spans="1:34" ht="15.75" x14ac:dyDescent="0.25">
      <c r="A54" s="105"/>
      <c r="B54" s="384">
        <v>44002</v>
      </c>
      <c r="C54" s="392">
        <v>15580.51</v>
      </c>
      <c r="D54" s="372" t="s">
        <v>80</v>
      </c>
      <c r="E54" s="358"/>
      <c r="F54" s="93"/>
      <c r="G54" s="382"/>
      <c r="H54" s="358"/>
      <c r="I54" s="93"/>
      <c r="J54" s="383"/>
      <c r="K54" s="359"/>
      <c r="L54" s="77"/>
      <c r="M54" s="176">
        <v>0</v>
      </c>
      <c r="N54" s="176">
        <v>0</v>
      </c>
      <c r="O54" s="277"/>
      <c r="P54" s="36">
        <f t="shared" si="7"/>
        <v>0</v>
      </c>
      <c r="Q54" s="36">
        <f t="shared" si="1"/>
        <v>0</v>
      </c>
      <c r="R54" s="114"/>
      <c r="V54" s="29"/>
      <c r="W54" s="44"/>
      <c r="X54" s="196"/>
      <c r="Y54" s="41"/>
      <c r="AA54" s="29"/>
      <c r="AB54" s="44"/>
      <c r="AC54" s="196"/>
      <c r="AD54" s="41"/>
      <c r="AF54" s="19"/>
      <c r="AG54" s="167"/>
      <c r="AH54" s="21"/>
    </row>
    <row r="55" spans="1:34" ht="15.75" x14ac:dyDescent="0.25">
      <c r="A55" s="105"/>
      <c r="B55" s="384">
        <v>44004</v>
      </c>
      <c r="C55" s="402">
        <v>16551.009999999998</v>
      </c>
      <c r="D55" s="372" t="s">
        <v>371</v>
      </c>
      <c r="E55" s="358"/>
      <c r="F55" s="93"/>
      <c r="G55" s="382"/>
      <c r="H55" s="358"/>
      <c r="I55" s="93"/>
      <c r="J55" s="383"/>
      <c r="K55" s="359"/>
      <c r="L55" s="77"/>
      <c r="M55" s="176">
        <v>0</v>
      </c>
      <c r="N55" s="176">
        <v>0</v>
      </c>
      <c r="O55" s="277"/>
      <c r="P55" s="36">
        <f t="shared" si="7"/>
        <v>0</v>
      </c>
      <c r="Q55" s="36">
        <f t="shared" si="1"/>
        <v>0</v>
      </c>
      <c r="R55" s="114"/>
      <c r="V55" s="29"/>
      <c r="W55" s="44"/>
      <c r="X55" s="196"/>
      <c r="Y55" s="41"/>
      <c r="AA55" s="29"/>
      <c r="AB55" s="44"/>
      <c r="AC55" s="196"/>
      <c r="AD55" s="41"/>
      <c r="AF55" s="19"/>
      <c r="AG55" s="167"/>
      <c r="AH55" s="21"/>
    </row>
    <row r="56" spans="1:34" ht="15.75" x14ac:dyDescent="0.25">
      <c r="A56" s="105"/>
      <c r="B56" s="384">
        <v>44006</v>
      </c>
      <c r="C56" s="402">
        <v>14103.63</v>
      </c>
      <c r="D56" s="372" t="s">
        <v>375</v>
      </c>
      <c r="E56" s="358"/>
      <c r="F56" s="93"/>
      <c r="G56" s="382"/>
      <c r="H56" s="358"/>
      <c r="I56" s="93"/>
      <c r="J56" s="383"/>
      <c r="K56" s="359"/>
      <c r="L56" s="77"/>
      <c r="M56" s="176">
        <v>0</v>
      </c>
      <c r="N56" s="176">
        <v>0</v>
      </c>
      <c r="O56" s="277"/>
      <c r="P56" s="36">
        <f t="shared" si="7"/>
        <v>0</v>
      </c>
      <c r="Q56" s="36">
        <f t="shared" si="1"/>
        <v>0</v>
      </c>
      <c r="R56" s="114"/>
      <c r="V56" s="29"/>
      <c r="W56" s="44"/>
      <c r="X56" s="196"/>
      <c r="Y56" s="41"/>
      <c r="AA56" s="29"/>
      <c r="AB56" s="44"/>
      <c r="AC56" s="196"/>
      <c r="AD56" s="41"/>
      <c r="AF56" s="19"/>
      <c r="AG56" s="167"/>
      <c r="AH56" s="21"/>
    </row>
    <row r="57" spans="1:34" ht="15.75" x14ac:dyDescent="0.25">
      <c r="A57" s="105"/>
      <c r="B57" s="384">
        <v>44011</v>
      </c>
      <c r="C57" s="402">
        <v>18181.38</v>
      </c>
      <c r="D57" s="372" t="s">
        <v>372</v>
      </c>
      <c r="E57" s="358"/>
      <c r="F57" s="93"/>
      <c r="G57" s="382"/>
      <c r="H57" s="358"/>
      <c r="I57" s="93"/>
      <c r="J57" s="383"/>
      <c r="K57" s="359"/>
      <c r="L57" s="77"/>
      <c r="M57" s="176">
        <v>0</v>
      </c>
      <c r="N57" s="176">
        <v>0</v>
      </c>
      <c r="O57" s="277"/>
      <c r="P57" s="36">
        <f t="shared" si="7"/>
        <v>0</v>
      </c>
      <c r="Q57" s="36">
        <f t="shared" si="1"/>
        <v>0</v>
      </c>
      <c r="R57" s="114"/>
      <c r="V57" s="29"/>
      <c r="W57" s="44"/>
      <c r="X57" s="196"/>
      <c r="Y57" s="41"/>
      <c r="AA57" s="29"/>
      <c r="AB57" s="44"/>
      <c r="AC57" s="196"/>
      <c r="AD57" s="41"/>
      <c r="AF57" s="19"/>
      <c r="AG57" s="167"/>
      <c r="AH57" s="21"/>
    </row>
    <row r="58" spans="1:34" ht="15.75" x14ac:dyDescent="0.25">
      <c r="A58" s="105"/>
      <c r="B58" s="384">
        <v>44015</v>
      </c>
      <c r="C58" s="402">
        <v>20548.68</v>
      </c>
      <c r="D58" s="372" t="s">
        <v>373</v>
      </c>
      <c r="E58" s="358"/>
      <c r="F58" s="93"/>
      <c r="G58" s="382"/>
      <c r="H58" s="358"/>
      <c r="I58" s="93"/>
      <c r="J58" s="383"/>
      <c r="K58" s="359"/>
      <c r="L58" s="77"/>
      <c r="M58" s="176">
        <v>0</v>
      </c>
      <c r="N58" s="176">
        <v>0</v>
      </c>
      <c r="O58" s="277"/>
      <c r="P58" s="36">
        <f t="shared" si="7"/>
        <v>0</v>
      </c>
      <c r="Q58" s="36">
        <f t="shared" si="1"/>
        <v>0</v>
      </c>
      <c r="R58" s="114"/>
      <c r="V58" s="29"/>
      <c r="W58" s="44"/>
      <c r="X58" s="196"/>
      <c r="Y58" s="41"/>
      <c r="AA58" s="29"/>
      <c r="AB58" s="44"/>
      <c r="AC58" s="196"/>
      <c r="AD58" s="41"/>
      <c r="AF58" s="19"/>
      <c r="AG58" s="167"/>
      <c r="AH58" s="21"/>
    </row>
    <row r="59" spans="1:34" ht="15.75" x14ac:dyDescent="0.25">
      <c r="A59" s="105"/>
      <c r="B59" s="384">
        <v>44019</v>
      </c>
      <c r="C59" s="392">
        <v>18086.080000000002</v>
      </c>
      <c r="D59" s="372" t="s">
        <v>80</v>
      </c>
      <c r="E59" s="358"/>
      <c r="F59" s="93"/>
      <c r="G59" s="382"/>
      <c r="H59" s="358"/>
      <c r="I59" s="93"/>
      <c r="J59" s="383"/>
      <c r="K59" s="359"/>
      <c r="L59" s="77"/>
      <c r="M59" s="176">
        <v>0</v>
      </c>
      <c r="N59" s="176">
        <v>0</v>
      </c>
      <c r="O59" s="277"/>
      <c r="P59" s="36">
        <f t="shared" si="7"/>
        <v>0</v>
      </c>
      <c r="Q59" s="36">
        <f t="shared" si="1"/>
        <v>0</v>
      </c>
      <c r="R59" s="114"/>
      <c r="V59" s="29"/>
      <c r="W59" s="44"/>
      <c r="X59" s="196"/>
      <c r="Y59" s="41"/>
      <c r="AA59" s="29"/>
      <c r="AB59" s="44"/>
      <c r="AC59" s="196"/>
      <c r="AD59" s="41"/>
      <c r="AF59" s="19"/>
      <c r="AG59" s="167"/>
      <c r="AH59" s="21"/>
    </row>
    <row r="60" spans="1:34" ht="15.75" x14ac:dyDescent="0.25">
      <c r="A60" s="105"/>
      <c r="B60" s="384">
        <v>44022</v>
      </c>
      <c r="C60" s="402">
        <v>20753.509999999998</v>
      </c>
      <c r="D60" s="372" t="s">
        <v>374</v>
      </c>
      <c r="E60" s="358"/>
      <c r="F60" s="93"/>
      <c r="G60" s="382"/>
      <c r="H60" s="423"/>
      <c r="I60" s="36"/>
      <c r="J60" s="383"/>
      <c r="K60" s="359"/>
      <c r="L60" s="77"/>
      <c r="M60" s="176">
        <v>0</v>
      </c>
      <c r="N60" s="176">
        <v>0</v>
      </c>
      <c r="O60" s="277"/>
      <c r="P60" s="36">
        <f t="shared" si="7"/>
        <v>0</v>
      </c>
      <c r="Q60" s="36">
        <f t="shared" si="1"/>
        <v>0</v>
      </c>
      <c r="R60" s="114"/>
      <c r="V60" s="29"/>
      <c r="W60" s="44"/>
      <c r="X60" s="196"/>
      <c r="Y60" s="41"/>
      <c r="AA60" s="29"/>
      <c r="AB60" s="44"/>
      <c r="AC60" s="196"/>
      <c r="AD60" s="41"/>
      <c r="AF60" s="19"/>
      <c r="AG60" s="167"/>
      <c r="AH60" s="21"/>
    </row>
    <row r="61" spans="1:34" ht="23.25" customHeight="1" x14ac:dyDescent="0.3">
      <c r="A61" s="105"/>
      <c r="B61" s="384">
        <v>44004</v>
      </c>
      <c r="C61" s="389">
        <v>25135.38</v>
      </c>
      <c r="D61" s="372" t="s">
        <v>376</v>
      </c>
      <c r="E61" s="358"/>
      <c r="F61" s="93"/>
      <c r="G61" s="382"/>
      <c r="H61" s="423"/>
      <c r="I61" s="422"/>
      <c r="J61" s="383"/>
      <c r="K61" s="359"/>
      <c r="L61" s="77"/>
      <c r="M61" s="176">
        <v>0</v>
      </c>
      <c r="N61" s="176">
        <v>0</v>
      </c>
      <c r="O61" s="277"/>
      <c r="P61" s="36">
        <v>0</v>
      </c>
      <c r="Q61" s="36">
        <f t="shared" si="1"/>
        <v>0</v>
      </c>
      <c r="R61" s="114"/>
      <c r="V61" s="29"/>
      <c r="W61" s="44"/>
      <c r="X61" s="196"/>
      <c r="Y61" s="41"/>
      <c r="AA61" s="29"/>
      <c r="AB61" s="44"/>
      <c r="AC61" s="196"/>
      <c r="AD61" s="41"/>
      <c r="AF61" s="19"/>
      <c r="AG61" s="167"/>
      <c r="AH61" s="21"/>
    </row>
    <row r="62" spans="1:34" ht="18" customHeight="1" x14ac:dyDescent="0.3">
      <c r="A62" s="401"/>
      <c r="B62" s="384">
        <v>44006</v>
      </c>
      <c r="C62" s="389">
        <v>41675.78</v>
      </c>
      <c r="D62" s="372" t="s">
        <v>368</v>
      </c>
      <c r="E62" s="358"/>
      <c r="F62" s="93"/>
      <c r="G62" s="382"/>
      <c r="H62" s="404"/>
      <c r="I62" s="422"/>
      <c r="J62" s="383"/>
      <c r="K62" s="359"/>
      <c r="L62" s="77"/>
      <c r="M62" s="400"/>
      <c r="N62" s="400"/>
      <c r="O62" s="277"/>
      <c r="P62" s="36"/>
      <c r="Q62" s="36"/>
      <c r="R62" s="114"/>
      <c r="V62" s="29"/>
      <c r="W62" s="44"/>
      <c r="X62" s="196"/>
      <c r="Y62" s="41"/>
      <c r="AA62" s="29"/>
      <c r="AB62" s="44"/>
      <c r="AC62" s="196"/>
      <c r="AD62" s="41"/>
      <c r="AF62" s="19"/>
      <c r="AG62" s="167"/>
      <c r="AH62" s="21"/>
    </row>
    <row r="63" spans="1:34" ht="18" customHeight="1" x14ac:dyDescent="0.3">
      <c r="A63" s="105"/>
      <c r="B63" s="384">
        <v>44012</v>
      </c>
      <c r="C63" s="389">
        <v>50865.279999999999</v>
      </c>
      <c r="D63" s="372" t="s">
        <v>376</v>
      </c>
      <c r="E63" s="358"/>
      <c r="F63" s="93"/>
      <c r="G63" s="382"/>
      <c r="H63" s="404"/>
      <c r="I63" s="393"/>
      <c r="J63" s="383"/>
      <c r="K63" s="359"/>
      <c r="L63" s="77"/>
      <c r="M63" s="400"/>
      <c r="N63" s="400"/>
      <c r="O63" s="277"/>
      <c r="P63" s="36"/>
      <c r="Q63" s="36"/>
      <c r="R63" s="114"/>
      <c r="V63" s="29"/>
      <c r="W63" s="44"/>
      <c r="X63" s="196"/>
      <c r="Y63" s="41"/>
      <c r="AA63" s="29"/>
      <c r="AB63" s="44"/>
      <c r="AC63" s="196"/>
      <c r="AD63" s="41"/>
      <c r="AF63" s="19"/>
      <c r="AG63" s="167"/>
      <c r="AH63" s="21"/>
    </row>
    <row r="64" spans="1:34" ht="18" customHeight="1" x14ac:dyDescent="0.3">
      <c r="A64" s="105"/>
      <c r="B64" s="384"/>
      <c r="C64" s="389"/>
      <c r="D64" s="372"/>
      <c r="E64" s="358"/>
      <c r="F64" s="93"/>
      <c r="G64" s="382"/>
      <c r="H64" s="404"/>
      <c r="I64" s="393"/>
      <c r="J64" s="383"/>
      <c r="K64" s="359"/>
      <c r="L64" s="77"/>
      <c r="M64" s="400"/>
      <c r="N64" s="400"/>
      <c r="O64" s="277"/>
      <c r="P64" s="36"/>
      <c r="Q64" s="36"/>
      <c r="R64" s="114"/>
      <c r="V64" s="29"/>
      <c r="W64" s="44"/>
      <c r="X64" s="196"/>
      <c r="Y64" s="41"/>
      <c r="AA64" s="29"/>
      <c r="AB64" s="44"/>
      <c r="AC64" s="196"/>
      <c r="AD64" s="41"/>
      <c r="AF64" s="19"/>
      <c r="AG64" s="167"/>
      <c r="AH64" s="21"/>
    </row>
    <row r="65" spans="1:34" ht="16.5" thickBot="1" x14ac:dyDescent="0.3">
      <c r="A65" s="105"/>
      <c r="B65" s="384"/>
      <c r="C65" s="388"/>
      <c r="D65" s="372"/>
      <c r="E65" s="358"/>
      <c r="F65" s="93"/>
      <c r="G65" s="382"/>
      <c r="H65" s="358"/>
      <c r="I65" s="93"/>
      <c r="J65" s="383"/>
      <c r="K65" s="359"/>
      <c r="L65" s="77"/>
      <c r="M65" s="212">
        <v>0</v>
      </c>
      <c r="N65" s="212">
        <v>0</v>
      </c>
      <c r="O65" s="277"/>
      <c r="P65" s="104">
        <f t="shared" si="7"/>
        <v>0</v>
      </c>
      <c r="Q65" s="104">
        <f t="shared" si="1"/>
        <v>0</v>
      </c>
      <c r="R65" s="114"/>
      <c r="V65" s="29"/>
      <c r="W65" s="44"/>
      <c r="X65" s="196"/>
      <c r="Y65" s="41"/>
      <c r="AA65" s="29"/>
      <c r="AB65" s="44"/>
      <c r="AC65" s="196"/>
      <c r="AD65" s="41"/>
      <c r="AF65" s="19"/>
      <c r="AG65" s="167"/>
      <c r="AH65" s="21"/>
    </row>
    <row r="66" spans="1:34" ht="16.5" thickBot="1" x14ac:dyDescent="0.3">
      <c r="B66" s="385" t="s">
        <v>16</v>
      </c>
      <c r="C66" s="386">
        <f>SUM(C5:C65)</f>
        <v>544634.79000000015</v>
      </c>
      <c r="D66" s="117"/>
      <c r="E66" s="303" t="s">
        <v>16</v>
      </c>
      <c r="F66" s="304">
        <f>SUM(F5:F45)</f>
        <v>3275271</v>
      </c>
      <c r="G66" s="117"/>
      <c r="H66" s="120" t="s">
        <v>303</v>
      </c>
      <c r="I66" s="121">
        <f>SUM(I5:I61)</f>
        <v>134356.81</v>
      </c>
      <c r="J66" s="332"/>
      <c r="K66" s="122" t="s">
        <v>304</v>
      </c>
      <c r="L66" s="123">
        <f>SUM(L6:L61)</f>
        <v>260149.24999999997</v>
      </c>
      <c r="M66" s="131">
        <f>SUM(M5:M65)</f>
        <v>2807407</v>
      </c>
      <c r="N66" s="131">
        <f>SUM(N5:N65)</f>
        <v>138100</v>
      </c>
      <c r="O66" s="278"/>
      <c r="P66" s="36">
        <f>SUM(P5:P45)</f>
        <v>3382714.1399999997</v>
      </c>
      <c r="Q66" s="36">
        <f>SUM(Q5:Q45)</f>
        <v>107443.14000000001</v>
      </c>
      <c r="R66" s="36"/>
      <c r="V66" s="29"/>
      <c r="W66" s="38" t="s">
        <v>10</v>
      </c>
      <c r="X66" s="196">
        <v>0</v>
      </c>
      <c r="Y66" s="41"/>
      <c r="AA66" s="29">
        <v>43973</v>
      </c>
      <c r="AB66" s="38" t="s">
        <v>10</v>
      </c>
      <c r="AC66" s="196">
        <v>5010</v>
      </c>
      <c r="AD66" s="41"/>
      <c r="AF66" s="19" t="s">
        <v>161</v>
      </c>
      <c r="AG66" s="167"/>
      <c r="AH66" s="21">
        <v>0</v>
      </c>
    </row>
    <row r="67" spans="1:34" ht="17.25" customHeight="1" thickTop="1" thickBot="1" x14ac:dyDescent="0.3">
      <c r="C67" s="8" t="s">
        <v>12</v>
      </c>
      <c r="O67" s="279"/>
      <c r="P67" s="114"/>
      <c r="Q67" s="114"/>
      <c r="V67" s="29"/>
      <c r="W67" s="44" t="s">
        <v>11</v>
      </c>
      <c r="X67" s="196">
        <v>0</v>
      </c>
      <c r="Y67" s="41"/>
      <c r="AA67" s="29">
        <v>43980</v>
      </c>
      <c r="AB67" s="44" t="s">
        <v>11</v>
      </c>
      <c r="AC67" s="196">
        <v>5010</v>
      </c>
      <c r="AD67" s="41"/>
      <c r="AF67" s="19" t="s">
        <v>162</v>
      </c>
      <c r="AG67" s="167"/>
      <c r="AH67" s="21">
        <v>0</v>
      </c>
    </row>
    <row r="68" spans="1:34" ht="19.5" thickBot="1" x14ac:dyDescent="0.3">
      <c r="A68" s="59"/>
      <c r="B68" s="125"/>
      <c r="C68" s="4"/>
      <c r="H68" s="457" t="s">
        <v>18</v>
      </c>
      <c r="I68" s="458"/>
      <c r="J68" s="333"/>
      <c r="K68" s="459">
        <f>I66+L66</f>
        <v>394506.05999999994</v>
      </c>
      <c r="L68" s="460"/>
      <c r="M68" s="455">
        <f>M66+N66</f>
        <v>2945507</v>
      </c>
      <c r="N68" s="456"/>
      <c r="P68" s="127"/>
      <c r="S68" s="5"/>
      <c r="T68" s="128"/>
      <c r="U68" s="128"/>
      <c r="V68" s="29"/>
      <c r="W68" s="38" t="s">
        <v>10</v>
      </c>
      <c r="X68" s="196">
        <v>0</v>
      </c>
      <c r="Y68" s="41"/>
      <c r="Z68" s="128"/>
      <c r="AA68" s="29">
        <v>43980</v>
      </c>
      <c r="AB68" s="38" t="s">
        <v>10</v>
      </c>
      <c r="AC68" s="196">
        <v>5010</v>
      </c>
      <c r="AD68" s="41"/>
      <c r="AF68" s="19" t="s">
        <v>163</v>
      </c>
      <c r="AG68" s="167"/>
      <c r="AH68" s="21">
        <v>0</v>
      </c>
    </row>
    <row r="69" spans="1:34" ht="15.75" x14ac:dyDescent="0.25">
      <c r="D69" s="461" t="s">
        <v>19</v>
      </c>
      <c r="E69" s="461"/>
      <c r="F69" s="129">
        <f>F66-K68-C66</f>
        <v>2336130.15</v>
      </c>
      <c r="I69" s="130"/>
      <c r="J69" s="334"/>
      <c r="P69" s="127"/>
      <c r="V69" s="29"/>
      <c r="W69" s="44" t="s">
        <v>11</v>
      </c>
      <c r="X69" s="196">
        <v>0</v>
      </c>
      <c r="Y69" s="41"/>
      <c r="AA69" s="29">
        <v>43987</v>
      </c>
      <c r="AB69" s="44" t="s">
        <v>11</v>
      </c>
      <c r="AC69" s="196">
        <v>5010</v>
      </c>
      <c r="AD69" s="41"/>
      <c r="AF69" s="19" t="s">
        <v>164</v>
      </c>
      <c r="AG69" s="167"/>
      <c r="AH69" s="21">
        <v>0</v>
      </c>
    </row>
    <row r="70" spans="1:34" ht="18.75" x14ac:dyDescent="0.3">
      <c r="D70" s="443" t="s">
        <v>20</v>
      </c>
      <c r="E70" s="443"/>
      <c r="F70" s="131">
        <v>-2046393.89</v>
      </c>
      <c r="I70" s="444" t="s">
        <v>21</v>
      </c>
      <c r="J70" s="445"/>
      <c r="K70" s="446">
        <f>F75</f>
        <v>528592.64000000001</v>
      </c>
      <c r="L70" s="447"/>
      <c r="P70" s="406"/>
      <c r="Q70" s="36"/>
      <c r="V70" s="29"/>
      <c r="W70" s="38" t="s">
        <v>10</v>
      </c>
      <c r="X70" s="196">
        <v>0</v>
      </c>
      <c r="Y70" s="41"/>
      <c r="AA70" s="29">
        <v>43987</v>
      </c>
      <c r="AB70" s="38" t="s">
        <v>10</v>
      </c>
      <c r="AC70" s="196">
        <v>5010</v>
      </c>
      <c r="AD70" s="41"/>
      <c r="AF70" s="19" t="s">
        <v>165</v>
      </c>
      <c r="AG70" s="167"/>
      <c r="AH70" s="21">
        <v>0</v>
      </c>
    </row>
    <row r="71" spans="1:34" ht="4.5" customHeight="1" thickBot="1" x14ac:dyDescent="0.35">
      <c r="D71" s="132"/>
      <c r="E71" s="133"/>
      <c r="F71" s="134">
        <v>0</v>
      </c>
      <c r="I71" s="135"/>
      <c r="J71" s="335"/>
      <c r="K71" s="136"/>
      <c r="L71" s="136"/>
      <c r="P71" s="127"/>
      <c r="Q71" s="36"/>
      <c r="V71" s="8"/>
      <c r="W71" s="44" t="s">
        <v>11</v>
      </c>
      <c r="X71" s="196">
        <v>0</v>
      </c>
      <c r="AA71" s="8"/>
      <c r="AB71" s="44" t="s">
        <v>11</v>
      </c>
      <c r="AC71" s="196">
        <v>0</v>
      </c>
    </row>
    <row r="72" spans="1:34" ht="20.25" thickTop="1" thickBot="1" x14ac:dyDescent="0.35">
      <c r="C72" s="16" t="s">
        <v>12</v>
      </c>
      <c r="E72" s="59" t="s">
        <v>22</v>
      </c>
      <c r="F72" s="131">
        <f>SUM(F69:F71)</f>
        <v>289736.26</v>
      </c>
      <c r="H72" s="30"/>
      <c r="I72" s="137" t="s">
        <v>23</v>
      </c>
      <c r="J72" s="336"/>
      <c r="K72" s="474">
        <f>-C4</f>
        <v>-258902.98</v>
      </c>
      <c r="L72" s="475"/>
      <c r="M72" s="214"/>
      <c r="P72" s="127"/>
      <c r="Q72" s="36"/>
      <c r="V72" s="8"/>
      <c r="W72" s="65" t="s">
        <v>16</v>
      </c>
      <c r="X72" s="66">
        <f>SUM(X4:X14)</f>
        <v>105110</v>
      </c>
      <c r="AA72" s="8"/>
      <c r="AB72" s="65" t="s">
        <v>323</v>
      </c>
      <c r="AC72" s="66">
        <f>SUM(AC4:AC14)</f>
        <v>55110</v>
      </c>
    </row>
    <row r="73" spans="1:34" ht="16.5" thickBot="1" x14ac:dyDescent="0.3">
      <c r="D73" s="139" t="s">
        <v>24</v>
      </c>
      <c r="E73" s="59" t="s">
        <v>25</v>
      </c>
      <c r="F73" s="140">
        <v>9148</v>
      </c>
      <c r="P73" s="127"/>
      <c r="Q73" s="36"/>
      <c r="V73" s="8"/>
      <c r="AA73" s="8"/>
    </row>
    <row r="74" spans="1:34" ht="20.25" thickTop="1" thickBot="1" x14ac:dyDescent="0.35">
      <c r="C74" s="231">
        <v>44026</v>
      </c>
      <c r="D74" s="476" t="s">
        <v>26</v>
      </c>
      <c r="E74" s="477"/>
      <c r="F74" s="142">
        <v>229708.38</v>
      </c>
      <c r="I74" s="478" t="s">
        <v>129</v>
      </c>
      <c r="J74" s="479"/>
      <c r="K74" s="480">
        <f>K70+K72</f>
        <v>269689.66000000003</v>
      </c>
      <c r="L74" s="481"/>
      <c r="P74" s="407"/>
      <c r="Q74" s="36"/>
    </row>
    <row r="75" spans="1:34" ht="18.75" x14ac:dyDescent="0.3">
      <c r="C75" s="143"/>
      <c r="D75" s="144"/>
      <c r="E75" s="61" t="s">
        <v>27</v>
      </c>
      <c r="F75" s="145">
        <f>F72+F73+F74</f>
        <v>528592.64000000001</v>
      </c>
      <c r="J75" s="337"/>
      <c r="M75" s="146"/>
      <c r="P75" s="36"/>
      <c r="Q75" s="36"/>
    </row>
    <row r="76" spans="1:34" x14ac:dyDescent="0.25">
      <c r="P76" s="36"/>
      <c r="Q76" s="36"/>
    </row>
    <row r="77" spans="1:34" x14ac:dyDescent="0.25">
      <c r="B77"/>
      <c r="C77"/>
      <c r="D77" s="482"/>
      <c r="E77" s="482"/>
      <c r="M77" s="147"/>
      <c r="N77" s="59"/>
      <c r="O77" s="59"/>
      <c r="P77" s="405"/>
      <c r="Q77" s="191"/>
      <c r="R77" s="186"/>
    </row>
    <row r="78" spans="1:34" x14ac:dyDescent="0.25">
      <c r="B78"/>
      <c r="C78"/>
      <c r="M78" s="147"/>
      <c r="N78" s="59"/>
      <c r="O78" s="59"/>
      <c r="P78" s="191"/>
      <c r="Q78" s="191"/>
      <c r="R78" s="186"/>
    </row>
    <row r="79" spans="1:34" x14ac:dyDescent="0.25">
      <c r="B79"/>
      <c r="C79"/>
      <c r="K79" s="382"/>
      <c r="L79" s="382"/>
      <c r="N79" s="59"/>
      <c r="O79" s="59"/>
      <c r="P79" s="191"/>
      <c r="Q79" s="191"/>
      <c r="R79" s="186"/>
    </row>
    <row r="80" spans="1:34" x14ac:dyDescent="0.25">
      <c r="B80"/>
      <c r="C80"/>
      <c r="F80"/>
      <c r="I80"/>
      <c r="J80" s="222"/>
      <c r="K80" s="382"/>
      <c r="L80" s="396"/>
      <c r="M80"/>
      <c r="N80" s="59"/>
      <c r="O80" s="59"/>
      <c r="P80" s="59"/>
      <c r="Q80" s="186"/>
      <c r="R80" s="186"/>
    </row>
    <row r="81" spans="2:18" x14ac:dyDescent="0.25">
      <c r="B81"/>
      <c r="C81"/>
      <c r="F81" s="148"/>
      <c r="K81" s="382"/>
      <c r="L81" s="396"/>
      <c r="N81" s="59"/>
      <c r="O81" s="59"/>
      <c r="P81" s="59"/>
      <c r="Q81" s="186"/>
      <c r="R81" s="186"/>
    </row>
    <row r="82" spans="2:18" x14ac:dyDescent="0.25">
      <c r="F82" s="36"/>
      <c r="K82" s="382"/>
      <c r="L82" s="396"/>
      <c r="M82" s="4"/>
      <c r="N82" s="59"/>
      <c r="O82" s="59"/>
      <c r="P82" s="59"/>
      <c r="Q82" s="186"/>
      <c r="R82" s="186"/>
    </row>
    <row r="83" spans="2:18" x14ac:dyDescent="0.25">
      <c r="F83" s="36"/>
      <c r="K83" s="382"/>
      <c r="L83" s="293"/>
      <c r="M83" s="4"/>
      <c r="N83" s="59"/>
      <c r="O83" s="59"/>
      <c r="P83" s="59"/>
      <c r="Q83" s="186"/>
      <c r="R83" s="186"/>
    </row>
    <row r="84" spans="2:18" x14ac:dyDescent="0.25">
      <c r="F84" s="36"/>
      <c r="K84" s="382"/>
      <c r="L84" s="396"/>
      <c r="M84" s="4"/>
      <c r="N84" s="59"/>
      <c r="O84" s="59"/>
      <c r="P84" s="59"/>
      <c r="Q84" s="186"/>
      <c r="R84" s="186"/>
    </row>
    <row r="85" spans="2:18" x14ac:dyDescent="0.25">
      <c r="F85" s="36"/>
      <c r="K85" s="382"/>
      <c r="L85" s="396"/>
      <c r="M85" s="4"/>
      <c r="N85" s="59"/>
      <c r="O85" s="59"/>
      <c r="P85" s="59"/>
      <c r="Q85" s="186"/>
      <c r="R85" s="186"/>
    </row>
    <row r="86" spans="2:18" x14ac:dyDescent="0.25">
      <c r="F86" s="36"/>
      <c r="K86" s="382"/>
      <c r="L86" s="396"/>
      <c r="M86" s="4"/>
    </row>
    <row r="87" spans="2:18" x14ac:dyDescent="0.25">
      <c r="F87" s="36"/>
      <c r="K87" s="382"/>
      <c r="L87" s="396"/>
      <c r="M87" s="4"/>
    </row>
    <row r="88" spans="2:18" x14ac:dyDescent="0.25">
      <c r="F88" s="36"/>
      <c r="K88" s="382"/>
      <c r="L88" s="357"/>
      <c r="M88" s="4"/>
    </row>
    <row r="89" spans="2:18" x14ac:dyDescent="0.25">
      <c r="F89" s="36"/>
      <c r="K89" s="382"/>
      <c r="L89" s="396"/>
      <c r="M89" s="4"/>
    </row>
    <row r="90" spans="2:18" x14ac:dyDescent="0.25">
      <c r="F90" s="36"/>
      <c r="K90" s="382"/>
      <c r="L90" s="397"/>
      <c r="M90" s="4"/>
    </row>
    <row r="91" spans="2:18" x14ac:dyDescent="0.25">
      <c r="F91" s="148"/>
      <c r="K91" s="382"/>
      <c r="L91" s="382"/>
      <c r="M91" s="4"/>
    </row>
    <row r="92" spans="2:18" x14ac:dyDescent="0.25">
      <c r="M92" s="4"/>
    </row>
    <row r="93" spans="2:18" x14ac:dyDescent="0.25">
      <c r="M93" s="4"/>
    </row>
    <row r="94" spans="2:18" x14ac:dyDescent="0.25">
      <c r="M94" s="4"/>
    </row>
    <row r="95" spans="2:18" x14ac:dyDescent="0.25">
      <c r="M95" s="4"/>
    </row>
    <row r="96" spans="2:18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21">
    <mergeCell ref="D69:E69"/>
    <mergeCell ref="C1:K1"/>
    <mergeCell ref="AK1:AL2"/>
    <mergeCell ref="AB2:AC3"/>
    <mergeCell ref="AF2:AH2"/>
    <mergeCell ref="B3:C3"/>
    <mergeCell ref="E4:F4"/>
    <mergeCell ref="H4:I4"/>
    <mergeCell ref="M68:N68"/>
    <mergeCell ref="H68:I68"/>
    <mergeCell ref="K68:L68"/>
    <mergeCell ref="W2:X3"/>
    <mergeCell ref="H3:I3"/>
    <mergeCell ref="D77:E77"/>
    <mergeCell ref="D70:E70"/>
    <mergeCell ref="I70:J70"/>
    <mergeCell ref="K70:L70"/>
    <mergeCell ref="K72:L72"/>
    <mergeCell ref="D74:E74"/>
    <mergeCell ref="I74:J74"/>
    <mergeCell ref="K74:L74"/>
  </mergeCells>
  <phoneticPr fontId="30" type="noConversion"/>
  <pageMargins left="0.43307086614173229" right="0.15748031496062992" top="0.31496062992125984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0D4-7C36-4363-ABA7-A93841256B50}">
  <sheetPr>
    <tabColor theme="0" tint="-0.34998626667073579"/>
  </sheetPr>
  <dimension ref="A1:L89"/>
  <sheetViews>
    <sheetView tabSelected="1" topLeftCell="A37" workbookViewId="0">
      <selection activeCell="D51" sqref="D51:E51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  <col min="12" max="12" width="17.85546875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43986</v>
      </c>
      <c r="B3" s="272">
        <v>17378</v>
      </c>
      <c r="C3" s="176">
        <v>28849.86</v>
      </c>
      <c r="D3" s="270"/>
      <c r="E3" s="5"/>
      <c r="F3" s="173">
        <f>C3-E3</f>
        <v>28849.86</v>
      </c>
    </row>
    <row r="4" spans="1:6" x14ac:dyDescent="0.25">
      <c r="A4" s="271">
        <v>43986</v>
      </c>
      <c r="B4" s="272">
        <v>17457</v>
      </c>
      <c r="C4" s="176">
        <v>85417.1</v>
      </c>
      <c r="D4" s="273"/>
      <c r="E4" s="176"/>
      <c r="F4" s="173">
        <f>F3+C4-E4</f>
        <v>114266.96</v>
      </c>
    </row>
    <row r="5" spans="1:6" x14ac:dyDescent="0.25">
      <c r="A5" s="273">
        <v>43986</v>
      </c>
      <c r="B5" s="272">
        <v>17458</v>
      </c>
      <c r="C5" s="176">
        <v>445</v>
      </c>
      <c r="D5" s="273">
        <v>43987</v>
      </c>
      <c r="E5" s="176">
        <v>114711.96</v>
      </c>
      <c r="F5" s="173">
        <f t="shared" ref="F5:F52" si="0">F4+C5-E5</f>
        <v>0</v>
      </c>
    </row>
    <row r="6" spans="1:6" x14ac:dyDescent="0.25">
      <c r="A6" s="273">
        <v>43987</v>
      </c>
      <c r="B6" s="272">
        <v>17514</v>
      </c>
      <c r="C6" s="176">
        <v>971.95</v>
      </c>
      <c r="D6" s="273"/>
      <c r="E6" s="176"/>
      <c r="F6" s="173">
        <f t="shared" si="0"/>
        <v>971.95</v>
      </c>
    </row>
    <row r="7" spans="1:6" x14ac:dyDescent="0.25">
      <c r="A7" s="273">
        <v>43987</v>
      </c>
      <c r="B7" s="272">
        <v>17587</v>
      </c>
      <c r="C7" s="176">
        <v>1839</v>
      </c>
      <c r="D7" s="273"/>
      <c r="E7" s="176"/>
      <c r="F7" s="173">
        <f t="shared" si="0"/>
        <v>2810.95</v>
      </c>
    </row>
    <row r="8" spans="1:6" x14ac:dyDescent="0.25">
      <c r="A8" s="273">
        <v>43988</v>
      </c>
      <c r="B8" s="272">
        <v>17702</v>
      </c>
      <c r="C8" s="176">
        <v>61426.15</v>
      </c>
      <c r="D8" s="273"/>
      <c r="E8" s="176"/>
      <c r="F8" s="173">
        <f t="shared" si="0"/>
        <v>64237.1</v>
      </c>
    </row>
    <row r="9" spans="1:6" x14ac:dyDescent="0.25">
      <c r="A9" s="273">
        <v>43988</v>
      </c>
      <c r="B9" s="272">
        <v>17718</v>
      </c>
      <c r="C9" s="176">
        <v>8660.4</v>
      </c>
      <c r="D9" s="273"/>
      <c r="E9" s="176"/>
      <c r="F9" s="173">
        <f t="shared" si="0"/>
        <v>72897.5</v>
      </c>
    </row>
    <row r="10" spans="1:6" x14ac:dyDescent="0.25">
      <c r="A10" s="273">
        <v>43988</v>
      </c>
      <c r="B10" s="272">
        <v>17725</v>
      </c>
      <c r="C10" s="176">
        <v>48913.2</v>
      </c>
      <c r="D10" s="273"/>
      <c r="E10" s="176"/>
      <c r="F10" s="173">
        <f t="shared" si="0"/>
        <v>121810.7</v>
      </c>
    </row>
    <row r="11" spans="1:6" x14ac:dyDescent="0.25">
      <c r="A11" s="271">
        <v>43991</v>
      </c>
      <c r="B11" s="272">
        <v>18039</v>
      </c>
      <c r="C11" s="176">
        <v>87558.8</v>
      </c>
      <c r="D11" s="273"/>
      <c r="E11" s="176"/>
      <c r="F11" s="173">
        <f t="shared" si="0"/>
        <v>209369.5</v>
      </c>
    </row>
    <row r="12" spans="1:6" x14ac:dyDescent="0.25">
      <c r="A12" s="273">
        <v>43991</v>
      </c>
      <c r="B12" s="272">
        <v>18040</v>
      </c>
      <c r="C12" s="176">
        <v>28949.32</v>
      </c>
      <c r="D12" s="273"/>
      <c r="E12" s="176"/>
      <c r="F12" s="173">
        <f t="shared" si="0"/>
        <v>238318.82</v>
      </c>
    </row>
    <row r="13" spans="1:6" x14ac:dyDescent="0.25">
      <c r="A13" s="273">
        <v>43992</v>
      </c>
      <c r="B13" s="272">
        <v>18144</v>
      </c>
      <c r="C13" s="176">
        <v>640</v>
      </c>
      <c r="D13" s="273">
        <v>43998</v>
      </c>
      <c r="E13" s="176">
        <v>238958.82</v>
      </c>
      <c r="F13" s="173">
        <f t="shared" si="0"/>
        <v>0</v>
      </c>
    </row>
    <row r="14" spans="1:6" x14ac:dyDescent="0.25">
      <c r="A14" s="273">
        <v>43993</v>
      </c>
      <c r="B14" s="272">
        <v>18176</v>
      </c>
      <c r="C14" s="176">
        <v>47703.4</v>
      </c>
      <c r="D14" s="273"/>
      <c r="E14" s="176"/>
      <c r="F14" s="173">
        <f t="shared" si="0"/>
        <v>47703.4</v>
      </c>
    </row>
    <row r="15" spans="1:6" x14ac:dyDescent="0.25">
      <c r="A15" s="273">
        <v>43994</v>
      </c>
      <c r="B15" s="272">
        <v>18421</v>
      </c>
      <c r="C15" s="176">
        <v>56510.8</v>
      </c>
      <c r="D15" s="273"/>
      <c r="E15" s="176"/>
      <c r="F15" s="173">
        <f t="shared" si="0"/>
        <v>104214.20000000001</v>
      </c>
    </row>
    <row r="16" spans="1:6" x14ac:dyDescent="0.25">
      <c r="A16" s="273">
        <v>43995</v>
      </c>
      <c r="B16" s="272">
        <v>18539</v>
      </c>
      <c r="C16" s="176">
        <v>51466.7</v>
      </c>
      <c r="D16" s="273"/>
      <c r="E16" s="176"/>
      <c r="F16" s="173">
        <f t="shared" si="0"/>
        <v>155680.90000000002</v>
      </c>
    </row>
    <row r="17" spans="1:6" x14ac:dyDescent="0.25">
      <c r="A17" s="273">
        <v>43997</v>
      </c>
      <c r="B17" s="272">
        <v>18620</v>
      </c>
      <c r="C17" s="176">
        <v>40253.699999999997</v>
      </c>
      <c r="D17" s="273"/>
      <c r="E17" s="176"/>
      <c r="F17" s="173">
        <f t="shared" si="0"/>
        <v>195934.60000000003</v>
      </c>
    </row>
    <row r="18" spans="1:6" x14ac:dyDescent="0.25">
      <c r="A18" s="273">
        <v>43998</v>
      </c>
      <c r="B18" s="272">
        <v>18854</v>
      </c>
      <c r="C18" s="176">
        <v>51598.7</v>
      </c>
      <c r="D18" s="273"/>
      <c r="E18" s="176"/>
      <c r="F18" s="173">
        <f t="shared" si="0"/>
        <v>247533.30000000005</v>
      </c>
    </row>
    <row r="19" spans="1:6" x14ac:dyDescent="0.25">
      <c r="A19" s="273">
        <v>44000</v>
      </c>
      <c r="B19" s="272">
        <v>18990</v>
      </c>
      <c r="C19" s="176">
        <v>68060.2</v>
      </c>
      <c r="D19" s="273"/>
      <c r="E19" s="176"/>
      <c r="F19" s="173">
        <f t="shared" si="0"/>
        <v>315593.50000000006</v>
      </c>
    </row>
    <row r="20" spans="1:6" x14ac:dyDescent="0.25">
      <c r="A20" s="273">
        <v>44000</v>
      </c>
      <c r="B20" s="272">
        <v>19037</v>
      </c>
      <c r="C20" s="176">
        <v>8960.4</v>
      </c>
      <c r="D20" s="273"/>
      <c r="E20" s="176"/>
      <c r="F20" s="173">
        <f t="shared" si="0"/>
        <v>324553.90000000008</v>
      </c>
    </row>
    <row r="21" spans="1:6" x14ac:dyDescent="0.25">
      <c r="A21" s="273">
        <v>44001</v>
      </c>
      <c r="B21" s="272">
        <v>19137</v>
      </c>
      <c r="C21" s="176">
        <v>43781.88</v>
      </c>
      <c r="D21" s="273"/>
      <c r="E21" s="176"/>
      <c r="F21" s="173">
        <f t="shared" si="0"/>
        <v>368335.78000000009</v>
      </c>
    </row>
    <row r="22" spans="1:6" x14ac:dyDescent="0.25">
      <c r="A22" s="273">
        <v>44001</v>
      </c>
      <c r="B22" s="272">
        <v>19141</v>
      </c>
      <c r="C22" s="176">
        <v>4339.2</v>
      </c>
      <c r="D22" s="273">
        <v>44002</v>
      </c>
      <c r="E22" s="176">
        <v>372674.98</v>
      </c>
      <c r="F22" s="173">
        <f t="shared" si="0"/>
        <v>0</v>
      </c>
    </row>
    <row r="23" spans="1:6" x14ac:dyDescent="0.25">
      <c r="A23" s="273">
        <v>44001</v>
      </c>
      <c r="B23" s="272">
        <v>19221</v>
      </c>
      <c r="C23" s="176">
        <v>15091.8</v>
      </c>
      <c r="D23" s="273"/>
      <c r="E23" s="176"/>
      <c r="F23" s="173">
        <f t="shared" si="0"/>
        <v>15091.8</v>
      </c>
    </row>
    <row r="24" spans="1:6" x14ac:dyDescent="0.25">
      <c r="A24" s="273">
        <v>44002</v>
      </c>
      <c r="B24" s="272">
        <v>19267</v>
      </c>
      <c r="C24" s="176">
        <v>109081.68</v>
      </c>
      <c r="D24" s="273"/>
      <c r="E24" s="176"/>
      <c r="F24" s="173">
        <f t="shared" si="0"/>
        <v>124173.48</v>
      </c>
    </row>
    <row r="25" spans="1:6" x14ac:dyDescent="0.25">
      <c r="A25" s="273">
        <v>44002</v>
      </c>
      <c r="B25" s="272">
        <v>19269</v>
      </c>
      <c r="C25" s="176">
        <v>21909.599999999999</v>
      </c>
      <c r="D25" s="273"/>
      <c r="E25" s="176"/>
      <c r="F25" s="173">
        <f t="shared" si="0"/>
        <v>146083.07999999999</v>
      </c>
    </row>
    <row r="26" spans="1:6" x14ac:dyDescent="0.25">
      <c r="A26" s="273">
        <v>44002</v>
      </c>
      <c r="B26" s="272">
        <v>19375</v>
      </c>
      <c r="C26" s="176">
        <v>50248.2</v>
      </c>
      <c r="D26" s="273"/>
      <c r="E26" s="176"/>
      <c r="F26" s="173">
        <f t="shared" si="0"/>
        <v>196331.27999999997</v>
      </c>
    </row>
    <row r="27" spans="1:6" x14ac:dyDescent="0.25">
      <c r="A27" s="273">
        <v>44005</v>
      </c>
      <c r="B27" s="272">
        <v>19711</v>
      </c>
      <c r="C27" s="176">
        <v>31477.4</v>
      </c>
      <c r="D27" s="273"/>
      <c r="E27" s="176"/>
      <c r="F27" s="173">
        <f t="shared" si="0"/>
        <v>227808.67999999996</v>
      </c>
    </row>
    <row r="28" spans="1:6" x14ac:dyDescent="0.25">
      <c r="A28" s="271">
        <v>44006</v>
      </c>
      <c r="B28" s="272">
        <v>19786</v>
      </c>
      <c r="C28" s="176">
        <v>55823.4</v>
      </c>
      <c r="D28" s="273"/>
      <c r="E28" s="176"/>
      <c r="F28" s="173">
        <f t="shared" si="0"/>
        <v>283632.07999999996</v>
      </c>
    </row>
    <row r="29" spans="1:6" x14ac:dyDescent="0.25">
      <c r="A29" s="271">
        <v>44007</v>
      </c>
      <c r="B29" s="272">
        <v>19841</v>
      </c>
      <c r="C29" s="176">
        <v>57456.2</v>
      </c>
      <c r="D29" s="273"/>
      <c r="E29" s="176"/>
      <c r="F29" s="173">
        <f t="shared" si="0"/>
        <v>341088.27999999997</v>
      </c>
    </row>
    <row r="30" spans="1:6" x14ac:dyDescent="0.25">
      <c r="A30" s="271">
        <v>44007</v>
      </c>
      <c r="B30" s="272">
        <v>19892</v>
      </c>
      <c r="C30" s="176">
        <v>8515</v>
      </c>
      <c r="D30" s="273"/>
      <c r="E30" s="176"/>
      <c r="F30" s="173">
        <f t="shared" si="0"/>
        <v>349603.27999999997</v>
      </c>
    </row>
    <row r="31" spans="1:6" x14ac:dyDescent="0.25">
      <c r="A31" s="271">
        <v>44008</v>
      </c>
      <c r="B31" s="272">
        <v>20017</v>
      </c>
      <c r="C31" s="176">
        <v>2835</v>
      </c>
      <c r="D31" s="273">
        <v>44009</v>
      </c>
      <c r="E31" s="176">
        <v>352438.28</v>
      </c>
      <c r="F31" s="173">
        <f t="shared" si="0"/>
        <v>0</v>
      </c>
    </row>
    <row r="32" spans="1:6" x14ac:dyDescent="0.25">
      <c r="A32" s="271">
        <v>44009</v>
      </c>
      <c r="B32" s="272">
        <v>20128</v>
      </c>
      <c r="C32" s="176">
        <v>64865.599999999999</v>
      </c>
      <c r="D32" s="273"/>
      <c r="E32" s="176"/>
      <c r="F32" s="173">
        <f t="shared" si="0"/>
        <v>64865.599999999999</v>
      </c>
    </row>
    <row r="33" spans="1:12" x14ac:dyDescent="0.25">
      <c r="A33" s="271">
        <v>44009</v>
      </c>
      <c r="B33" s="272">
        <v>20167</v>
      </c>
      <c r="C33" s="176">
        <v>45689.8</v>
      </c>
      <c r="D33" s="273"/>
      <c r="E33" s="176"/>
      <c r="F33" s="173">
        <f t="shared" si="0"/>
        <v>110555.4</v>
      </c>
    </row>
    <row r="34" spans="1:12" x14ac:dyDescent="0.25">
      <c r="A34" s="271">
        <v>44010</v>
      </c>
      <c r="B34" s="272">
        <v>20268</v>
      </c>
      <c r="C34" s="176">
        <v>856</v>
      </c>
      <c r="D34" s="273"/>
      <c r="E34" s="176"/>
      <c r="F34" s="173">
        <f t="shared" si="0"/>
        <v>111411.4</v>
      </c>
    </row>
    <row r="35" spans="1:12" x14ac:dyDescent="0.25">
      <c r="A35" s="271">
        <v>44010</v>
      </c>
      <c r="B35" s="272">
        <v>20275</v>
      </c>
      <c r="C35" s="176">
        <v>62299.3</v>
      </c>
      <c r="D35" s="273"/>
      <c r="E35" s="176"/>
      <c r="F35" s="173">
        <f t="shared" si="0"/>
        <v>173710.7</v>
      </c>
    </row>
    <row r="36" spans="1:12" x14ac:dyDescent="0.25">
      <c r="A36" s="271">
        <v>44012</v>
      </c>
      <c r="B36" s="272">
        <v>20435</v>
      </c>
      <c r="C36" s="176">
        <v>52181.99</v>
      </c>
      <c r="D36" s="273">
        <v>44013</v>
      </c>
      <c r="E36" s="176">
        <v>225892.69</v>
      </c>
      <c r="F36" s="173">
        <f t="shared" si="0"/>
        <v>0</v>
      </c>
    </row>
    <row r="37" spans="1:12" x14ac:dyDescent="0.25">
      <c r="A37" s="271">
        <v>44014</v>
      </c>
      <c r="B37" s="272">
        <v>20748</v>
      </c>
      <c r="C37" s="176">
        <v>98374.46</v>
      </c>
      <c r="D37" s="273"/>
      <c r="E37" s="176"/>
      <c r="F37" s="173">
        <f t="shared" si="0"/>
        <v>98374.46</v>
      </c>
    </row>
    <row r="38" spans="1:12" x14ac:dyDescent="0.25">
      <c r="A38" s="271">
        <v>44015</v>
      </c>
      <c r="B38" s="272">
        <v>20924</v>
      </c>
      <c r="C38" s="176">
        <v>117708.8</v>
      </c>
      <c r="D38" s="273"/>
      <c r="E38" s="176"/>
      <c r="F38" s="173">
        <f t="shared" si="0"/>
        <v>216083.26</v>
      </c>
    </row>
    <row r="39" spans="1:12" x14ac:dyDescent="0.25">
      <c r="A39" s="271">
        <v>44016</v>
      </c>
      <c r="B39" s="272">
        <v>21028</v>
      </c>
      <c r="C39" s="176">
        <v>7143.5</v>
      </c>
      <c r="D39" s="273"/>
      <c r="E39" s="176"/>
      <c r="F39" s="173">
        <f t="shared" si="0"/>
        <v>223226.76</v>
      </c>
    </row>
    <row r="40" spans="1:12" x14ac:dyDescent="0.25">
      <c r="A40" s="271">
        <v>44017</v>
      </c>
      <c r="B40" s="272">
        <v>21111</v>
      </c>
      <c r="C40" s="176">
        <v>58593.1</v>
      </c>
      <c r="D40" s="273"/>
      <c r="E40" s="176"/>
      <c r="F40" s="173">
        <f t="shared" si="0"/>
        <v>281819.86</v>
      </c>
    </row>
    <row r="41" spans="1:12" x14ac:dyDescent="0.25">
      <c r="A41" s="271">
        <v>44018</v>
      </c>
      <c r="B41" s="272">
        <v>21153</v>
      </c>
      <c r="C41" s="176">
        <v>2093</v>
      </c>
      <c r="D41" s="273">
        <v>44019</v>
      </c>
      <c r="E41" s="176">
        <v>283912.86</v>
      </c>
      <c r="F41" s="173">
        <f t="shared" si="0"/>
        <v>0</v>
      </c>
      <c r="J41" s="271">
        <v>44019</v>
      </c>
      <c r="K41" s="272">
        <v>21280</v>
      </c>
      <c r="L41" s="176">
        <v>83504.08</v>
      </c>
    </row>
    <row r="42" spans="1:12" x14ac:dyDescent="0.25">
      <c r="A42" s="271">
        <v>44019</v>
      </c>
      <c r="B42" s="272">
        <v>21280</v>
      </c>
      <c r="C42" s="176">
        <v>83504.08</v>
      </c>
      <c r="D42" s="273"/>
      <c r="E42" s="176"/>
      <c r="F42" s="173">
        <f t="shared" si="0"/>
        <v>83504.08</v>
      </c>
      <c r="J42" s="271">
        <v>44020</v>
      </c>
      <c r="K42" s="272">
        <v>21407</v>
      </c>
      <c r="L42" s="176">
        <v>78252.399999999994</v>
      </c>
    </row>
    <row r="43" spans="1:12" x14ac:dyDescent="0.25">
      <c r="A43" s="271">
        <v>44020</v>
      </c>
      <c r="B43" s="272">
        <v>21407</v>
      </c>
      <c r="C43" s="176">
        <v>78252.399999999994</v>
      </c>
      <c r="D43" s="273"/>
      <c r="E43" s="176"/>
      <c r="F43" s="173">
        <f t="shared" si="0"/>
        <v>161756.47999999998</v>
      </c>
      <c r="J43" s="271">
        <v>44021</v>
      </c>
      <c r="K43" s="272">
        <v>21580</v>
      </c>
      <c r="L43" s="176">
        <v>82036.7</v>
      </c>
    </row>
    <row r="44" spans="1:12" x14ac:dyDescent="0.25">
      <c r="A44" s="271">
        <v>44021</v>
      </c>
      <c r="B44" s="272">
        <v>21580</v>
      </c>
      <c r="C44" s="176">
        <v>82036.7</v>
      </c>
      <c r="D44" s="273"/>
      <c r="E44" s="176"/>
      <c r="F44" s="173">
        <f>F43+C44-E44</f>
        <v>243793.18</v>
      </c>
      <c r="J44" s="271">
        <v>44022</v>
      </c>
      <c r="K44" s="272">
        <v>21673</v>
      </c>
      <c r="L44" s="176">
        <v>2840</v>
      </c>
    </row>
    <row r="45" spans="1:12" x14ac:dyDescent="0.25">
      <c r="A45" s="271">
        <v>44022</v>
      </c>
      <c r="B45" s="272">
        <v>21673</v>
      </c>
      <c r="C45" s="176">
        <v>2840</v>
      </c>
      <c r="D45" s="273"/>
      <c r="E45" s="176"/>
      <c r="F45" s="173">
        <f>F44+C45-E45</f>
        <v>246633.18</v>
      </c>
      <c r="J45" s="174">
        <v>44023</v>
      </c>
      <c r="K45" s="272">
        <v>21786</v>
      </c>
      <c r="L45" s="176">
        <v>93406.42</v>
      </c>
    </row>
    <row r="46" spans="1:12" x14ac:dyDescent="0.25">
      <c r="A46" s="174">
        <v>44023</v>
      </c>
      <c r="B46" s="272">
        <v>21786</v>
      </c>
      <c r="C46" s="176">
        <v>93406.42</v>
      </c>
      <c r="D46" s="177"/>
      <c r="E46" s="176"/>
      <c r="F46" s="173">
        <f t="shared" si="0"/>
        <v>340039.6</v>
      </c>
      <c r="J46" s="174">
        <v>44023</v>
      </c>
      <c r="K46" s="272">
        <v>21789</v>
      </c>
      <c r="L46" s="176">
        <v>8207.5</v>
      </c>
    </row>
    <row r="47" spans="1:12" x14ac:dyDescent="0.25">
      <c r="A47" s="174">
        <v>44023</v>
      </c>
      <c r="B47" s="272">
        <v>21789</v>
      </c>
      <c r="C47" s="176">
        <v>8207.5</v>
      </c>
      <c r="D47" s="177"/>
      <c r="E47" s="176"/>
      <c r="F47" s="173">
        <f t="shared" si="0"/>
        <v>348247.1</v>
      </c>
      <c r="J47" s="174">
        <v>44024</v>
      </c>
      <c r="K47" s="272">
        <v>21894</v>
      </c>
      <c r="L47" s="176">
        <v>1512.5</v>
      </c>
    </row>
    <row r="48" spans="1:12" x14ac:dyDescent="0.25">
      <c r="A48" s="174">
        <v>44024</v>
      </c>
      <c r="B48" s="272">
        <v>21894</v>
      </c>
      <c r="C48" s="176">
        <v>1512.5</v>
      </c>
      <c r="D48" s="177"/>
      <c r="E48" s="176"/>
      <c r="F48" s="173">
        <f t="shared" si="0"/>
        <v>349759.6</v>
      </c>
      <c r="J48" s="174">
        <v>44024</v>
      </c>
      <c r="K48" s="272">
        <v>21932</v>
      </c>
      <c r="L48" s="176">
        <v>58770.6</v>
      </c>
    </row>
    <row r="49" spans="1:12" x14ac:dyDescent="0.25">
      <c r="A49" s="174">
        <v>44024</v>
      </c>
      <c r="B49" s="272">
        <v>21932</v>
      </c>
      <c r="C49" s="176">
        <v>58770.6</v>
      </c>
      <c r="D49" s="177"/>
      <c r="E49" s="176"/>
      <c r="F49" s="173">
        <f t="shared" si="0"/>
        <v>408530.19999999995</v>
      </c>
      <c r="J49" s="174">
        <v>44026</v>
      </c>
      <c r="K49" s="272">
        <v>22120</v>
      </c>
      <c r="L49" s="176">
        <v>42102.9</v>
      </c>
    </row>
    <row r="50" spans="1:12" x14ac:dyDescent="0.25">
      <c r="A50" s="174">
        <v>44026</v>
      </c>
      <c r="B50" s="272">
        <v>22120</v>
      </c>
      <c r="C50" s="176">
        <v>42102.9</v>
      </c>
      <c r="D50" s="394"/>
      <c r="E50" s="36"/>
      <c r="F50" s="173">
        <f t="shared" si="0"/>
        <v>450633.1</v>
      </c>
      <c r="J50" s="174">
        <v>44026</v>
      </c>
      <c r="K50" s="272">
        <v>22134</v>
      </c>
      <c r="L50" s="176">
        <v>7171.2</v>
      </c>
    </row>
    <row r="51" spans="1:12" x14ac:dyDescent="0.25">
      <c r="A51" s="174">
        <v>44026</v>
      </c>
      <c r="B51" s="272">
        <v>22134</v>
      </c>
      <c r="C51" s="176">
        <v>7171.2</v>
      </c>
      <c r="D51" s="442">
        <v>44030</v>
      </c>
      <c r="E51" s="373">
        <v>457804.3</v>
      </c>
      <c r="F51" s="173">
        <f t="shared" si="0"/>
        <v>0</v>
      </c>
      <c r="J51" s="271">
        <v>44027</v>
      </c>
      <c r="K51" s="272">
        <v>22181</v>
      </c>
      <c r="L51" s="176">
        <v>38328.9</v>
      </c>
    </row>
    <row r="52" spans="1:12" ht="15.75" thickBot="1" x14ac:dyDescent="0.3">
      <c r="A52" s="178"/>
      <c r="B52" s="412"/>
      <c r="C52" s="104">
        <v>0</v>
      </c>
      <c r="D52" s="180"/>
      <c r="E52" s="104"/>
      <c r="F52" s="173">
        <f t="shared" si="0"/>
        <v>0</v>
      </c>
      <c r="J52" s="271">
        <v>44027</v>
      </c>
      <c r="K52" s="272">
        <v>22193</v>
      </c>
      <c r="L52" s="176">
        <v>4424</v>
      </c>
    </row>
    <row r="53" spans="1:12" ht="19.5" thickTop="1" x14ac:dyDescent="0.3">
      <c r="B53" s="59"/>
      <c r="C53" s="4">
        <f>SUM(C3:C52)</f>
        <v>2046393.8900000001</v>
      </c>
      <c r="D53" s="1"/>
      <c r="E53" s="4">
        <f>SUM(E3:E52)</f>
        <v>2046393.89</v>
      </c>
      <c r="F53" s="181">
        <f>F52</f>
        <v>0</v>
      </c>
      <c r="J53" s="273">
        <v>44028</v>
      </c>
      <c r="K53" s="272">
        <v>22328</v>
      </c>
      <c r="L53" s="176">
        <v>80009.259999999995</v>
      </c>
    </row>
    <row r="54" spans="1:12" x14ac:dyDescent="0.25">
      <c r="B54" s="59"/>
      <c r="C54" s="4"/>
      <c r="D54" s="1"/>
      <c r="E54" s="8"/>
      <c r="F54" s="4"/>
      <c r="J54" s="273">
        <v>44028</v>
      </c>
      <c r="K54" s="272">
        <v>22330</v>
      </c>
      <c r="L54" s="176">
        <v>224</v>
      </c>
    </row>
    <row r="55" spans="1:12" x14ac:dyDescent="0.25">
      <c r="B55" s="59"/>
      <c r="C55" s="4"/>
      <c r="D55" s="1"/>
      <c r="E55" s="8"/>
      <c r="F55" s="4"/>
      <c r="J55" s="273">
        <v>44028</v>
      </c>
      <c r="K55" s="272">
        <v>22398</v>
      </c>
      <c r="L55" s="176">
        <v>31533.93</v>
      </c>
    </row>
    <row r="56" spans="1:12" x14ac:dyDescent="0.25">
      <c r="A56"/>
      <c r="B56" s="30"/>
      <c r="D56" s="30"/>
      <c r="J56" s="273">
        <v>44029</v>
      </c>
      <c r="K56" s="272">
        <v>22432</v>
      </c>
      <c r="L56" s="176">
        <v>102884.82</v>
      </c>
    </row>
    <row r="57" spans="1:12" x14ac:dyDescent="0.25">
      <c r="A57"/>
      <c r="B57" s="30"/>
      <c r="D57" s="30"/>
      <c r="K57" s="152"/>
      <c r="L57" s="439">
        <v>0</v>
      </c>
    </row>
    <row r="58" spans="1:12" ht="18.75" x14ac:dyDescent="0.3">
      <c r="A58"/>
      <c r="B58" s="30"/>
      <c r="D58" s="30"/>
      <c r="K58" s="195" t="s">
        <v>16</v>
      </c>
      <c r="L58" s="440">
        <f>SUM(L41:L57)</f>
        <v>715209.21</v>
      </c>
    </row>
    <row r="59" spans="1:12" x14ac:dyDescent="0.25">
      <c r="A59"/>
      <c r="B59" s="30"/>
      <c r="D59" s="30"/>
      <c r="F59"/>
    </row>
    <row r="60" spans="1:12" x14ac:dyDescent="0.25">
      <c r="A60"/>
      <c r="B60" s="30"/>
      <c r="D60" s="30"/>
      <c r="F60"/>
    </row>
    <row r="61" spans="1:12" x14ac:dyDescent="0.25">
      <c r="A61"/>
      <c r="B61" s="30"/>
      <c r="D61" s="30"/>
      <c r="F61"/>
    </row>
    <row r="62" spans="1:12" x14ac:dyDescent="0.25">
      <c r="A62"/>
      <c r="B62" s="30"/>
      <c r="D62" s="30"/>
      <c r="F62"/>
    </row>
    <row r="63" spans="1:12" x14ac:dyDescent="0.25">
      <c r="A63"/>
      <c r="B63" s="30"/>
      <c r="D63" s="30"/>
      <c r="F63"/>
    </row>
    <row r="64" spans="1:12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F66"/>
    </row>
    <row r="67" spans="1:6" x14ac:dyDescent="0.25">
      <c r="A67"/>
      <c r="B67" s="30"/>
      <c r="D67" s="30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A72"/>
      <c r="B72" s="30"/>
      <c r="D72" s="30"/>
      <c r="E72"/>
      <c r="F72"/>
    </row>
    <row r="73" spans="1:6" x14ac:dyDescent="0.25">
      <c r="A73"/>
      <c r="B73" s="30"/>
      <c r="D73" s="30"/>
      <c r="E73"/>
      <c r="F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5" x14ac:dyDescent="0.25">
      <c r="B81" s="30"/>
      <c r="D81" s="30"/>
      <c r="E81"/>
    </row>
    <row r="82" spans="2:5" x14ac:dyDescent="0.25">
      <c r="B82" s="30"/>
      <c r="D82" s="30"/>
      <c r="E82"/>
    </row>
    <row r="83" spans="2:5" x14ac:dyDescent="0.25">
      <c r="B83" s="30"/>
    </row>
    <row r="84" spans="2:5" x14ac:dyDescent="0.25">
      <c r="B84" s="30"/>
    </row>
    <row r="85" spans="2:5" x14ac:dyDescent="0.25">
      <c r="B85" s="30"/>
      <c r="D85" s="30"/>
    </row>
    <row r="86" spans="2:5" x14ac:dyDescent="0.25">
      <c r="B86" s="30"/>
    </row>
    <row r="87" spans="2:5" x14ac:dyDescent="0.25">
      <c r="B87" s="30"/>
    </row>
    <row r="88" spans="2:5" x14ac:dyDescent="0.25">
      <c r="B88" s="30"/>
    </row>
    <row r="89" spans="2:5" ht="18.75" x14ac:dyDescent="0.3">
      <c r="C89" s="14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0E60-3F1E-49DB-8F6C-B55A7FE4AFB6}">
  <sheetPr>
    <tabColor rgb="FFFFFF00"/>
  </sheetPr>
  <dimension ref="A1:AL78"/>
  <sheetViews>
    <sheetView topLeftCell="A31" workbookViewId="0">
      <selection activeCell="H11" sqref="H1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448" t="s">
        <v>413</v>
      </c>
      <c r="D1" s="448"/>
      <c r="E1" s="448"/>
      <c r="F1" s="448"/>
      <c r="G1" s="448"/>
      <c r="H1" s="448"/>
      <c r="I1" s="448"/>
      <c r="J1" s="448"/>
      <c r="K1" s="448"/>
      <c r="L1" s="2"/>
      <c r="M1" s="3"/>
      <c r="AK1" s="462" t="s">
        <v>45</v>
      </c>
      <c r="AL1" s="463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470" t="s">
        <v>4</v>
      </c>
      <c r="X2" s="471"/>
      <c r="AB2" s="470" t="s">
        <v>4</v>
      </c>
      <c r="AC2" s="471"/>
      <c r="AF2" s="467" t="s">
        <v>43</v>
      </c>
      <c r="AG2" s="468"/>
      <c r="AH2" s="469"/>
      <c r="AJ2" s="193" t="s">
        <v>44</v>
      </c>
      <c r="AK2" s="464"/>
      <c r="AL2" s="465"/>
    </row>
    <row r="3" spans="1:38" ht="18" customHeight="1" thickBot="1" x14ac:dyDescent="0.35">
      <c r="B3" s="449" t="s">
        <v>1</v>
      </c>
      <c r="C3" s="450"/>
      <c r="D3" s="15"/>
      <c r="E3" s="374"/>
      <c r="F3" s="374"/>
      <c r="H3" s="485" t="s">
        <v>190</v>
      </c>
      <c r="I3" s="485"/>
      <c r="K3" s="234" t="s">
        <v>2</v>
      </c>
      <c r="L3" s="236" t="s">
        <v>191</v>
      </c>
      <c r="M3" s="236"/>
      <c r="W3" s="472"/>
      <c r="X3" s="473"/>
      <c r="Y3" s="195" t="s">
        <v>37</v>
      </c>
      <c r="AB3" s="472"/>
      <c r="AC3" s="473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229708.38</v>
      </c>
      <c r="D4" s="308">
        <v>44026</v>
      </c>
      <c r="E4" s="451" t="s">
        <v>6</v>
      </c>
      <c r="F4" s="452"/>
      <c r="H4" s="453" t="s">
        <v>7</v>
      </c>
      <c r="I4" s="454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44027</v>
      </c>
      <c r="C5" s="320">
        <v>4000</v>
      </c>
      <c r="D5" s="309" t="s">
        <v>48</v>
      </c>
      <c r="E5" s="151">
        <v>44027</v>
      </c>
      <c r="F5" s="32">
        <v>74887</v>
      </c>
      <c r="G5" s="152"/>
      <c r="H5" s="153">
        <v>44027</v>
      </c>
      <c r="I5" s="33">
        <v>0</v>
      </c>
      <c r="M5" s="34">
        <v>67037</v>
      </c>
      <c r="N5" s="35">
        <v>3850</v>
      </c>
      <c r="O5" s="36"/>
      <c r="P5" s="36">
        <f>C5+I5+M5+N5</f>
        <v>74887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44028</v>
      </c>
      <c r="C6" s="320">
        <v>9328</v>
      </c>
      <c r="D6" s="310" t="s">
        <v>387</v>
      </c>
      <c r="E6" s="151">
        <v>44028</v>
      </c>
      <c r="F6" s="32">
        <v>121220</v>
      </c>
      <c r="G6" s="152"/>
      <c r="H6" s="153">
        <v>44028</v>
      </c>
      <c r="I6" s="39">
        <v>407</v>
      </c>
      <c r="J6" s="60"/>
      <c r="K6" s="46" t="s">
        <v>13</v>
      </c>
      <c r="L6" s="47">
        <v>0</v>
      </c>
      <c r="M6" s="34">
        <v>111098</v>
      </c>
      <c r="N6" s="35">
        <v>3780</v>
      </c>
      <c r="O6" s="276"/>
      <c r="P6" s="36">
        <f>C6+I6+M6+N6+L6</f>
        <v>124613</v>
      </c>
      <c r="Q6" s="198">
        <f>P6-F6</f>
        <v>3393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44029</v>
      </c>
      <c r="C7" s="320">
        <v>1568</v>
      </c>
      <c r="D7" s="311" t="s">
        <v>73</v>
      </c>
      <c r="E7" s="151">
        <v>44029</v>
      </c>
      <c r="F7" s="32">
        <v>141835</v>
      </c>
      <c r="G7" s="152"/>
      <c r="H7" s="153">
        <v>44029</v>
      </c>
      <c r="I7" s="39">
        <v>12059</v>
      </c>
      <c r="J7" s="328">
        <v>44036</v>
      </c>
      <c r="K7" s="378" t="s">
        <v>14</v>
      </c>
      <c r="L7" s="50">
        <v>26562</v>
      </c>
      <c r="M7" s="34">
        <v>123197</v>
      </c>
      <c r="N7" s="35">
        <v>5011</v>
      </c>
      <c r="O7" s="127"/>
      <c r="P7" s="36">
        <f>C7+I7+M7+N7</f>
        <v>141835</v>
      </c>
      <c r="Q7" s="5">
        <f>P7-F7</f>
        <v>0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44030</v>
      </c>
      <c r="C8" s="320">
        <v>5660</v>
      </c>
      <c r="D8" s="312" t="s">
        <v>388</v>
      </c>
      <c r="E8" s="151">
        <v>44030</v>
      </c>
      <c r="F8" s="32">
        <v>106369</v>
      </c>
      <c r="G8" s="152"/>
      <c r="H8" s="153">
        <v>44030</v>
      </c>
      <c r="I8" s="39">
        <v>0</v>
      </c>
      <c r="J8" s="415">
        <v>44042</v>
      </c>
      <c r="K8" s="20" t="s">
        <v>379</v>
      </c>
      <c r="L8" s="52">
        <v>20000</v>
      </c>
      <c r="M8" s="34">
        <f>50000+37914.5</f>
        <v>87914.5</v>
      </c>
      <c r="N8" s="35">
        <v>4910</v>
      </c>
      <c r="O8" s="276"/>
      <c r="P8" s="36">
        <f>C8+I8+M8+N8+L12</f>
        <v>114778.75</v>
      </c>
      <c r="Q8" s="201">
        <f>P8-F8</f>
        <v>8409.75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44031</v>
      </c>
      <c r="C9" s="320">
        <v>9229</v>
      </c>
      <c r="D9" s="313" t="s">
        <v>391</v>
      </c>
      <c r="E9" s="151">
        <v>44031</v>
      </c>
      <c r="F9" s="32">
        <v>102692</v>
      </c>
      <c r="G9" s="152"/>
      <c r="H9" s="153">
        <v>44031</v>
      </c>
      <c r="I9" s="39">
        <v>0</v>
      </c>
      <c r="J9" s="416"/>
      <c r="K9" s="200"/>
      <c r="L9" s="343">
        <v>0</v>
      </c>
      <c r="M9" s="34">
        <v>90004</v>
      </c>
      <c r="N9" s="35">
        <v>3465</v>
      </c>
      <c r="O9" s="276"/>
      <c r="P9" s="36">
        <f>C9+I9+M9+N9</f>
        <v>102698</v>
      </c>
      <c r="Q9" s="5">
        <f t="shared" ref="Q9:Q11" si="0">P9-F9</f>
        <v>6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44032</v>
      </c>
      <c r="C10" s="320">
        <v>7458</v>
      </c>
      <c r="D10" s="311" t="s">
        <v>392</v>
      </c>
      <c r="E10" s="151">
        <v>44032</v>
      </c>
      <c r="F10" s="32">
        <v>86696</v>
      </c>
      <c r="G10" s="152"/>
      <c r="H10" s="153">
        <v>44032</v>
      </c>
      <c r="I10" s="39">
        <v>0</v>
      </c>
      <c r="J10" s="416"/>
      <c r="K10" s="366"/>
      <c r="L10" s="68"/>
      <c r="M10" s="34">
        <v>77605</v>
      </c>
      <c r="N10" s="35">
        <v>1633</v>
      </c>
      <c r="O10" s="127"/>
      <c r="P10" s="36">
        <f>C10+I10+M10+N10+L11</f>
        <v>86696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44033</v>
      </c>
      <c r="C11" s="320">
        <v>900</v>
      </c>
      <c r="D11" s="310" t="s">
        <v>72</v>
      </c>
      <c r="E11" s="151">
        <v>44033</v>
      </c>
      <c r="F11" s="32">
        <v>58292</v>
      </c>
      <c r="G11" s="152"/>
      <c r="H11" s="153">
        <v>44033</v>
      </c>
      <c r="I11" s="39">
        <v>8</v>
      </c>
      <c r="J11" s="331"/>
      <c r="K11" s="57"/>
      <c r="L11" s="55"/>
      <c r="M11" s="34">
        <v>55051</v>
      </c>
      <c r="N11" s="35">
        <v>1933</v>
      </c>
      <c r="O11" s="276"/>
      <c r="P11" s="36">
        <f>C11+I11+M11+N11+L13</f>
        <v>58292</v>
      </c>
      <c r="Q11" s="5">
        <f t="shared" si="0"/>
        <v>0</v>
      </c>
      <c r="S11" s="58">
        <v>8409.75</v>
      </c>
      <c r="T11" s="61" t="s">
        <v>380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44034</v>
      </c>
      <c r="C12" s="320">
        <v>10424</v>
      </c>
      <c r="D12" s="310" t="s">
        <v>393</v>
      </c>
      <c r="E12" s="151">
        <v>44034</v>
      </c>
      <c r="F12" s="32">
        <v>80051</v>
      </c>
      <c r="G12" s="152"/>
      <c r="H12" s="153">
        <v>44034</v>
      </c>
      <c r="I12" s="39">
        <v>4703</v>
      </c>
      <c r="J12" s="60">
        <v>44030</v>
      </c>
      <c r="K12" s="20" t="s">
        <v>380</v>
      </c>
      <c r="L12" s="55">
        <f>11723.25+4571</f>
        <v>16294.25</v>
      </c>
      <c r="M12" s="34">
        <v>63129</v>
      </c>
      <c r="N12" s="35">
        <v>1795</v>
      </c>
      <c r="O12" s="298"/>
      <c r="P12" s="36">
        <f>C12+I12+M12+N12</f>
        <v>80051</v>
      </c>
      <c r="Q12" s="5">
        <f>P12-F12</f>
        <v>0</v>
      </c>
      <c r="S12" s="58">
        <v>7838.08</v>
      </c>
      <c r="T12" s="61" t="s">
        <v>381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44035</v>
      </c>
      <c r="C13" s="320">
        <v>4897</v>
      </c>
      <c r="D13" s="312" t="s">
        <v>341</v>
      </c>
      <c r="E13" s="151">
        <v>44035</v>
      </c>
      <c r="F13" s="32">
        <v>100131</v>
      </c>
      <c r="G13" s="152"/>
      <c r="H13" s="153">
        <v>44035</v>
      </c>
      <c r="I13" s="39">
        <v>0</v>
      </c>
      <c r="J13" s="60">
        <v>44033</v>
      </c>
      <c r="K13" s="20" t="s">
        <v>380</v>
      </c>
      <c r="L13" s="55">
        <v>400</v>
      </c>
      <c r="M13" s="34">
        <f>81785+10209</f>
        <v>91994</v>
      </c>
      <c r="N13" s="35">
        <v>3510</v>
      </c>
      <c r="O13" s="276"/>
      <c r="P13" s="36">
        <f>C13+I13+M13+N13+L19</f>
        <v>100401</v>
      </c>
      <c r="Q13" s="198">
        <f>P13-F13</f>
        <v>270</v>
      </c>
      <c r="S13" s="58">
        <v>7402.87</v>
      </c>
      <c r="T13" s="61" t="s">
        <v>382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44036</v>
      </c>
      <c r="C14" s="320">
        <v>3330</v>
      </c>
      <c r="D14" s="311" t="s">
        <v>394</v>
      </c>
      <c r="E14" s="151">
        <v>44036</v>
      </c>
      <c r="F14" s="32">
        <v>104283</v>
      </c>
      <c r="G14" s="152"/>
      <c r="H14" s="153">
        <v>44036</v>
      </c>
      <c r="I14" s="39">
        <v>10059</v>
      </c>
      <c r="J14" s="60">
        <v>44037</v>
      </c>
      <c r="K14" s="20" t="s">
        <v>381</v>
      </c>
      <c r="L14" s="55">
        <f>13738.08+4000+400</f>
        <v>18138.080000000002</v>
      </c>
      <c r="M14" s="34">
        <v>84797</v>
      </c>
      <c r="N14" s="35">
        <v>6097</v>
      </c>
      <c r="O14" s="276"/>
      <c r="P14" s="36">
        <f>C14+I14+M14+N14</f>
        <v>104283</v>
      </c>
      <c r="Q14" s="5">
        <f>P14-F14</f>
        <v>0</v>
      </c>
      <c r="S14" s="58">
        <v>0</v>
      </c>
      <c r="T14" s="61" t="s">
        <v>386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44037</v>
      </c>
      <c r="C15" s="320">
        <v>6355</v>
      </c>
      <c r="D15" s="310" t="s">
        <v>342</v>
      </c>
      <c r="E15" s="151">
        <v>44037</v>
      </c>
      <c r="F15" s="32">
        <v>107667</v>
      </c>
      <c r="G15" s="152"/>
      <c r="H15" s="153">
        <v>44037</v>
      </c>
      <c r="I15" s="39">
        <v>50</v>
      </c>
      <c r="J15" s="60">
        <v>44044</v>
      </c>
      <c r="K15" s="20" t="s">
        <v>412</v>
      </c>
      <c r="L15" s="55">
        <f>10938.87+400+4571</f>
        <v>15909.87</v>
      </c>
      <c r="M15" s="34">
        <v>86609</v>
      </c>
      <c r="N15" s="35">
        <v>4353</v>
      </c>
      <c r="O15" s="434" t="s">
        <v>250</v>
      </c>
      <c r="P15" s="36">
        <f>C15+I15+M15+N15+L14</f>
        <v>115505.08</v>
      </c>
      <c r="Q15" s="201">
        <f t="shared" ref="Q15:Q39" si="1">P15-F15</f>
        <v>7838.0800000000017</v>
      </c>
      <c r="S15" s="58">
        <v>0</v>
      </c>
      <c r="T15" s="61" t="s">
        <v>383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44038</v>
      </c>
      <c r="C16" s="320">
        <v>3547</v>
      </c>
      <c r="D16" s="310" t="s">
        <v>395</v>
      </c>
      <c r="E16" s="151">
        <v>44038</v>
      </c>
      <c r="F16" s="32">
        <v>82478</v>
      </c>
      <c r="G16" s="152"/>
      <c r="H16" s="153">
        <v>44038</v>
      </c>
      <c r="I16" s="39">
        <v>533</v>
      </c>
      <c r="J16" s="60"/>
      <c r="K16" s="20" t="s">
        <v>140</v>
      </c>
      <c r="L16" s="5">
        <v>0</v>
      </c>
      <c r="M16" s="34">
        <v>73187</v>
      </c>
      <c r="N16" s="35">
        <v>5211</v>
      </c>
      <c r="O16" s="434" t="s">
        <v>250</v>
      </c>
      <c r="P16" s="36">
        <f>C16+I16+M16+N16</f>
        <v>82478</v>
      </c>
      <c r="Q16" s="5">
        <f t="shared" si="1"/>
        <v>0</v>
      </c>
      <c r="S16" s="58">
        <v>0</v>
      </c>
      <c r="T16" s="61" t="s">
        <v>389</v>
      </c>
      <c r="U16" s="61"/>
      <c r="V16" s="431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44039</v>
      </c>
      <c r="C17" s="320">
        <v>2617</v>
      </c>
      <c r="D17" s="312" t="s">
        <v>396</v>
      </c>
      <c r="E17" s="151">
        <v>44039</v>
      </c>
      <c r="F17" s="32">
        <v>85099</v>
      </c>
      <c r="G17" s="152"/>
      <c r="H17" s="153">
        <v>44039</v>
      </c>
      <c r="I17" s="39">
        <v>500</v>
      </c>
      <c r="J17" s="67"/>
      <c r="K17" s="20"/>
      <c r="L17" s="68">
        <v>0</v>
      </c>
      <c r="M17" s="34">
        <v>80663</v>
      </c>
      <c r="N17" s="35">
        <v>3412</v>
      </c>
      <c r="O17" s="276"/>
      <c r="P17" s="36">
        <f>C17+I17+M17+N17+L15</f>
        <v>103101.87</v>
      </c>
      <c r="Q17" s="198">
        <f t="shared" si="1"/>
        <v>18002.869999999995</v>
      </c>
      <c r="S17" s="58">
        <v>0</v>
      </c>
      <c r="T17" s="61" t="s">
        <v>390</v>
      </c>
      <c r="U17" s="221"/>
      <c r="V17" s="432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44040</v>
      </c>
      <c r="C18" s="320">
        <v>2054</v>
      </c>
      <c r="D18" s="310" t="s">
        <v>397</v>
      </c>
      <c r="E18" s="151">
        <v>44040</v>
      </c>
      <c r="F18" s="32">
        <v>62584</v>
      </c>
      <c r="G18" s="152"/>
      <c r="H18" s="153">
        <v>44040</v>
      </c>
      <c r="I18" s="39">
        <v>539</v>
      </c>
      <c r="J18" s="67"/>
      <c r="K18" s="71"/>
      <c r="L18" s="55"/>
      <c r="M18" s="34">
        <v>61179</v>
      </c>
      <c r="N18" s="35">
        <v>2016</v>
      </c>
      <c r="O18" s="276"/>
      <c r="P18" s="36">
        <f t="shared" ref="P18" si="2">C18+I18+M18+N18</f>
        <v>65788</v>
      </c>
      <c r="Q18" s="198">
        <f t="shared" si="1"/>
        <v>3204</v>
      </c>
      <c r="S18" s="5">
        <f>SUM(S11:S17)</f>
        <v>23650.7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44041</v>
      </c>
      <c r="C19" s="320">
        <v>4880</v>
      </c>
      <c r="D19" s="310" t="s">
        <v>398</v>
      </c>
      <c r="E19" s="151">
        <v>44041</v>
      </c>
      <c r="F19" s="32">
        <v>89999</v>
      </c>
      <c r="G19" s="152"/>
      <c r="H19" s="153">
        <v>44041</v>
      </c>
      <c r="I19" s="39">
        <v>500</v>
      </c>
      <c r="J19" s="67"/>
      <c r="K19" s="71"/>
      <c r="L19" s="73"/>
      <c r="M19" s="34">
        <f>73120+8699</f>
        <v>81819</v>
      </c>
      <c r="N19" s="35">
        <v>2800</v>
      </c>
      <c r="O19" s="276"/>
      <c r="P19" s="36">
        <f>C19+I19+M19+N19</f>
        <v>89999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44042</v>
      </c>
      <c r="C20" s="320">
        <v>1335</v>
      </c>
      <c r="D20" s="310" t="s">
        <v>72</v>
      </c>
      <c r="E20" s="151">
        <v>44042</v>
      </c>
      <c r="F20" s="32">
        <v>69890</v>
      </c>
      <c r="G20" s="152"/>
      <c r="H20" s="153">
        <v>44042</v>
      </c>
      <c r="I20" s="39">
        <v>642</v>
      </c>
      <c r="J20" s="60"/>
      <c r="K20" s="220"/>
      <c r="L20" s="68" t="s">
        <v>12</v>
      </c>
      <c r="M20" s="34">
        <v>44374</v>
      </c>
      <c r="N20" s="35">
        <v>3539</v>
      </c>
      <c r="O20" s="276"/>
      <c r="P20" s="36">
        <f>C20+I20+M20+N20+L8</f>
        <v>69890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44043</v>
      </c>
      <c r="C21" s="320">
        <v>14020</v>
      </c>
      <c r="D21" s="310" t="s">
        <v>399</v>
      </c>
      <c r="E21" s="151">
        <v>44043</v>
      </c>
      <c r="F21" s="32">
        <v>125869</v>
      </c>
      <c r="G21" s="152"/>
      <c r="H21" s="153">
        <v>44043</v>
      </c>
      <c r="I21" s="39">
        <v>12480</v>
      </c>
      <c r="J21" s="67"/>
      <c r="K21" s="74"/>
      <c r="L21" s="68"/>
      <c r="M21" s="435">
        <v>94434</v>
      </c>
      <c r="N21" s="35">
        <v>4935</v>
      </c>
      <c r="O21" s="257" t="s">
        <v>400</v>
      </c>
      <c r="P21" s="36">
        <f>C21+I21+M21+N21</f>
        <v>125869</v>
      </c>
      <c r="Q21" s="5">
        <f t="shared" si="1"/>
        <v>0</v>
      </c>
      <c r="T21" s="8"/>
      <c r="U21" s="8"/>
      <c r="V21" s="433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44044</v>
      </c>
      <c r="C22" s="320">
        <v>22319</v>
      </c>
      <c r="D22" s="310" t="s">
        <v>401</v>
      </c>
      <c r="E22" s="151">
        <v>44044</v>
      </c>
      <c r="F22" s="32">
        <v>115253</v>
      </c>
      <c r="G22" s="152"/>
      <c r="H22" s="153">
        <v>44044</v>
      </c>
      <c r="I22" s="39">
        <v>250</v>
      </c>
      <c r="J22" s="76"/>
      <c r="K22" s="59"/>
      <c r="L22" s="77"/>
      <c r="M22" s="34">
        <v>76649</v>
      </c>
      <c r="N22" s="35">
        <v>7528</v>
      </c>
      <c r="O22" s="276"/>
      <c r="P22" s="36">
        <f>C22+I22+M22+N22+L15</f>
        <v>122655.87</v>
      </c>
      <c r="Q22" s="201">
        <f>P22-F22</f>
        <v>7402.8699999999953</v>
      </c>
      <c r="T22" s="8"/>
      <c r="U22" s="8"/>
      <c r="V22" s="433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44045</v>
      </c>
      <c r="C23" s="320">
        <v>0</v>
      </c>
      <c r="D23" s="310"/>
      <c r="E23" s="151">
        <v>44045</v>
      </c>
      <c r="F23" s="32">
        <v>99735</v>
      </c>
      <c r="G23" s="152"/>
      <c r="H23" s="153">
        <v>44045</v>
      </c>
      <c r="I23" s="39">
        <v>0</v>
      </c>
      <c r="J23" s="284"/>
      <c r="K23" s="289"/>
      <c r="L23" s="285"/>
      <c r="M23" s="34">
        <v>97101</v>
      </c>
      <c r="N23" s="35">
        <v>2634</v>
      </c>
      <c r="O23" s="257"/>
      <c r="P23" s="36">
        <f>C23+I23+M23+N23</f>
        <v>99735</v>
      </c>
      <c r="Q23" s="5">
        <f>P23-F23</f>
        <v>0</v>
      </c>
      <c r="T23" s="8"/>
      <c r="U23" s="8"/>
      <c r="V23" s="433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44046</v>
      </c>
      <c r="C24" s="320">
        <v>4715</v>
      </c>
      <c r="D24" s="310" t="s">
        <v>403</v>
      </c>
      <c r="E24" s="151">
        <v>44046</v>
      </c>
      <c r="F24" s="32">
        <v>71104</v>
      </c>
      <c r="G24" s="152"/>
      <c r="H24" s="153">
        <v>44046</v>
      </c>
      <c r="I24" s="39">
        <v>0</v>
      </c>
      <c r="J24" s="417" t="s">
        <v>410</v>
      </c>
      <c r="K24" s="290" t="s">
        <v>411</v>
      </c>
      <c r="L24" s="418">
        <v>9345</v>
      </c>
      <c r="M24" s="34">
        <v>63173</v>
      </c>
      <c r="N24" s="35">
        <v>3216</v>
      </c>
      <c r="O24" s="276"/>
      <c r="P24" s="36">
        <f>C24+I24+M24+N24</f>
        <v>71104</v>
      </c>
      <c r="Q24" s="5">
        <f t="shared" ref="Q24:Q32" si="3">P24-F24</f>
        <v>0</v>
      </c>
      <c r="T24" s="8"/>
      <c r="U24" s="8"/>
      <c r="V24" s="433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44047</v>
      </c>
      <c r="C25" s="320">
        <v>8623</v>
      </c>
      <c r="D25" s="310" t="s">
        <v>404</v>
      </c>
      <c r="E25" s="151">
        <v>44047</v>
      </c>
      <c r="F25" s="32">
        <v>80334</v>
      </c>
      <c r="G25" s="152"/>
      <c r="H25" s="153">
        <v>44047</v>
      </c>
      <c r="I25" s="39">
        <v>234</v>
      </c>
      <c r="J25" s="419" t="s">
        <v>410</v>
      </c>
      <c r="K25" s="163" t="s">
        <v>308</v>
      </c>
      <c r="L25" s="102">
        <v>1700.75</v>
      </c>
      <c r="M25" s="34">
        <v>69551</v>
      </c>
      <c r="N25" s="35">
        <v>1926</v>
      </c>
      <c r="O25" s="276"/>
      <c r="P25" s="36">
        <f>C25+I25+M25+N25</f>
        <v>80334</v>
      </c>
      <c r="Q25" s="5">
        <f t="shared" si="3"/>
        <v>0</v>
      </c>
      <c r="V25" s="433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44048</v>
      </c>
      <c r="C26" s="320">
        <v>891</v>
      </c>
      <c r="D26" s="310" t="s">
        <v>72</v>
      </c>
      <c r="E26" s="151">
        <v>44048</v>
      </c>
      <c r="F26" s="32">
        <v>75554</v>
      </c>
      <c r="G26" s="152"/>
      <c r="H26" s="153">
        <v>44048</v>
      </c>
      <c r="I26" s="39">
        <v>2159</v>
      </c>
      <c r="J26" s="60" t="s">
        <v>410</v>
      </c>
      <c r="K26" s="290" t="s">
        <v>135</v>
      </c>
      <c r="L26" s="285">
        <v>1315.8630000000001</v>
      </c>
      <c r="M26" s="34">
        <v>70780</v>
      </c>
      <c r="N26" s="35">
        <v>1724</v>
      </c>
      <c r="O26" s="276"/>
      <c r="P26" s="36">
        <f>C26+I26+M26+N26</f>
        <v>75554</v>
      </c>
      <c r="Q26" s="5">
        <f t="shared" si="3"/>
        <v>0</v>
      </c>
      <c r="S26" s="86"/>
      <c r="T26" s="86"/>
      <c r="U26" s="86"/>
      <c r="V26" s="433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/>
      <c r="C27" s="320"/>
      <c r="D27" s="310"/>
      <c r="E27" s="151"/>
      <c r="F27" s="32"/>
      <c r="G27" s="152"/>
      <c r="H27" s="153"/>
      <c r="I27" s="39"/>
      <c r="J27" s="217" t="s">
        <v>410</v>
      </c>
      <c r="K27" s="164" t="s">
        <v>308</v>
      </c>
      <c r="L27" s="102">
        <v>198.99</v>
      </c>
      <c r="M27" s="34">
        <v>0</v>
      </c>
      <c r="N27" s="35">
        <v>0</v>
      </c>
      <c r="O27" s="276"/>
      <c r="P27" s="36">
        <f>C27+I27+M27+N27+L16</f>
        <v>0</v>
      </c>
      <c r="Q27" s="5">
        <f t="shared" si="3"/>
        <v>0</v>
      </c>
      <c r="V27" s="433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/>
      <c r="C28" s="320"/>
      <c r="D28" s="314"/>
      <c r="E28" s="151"/>
      <c r="F28" s="32"/>
      <c r="G28" s="152"/>
      <c r="H28" s="153"/>
      <c r="I28" s="39"/>
      <c r="J28" s="217" t="s">
        <v>410</v>
      </c>
      <c r="K28" s="294" t="s">
        <v>311</v>
      </c>
      <c r="L28" s="102">
        <v>22382.69</v>
      </c>
      <c r="M28" s="34">
        <v>0</v>
      </c>
      <c r="N28" s="35">
        <v>0</v>
      </c>
      <c r="O28" s="276"/>
      <c r="P28" s="36">
        <f>C28+I28+M28+N28+L9+L16</f>
        <v>0</v>
      </c>
      <c r="Q28" s="5">
        <f t="shared" si="3"/>
        <v>0</v>
      </c>
      <c r="V28" s="433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44028</v>
      </c>
      <c r="C29" s="320">
        <v>12095.08</v>
      </c>
      <c r="D29" s="437" t="s">
        <v>409</v>
      </c>
      <c r="E29" s="151"/>
      <c r="F29" s="32"/>
      <c r="G29" s="152"/>
      <c r="H29" s="153" t="s">
        <v>17</v>
      </c>
      <c r="I29" s="39"/>
      <c r="J29" s="217" t="s">
        <v>410</v>
      </c>
      <c r="K29" s="420" t="s">
        <v>309</v>
      </c>
      <c r="L29" s="102">
        <v>3087.29</v>
      </c>
      <c r="M29" s="34">
        <v>0</v>
      </c>
      <c r="N29" s="35">
        <v>0</v>
      </c>
      <c r="O29" s="276"/>
      <c r="P29" s="36">
        <v>0</v>
      </c>
      <c r="Q29" s="5">
        <f>P29-F29</f>
        <v>0</v>
      </c>
      <c r="S29" s="6" t="s">
        <v>12</v>
      </c>
      <c r="V29" s="433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6.5" thickBot="1" x14ac:dyDescent="0.3">
      <c r="A30" s="30"/>
      <c r="B30" s="319">
        <v>44030</v>
      </c>
      <c r="C30" s="320">
        <v>10086.85</v>
      </c>
      <c r="D30" s="437" t="s">
        <v>409</v>
      </c>
      <c r="E30" s="151"/>
      <c r="F30" s="32"/>
      <c r="G30" s="152"/>
      <c r="H30" s="153"/>
      <c r="I30" s="244"/>
      <c r="J30" s="217" t="s">
        <v>410</v>
      </c>
      <c r="K30" s="420" t="s">
        <v>379</v>
      </c>
      <c r="L30" s="293">
        <v>5800</v>
      </c>
      <c r="M30" s="34">
        <v>0</v>
      </c>
      <c r="N30" s="35">
        <v>0</v>
      </c>
      <c r="O30" s="276"/>
      <c r="P30" s="36">
        <v>0</v>
      </c>
      <c r="Q30" s="5">
        <f t="shared" si="3"/>
        <v>0</v>
      </c>
      <c r="V30" s="433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6.5" thickBot="1" x14ac:dyDescent="0.3">
      <c r="A31" s="30"/>
      <c r="B31" s="319">
        <v>44032</v>
      </c>
      <c r="C31" s="321">
        <v>14947.36</v>
      </c>
      <c r="D31" s="437" t="s">
        <v>409</v>
      </c>
      <c r="E31" s="151" t="s">
        <v>17</v>
      </c>
      <c r="F31" s="32"/>
      <c r="G31" s="152"/>
      <c r="H31" s="153"/>
      <c r="I31" s="244"/>
      <c r="J31" s="217"/>
      <c r="K31" s="163"/>
      <c r="L31" s="102"/>
      <c r="M31" s="34">
        <v>0</v>
      </c>
      <c r="N31" s="35">
        <v>0</v>
      </c>
      <c r="O31" s="276"/>
      <c r="P31" s="36">
        <v>0</v>
      </c>
      <c r="Q31" s="5">
        <f t="shared" si="3"/>
        <v>0</v>
      </c>
      <c r="V31" s="433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6.5" thickBot="1" x14ac:dyDescent="0.3">
      <c r="A32" s="30"/>
      <c r="B32" s="319">
        <v>44033</v>
      </c>
      <c r="C32" s="321">
        <v>10299.66</v>
      </c>
      <c r="D32" s="441" t="s">
        <v>80</v>
      </c>
      <c r="E32" s="151"/>
      <c r="F32" s="237"/>
      <c r="G32" s="152"/>
      <c r="H32" s="153"/>
      <c r="I32" s="244"/>
      <c r="J32" s="217"/>
      <c r="K32" s="164"/>
      <c r="L32" s="102"/>
      <c r="M32" s="34">
        <v>0</v>
      </c>
      <c r="N32" s="35">
        <v>0</v>
      </c>
      <c r="O32" s="276"/>
      <c r="P32" s="36">
        <v>0</v>
      </c>
      <c r="Q32" s="5">
        <f t="shared" si="3"/>
        <v>0</v>
      </c>
      <c r="V32" s="433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>
        <v>44035</v>
      </c>
      <c r="C33" s="321">
        <v>17215.71</v>
      </c>
      <c r="D33" s="441" t="s">
        <v>80</v>
      </c>
      <c r="E33" s="151"/>
      <c r="F33" s="176"/>
      <c r="G33" s="152"/>
      <c r="H33" s="153"/>
      <c r="I33" s="244"/>
      <c r="J33" s="217"/>
      <c r="K33" s="421"/>
      <c r="L33" s="102"/>
      <c r="M33" s="34">
        <v>0</v>
      </c>
      <c r="N33" s="35">
        <v>0</v>
      </c>
      <c r="O33" s="276"/>
      <c r="P33" s="36">
        <v>0</v>
      </c>
      <c r="Q33" s="5">
        <f t="shared" si="1"/>
        <v>0</v>
      </c>
      <c r="R33" s="36"/>
      <c r="V33" s="433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6.5" thickBot="1" x14ac:dyDescent="0.3">
      <c r="A34" s="30"/>
      <c r="B34" s="319">
        <v>44039</v>
      </c>
      <c r="C34" s="321">
        <v>19600.849999999999</v>
      </c>
      <c r="D34" s="441" t="s">
        <v>80</v>
      </c>
      <c r="E34" s="151"/>
      <c r="F34" s="176"/>
      <c r="G34" s="152"/>
      <c r="H34" s="153"/>
      <c r="I34" s="244"/>
      <c r="J34" s="217"/>
      <c r="K34" s="163"/>
      <c r="L34" s="102"/>
      <c r="M34" s="34">
        <v>0</v>
      </c>
      <c r="N34" s="35">
        <v>0</v>
      </c>
      <c r="O34" s="276"/>
      <c r="P34" s="36">
        <v>0</v>
      </c>
      <c r="Q34" s="5">
        <f t="shared" si="1"/>
        <v>0</v>
      </c>
      <c r="R34" s="36"/>
      <c r="V34" s="433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6.5" thickBot="1" x14ac:dyDescent="0.3">
      <c r="A35" s="30"/>
      <c r="B35" s="319">
        <v>44042</v>
      </c>
      <c r="C35" s="321">
        <v>9804.11</v>
      </c>
      <c r="D35" s="441" t="s">
        <v>80</v>
      </c>
      <c r="E35" s="151"/>
      <c r="F35" s="176"/>
      <c r="G35" s="152"/>
      <c r="H35" s="153"/>
      <c r="I35" s="244"/>
      <c r="J35" s="217"/>
      <c r="K35" s="164"/>
      <c r="L35" s="292"/>
      <c r="M35" s="34">
        <v>0</v>
      </c>
      <c r="N35" s="35">
        <v>0</v>
      </c>
      <c r="O35" s="276"/>
      <c r="P35" s="36">
        <v>0</v>
      </c>
      <c r="Q35" s="5">
        <f t="shared" si="1"/>
        <v>0</v>
      </c>
      <c r="R35" s="36"/>
      <c r="V35" s="433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6.5" thickBot="1" x14ac:dyDescent="0.3">
      <c r="A36" s="30"/>
      <c r="B36" s="319">
        <v>44043</v>
      </c>
      <c r="C36" s="321">
        <v>11968.59</v>
      </c>
      <c r="D36" s="441" t="s">
        <v>80</v>
      </c>
      <c r="E36" s="151"/>
      <c r="F36" s="176"/>
      <c r="G36" s="152"/>
      <c r="H36" s="153"/>
      <c r="I36" s="244"/>
      <c r="J36" s="217"/>
      <c r="K36" s="163"/>
      <c r="L36" s="102"/>
      <c r="M36" s="34">
        <v>0</v>
      </c>
      <c r="N36" s="35">
        <v>0</v>
      </c>
      <c r="O36" s="276"/>
      <c r="P36" s="36">
        <v>0</v>
      </c>
      <c r="Q36" s="5">
        <f t="shared" si="1"/>
        <v>0</v>
      </c>
      <c r="R36" s="36"/>
      <c r="V36" s="433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6.5" thickBot="1" x14ac:dyDescent="0.3">
      <c r="A37" s="30"/>
      <c r="B37" s="319">
        <v>44047</v>
      </c>
      <c r="C37" s="321">
        <v>14203.02</v>
      </c>
      <c r="D37" s="441" t="s">
        <v>80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v>0</v>
      </c>
      <c r="Q37" s="36">
        <f t="shared" si="1"/>
        <v>0</v>
      </c>
      <c r="R37" s="36"/>
      <c r="V37" s="433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319">
        <v>44048</v>
      </c>
      <c r="C38" s="322">
        <v>4690</v>
      </c>
      <c r="D38" s="441" t="s">
        <v>80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36">
        <v>0</v>
      </c>
      <c r="Q38" s="36">
        <f t="shared" si="1"/>
        <v>0</v>
      </c>
      <c r="R38" s="36"/>
      <c r="V38" s="433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6.5" thickBot="1" x14ac:dyDescent="0.3">
      <c r="A39" s="105"/>
      <c r="B39" s="319"/>
      <c r="C39" s="360"/>
      <c r="D39" s="438"/>
      <c r="E39" s="362"/>
      <c r="F39" s="413"/>
      <c r="G39" s="414"/>
      <c r="H39" s="358"/>
      <c r="I39" s="344"/>
      <c r="J39" s="228"/>
      <c r="K39" s="265"/>
      <c r="L39" s="77"/>
      <c r="M39" s="34">
        <v>0</v>
      </c>
      <c r="N39" s="35">
        <v>0</v>
      </c>
      <c r="O39" s="277"/>
      <c r="P39" s="104">
        <f t="shared" ref="P39" si="4">C39+I39+M39+N39</f>
        <v>0</v>
      </c>
      <c r="Q39" s="104">
        <f t="shared" si="1"/>
        <v>0</v>
      </c>
      <c r="R39" s="114"/>
      <c r="V39" s="433"/>
      <c r="W39" s="44" t="s">
        <v>11</v>
      </c>
      <c r="X39" s="196">
        <v>0</v>
      </c>
      <c r="Y39" s="41"/>
      <c r="AA39" s="29">
        <v>43973</v>
      </c>
      <c r="AB39" s="44" t="s">
        <v>11</v>
      </c>
      <c r="AC39" s="196">
        <v>5010</v>
      </c>
      <c r="AD39" s="41"/>
      <c r="AF39" s="19" t="s">
        <v>160</v>
      </c>
      <c r="AG39" s="167"/>
      <c r="AH39" s="21">
        <v>0</v>
      </c>
    </row>
    <row r="40" spans="1:34" ht="16.5" thickBot="1" x14ac:dyDescent="0.3">
      <c r="B40" s="385" t="s">
        <v>16</v>
      </c>
      <c r="C40" s="386">
        <f>SUM(C5:C39)</f>
        <v>253061.22999999998</v>
      </c>
      <c r="D40" s="117"/>
      <c r="E40" s="303" t="s">
        <v>16</v>
      </c>
      <c r="F40" s="304">
        <f>SUM(F5:F39)</f>
        <v>2042022</v>
      </c>
      <c r="G40" s="117"/>
      <c r="H40" s="120" t="s">
        <v>303</v>
      </c>
      <c r="I40" s="121">
        <f>SUM(I5:I39)</f>
        <v>45123</v>
      </c>
      <c r="J40" s="332"/>
      <c r="K40" s="122" t="s">
        <v>304</v>
      </c>
      <c r="L40" s="123">
        <f>SUM(L6:L39)</f>
        <v>141134.783</v>
      </c>
      <c r="M40" s="131">
        <f>SUM(M5:M39)</f>
        <v>1751345.5</v>
      </c>
      <c r="N40" s="131">
        <f>SUM(N5:N39)</f>
        <v>79278</v>
      </c>
      <c r="O40" s="278"/>
      <c r="P40" s="36">
        <f>SUM(P5:P39)</f>
        <v>2090548.5700000003</v>
      </c>
      <c r="Q40" s="36">
        <f>SUM(Q5:Q39)</f>
        <v>48526.569999999992</v>
      </c>
      <c r="R40" s="36"/>
      <c r="V40" s="29"/>
      <c r="W40" s="38" t="s">
        <v>10</v>
      </c>
      <c r="X40" s="196">
        <v>0</v>
      </c>
      <c r="Y40" s="41"/>
      <c r="AA40" s="29">
        <v>43973</v>
      </c>
      <c r="AB40" s="38" t="s">
        <v>10</v>
      </c>
      <c r="AC40" s="196">
        <v>5010</v>
      </c>
      <c r="AD40" s="41"/>
      <c r="AF40" s="19" t="s">
        <v>161</v>
      </c>
      <c r="AG40" s="167"/>
      <c r="AH40" s="21">
        <v>0</v>
      </c>
    </row>
    <row r="41" spans="1:34" ht="17.25" customHeight="1" thickTop="1" thickBot="1" x14ac:dyDescent="0.3">
      <c r="C41" s="8" t="s">
        <v>12</v>
      </c>
      <c r="O41" s="279"/>
      <c r="P41" s="114"/>
      <c r="Q41" s="114"/>
      <c r="V41" s="29"/>
      <c r="W41" s="44" t="s">
        <v>11</v>
      </c>
      <c r="X41" s="196">
        <v>0</v>
      </c>
      <c r="Y41" s="41"/>
      <c r="AA41" s="29">
        <v>43980</v>
      </c>
      <c r="AB41" s="44" t="s">
        <v>11</v>
      </c>
      <c r="AC41" s="196">
        <v>5010</v>
      </c>
      <c r="AD41" s="41"/>
      <c r="AF41" s="19" t="s">
        <v>162</v>
      </c>
      <c r="AG41" s="167"/>
      <c r="AH41" s="21">
        <v>0</v>
      </c>
    </row>
    <row r="42" spans="1:34" ht="19.5" thickBot="1" x14ac:dyDescent="0.3">
      <c r="A42" s="59"/>
      <c r="B42" s="125"/>
      <c r="C42" s="4"/>
      <c r="H42" s="457" t="s">
        <v>18</v>
      </c>
      <c r="I42" s="458"/>
      <c r="J42" s="333"/>
      <c r="K42" s="459">
        <f>I40+L40</f>
        <v>186257.783</v>
      </c>
      <c r="L42" s="460"/>
      <c r="M42" s="455">
        <f>M40+N40</f>
        <v>1830623.5</v>
      </c>
      <c r="N42" s="456"/>
      <c r="P42" s="486">
        <f>P40+Q40</f>
        <v>2139075.14</v>
      </c>
      <c r="Q42" s="487"/>
      <c r="S42" s="5"/>
      <c r="T42" s="128"/>
      <c r="U42" s="128"/>
      <c r="V42" s="29"/>
      <c r="W42" s="38" t="s">
        <v>10</v>
      </c>
      <c r="X42" s="196">
        <v>0</v>
      </c>
      <c r="Y42" s="41"/>
      <c r="Z42" s="128"/>
      <c r="AA42" s="29">
        <v>43980</v>
      </c>
      <c r="AB42" s="38" t="s">
        <v>10</v>
      </c>
      <c r="AC42" s="196">
        <v>5010</v>
      </c>
      <c r="AD42" s="41"/>
      <c r="AF42" s="19" t="s">
        <v>163</v>
      </c>
      <c r="AG42" s="167"/>
      <c r="AH42" s="21">
        <v>0</v>
      </c>
    </row>
    <row r="43" spans="1:34" ht="15.75" x14ac:dyDescent="0.25">
      <c r="D43" s="461" t="s">
        <v>19</v>
      </c>
      <c r="E43" s="461"/>
      <c r="F43" s="129">
        <f>F40-K42-C40</f>
        <v>1602702.987</v>
      </c>
      <c r="I43" s="130"/>
      <c r="J43" s="334"/>
      <c r="P43" s="127"/>
      <c r="V43" s="29"/>
      <c r="W43" s="44" t="s">
        <v>11</v>
      </c>
      <c r="X43" s="196">
        <v>0</v>
      </c>
      <c r="Y43" s="41"/>
      <c r="AA43" s="29">
        <v>43987</v>
      </c>
      <c r="AB43" s="44" t="s">
        <v>11</v>
      </c>
      <c r="AC43" s="196">
        <v>5010</v>
      </c>
      <c r="AD43" s="41"/>
      <c r="AF43" s="19" t="s">
        <v>164</v>
      </c>
      <c r="AG43" s="167"/>
      <c r="AH43" s="21">
        <v>0</v>
      </c>
    </row>
    <row r="44" spans="1:34" ht="18.75" x14ac:dyDescent="0.3">
      <c r="D44" s="443" t="s">
        <v>20</v>
      </c>
      <c r="E44" s="443"/>
      <c r="F44" s="131">
        <v>-1500498.43</v>
      </c>
      <c r="I44" s="444" t="s">
        <v>21</v>
      </c>
      <c r="J44" s="445"/>
      <c r="K44" s="446">
        <f>F49</f>
        <v>370904.37700000004</v>
      </c>
      <c r="L44" s="447"/>
      <c r="P44" s="406"/>
      <c r="Q44" s="36"/>
      <c r="V44" s="29"/>
      <c r="W44" s="38" t="s">
        <v>10</v>
      </c>
      <c r="X44" s="196">
        <v>0</v>
      </c>
      <c r="Y44" s="41"/>
      <c r="AA44" s="29">
        <v>43987</v>
      </c>
      <c r="AB44" s="38" t="s">
        <v>10</v>
      </c>
      <c r="AC44" s="196">
        <v>5010</v>
      </c>
      <c r="AD44" s="41"/>
      <c r="AF44" s="19" t="s">
        <v>165</v>
      </c>
      <c r="AG44" s="167"/>
      <c r="AH44" s="21">
        <v>0</v>
      </c>
    </row>
    <row r="45" spans="1:34" ht="4.5" customHeight="1" thickBot="1" x14ac:dyDescent="0.35">
      <c r="D45" s="132"/>
      <c r="E45" s="133"/>
      <c r="F45" s="134">
        <v>0</v>
      </c>
      <c r="I45" s="135"/>
      <c r="J45" s="335"/>
      <c r="K45" s="136"/>
      <c r="L45" s="136"/>
      <c r="P45" s="127"/>
      <c r="Q45" s="36"/>
      <c r="V45" s="8"/>
      <c r="W45" s="44" t="s">
        <v>11</v>
      </c>
      <c r="X45" s="196">
        <v>0</v>
      </c>
      <c r="AA45" s="8"/>
      <c r="AB45" s="44" t="s">
        <v>11</v>
      </c>
      <c r="AC45" s="196">
        <v>0</v>
      </c>
    </row>
    <row r="46" spans="1:34" ht="20.25" thickTop="1" thickBot="1" x14ac:dyDescent="0.35">
      <c r="C46" s="16" t="s">
        <v>12</v>
      </c>
      <c r="E46" s="59" t="s">
        <v>22</v>
      </c>
      <c r="F46" s="131">
        <f>SUM(F43:F45)</f>
        <v>102204.55700000003</v>
      </c>
      <c r="H46" s="30"/>
      <c r="I46" s="137" t="s">
        <v>23</v>
      </c>
      <c r="J46" s="336"/>
      <c r="K46" s="474">
        <f>-C4</f>
        <v>-229708.38</v>
      </c>
      <c r="L46" s="475"/>
      <c r="M46" s="214"/>
      <c r="P46" s="127"/>
      <c r="Q46" s="36"/>
      <c r="V46" s="8"/>
      <c r="W46" s="65" t="s">
        <v>16</v>
      </c>
      <c r="X46" s="66">
        <f>SUM(X4:X14)</f>
        <v>105110</v>
      </c>
      <c r="AA46" s="8"/>
      <c r="AB46" s="65" t="s">
        <v>323</v>
      </c>
      <c r="AC46" s="66">
        <f>SUM(AC4:AC14)</f>
        <v>55110</v>
      </c>
    </row>
    <row r="47" spans="1:34" ht="16.5" thickBot="1" x14ac:dyDescent="0.3">
      <c r="D47" s="139" t="s">
        <v>24</v>
      </c>
      <c r="E47" s="59" t="s">
        <v>25</v>
      </c>
      <c r="F47" s="140">
        <v>12321</v>
      </c>
      <c r="P47" s="127"/>
      <c r="Q47" s="36"/>
      <c r="V47" s="8"/>
      <c r="AA47" s="8"/>
    </row>
    <row r="48" spans="1:34" ht="20.25" thickTop="1" thickBot="1" x14ac:dyDescent="0.35">
      <c r="C48" s="231">
        <v>44048</v>
      </c>
      <c r="D48" s="476" t="s">
        <v>26</v>
      </c>
      <c r="E48" s="477"/>
      <c r="F48" s="142">
        <v>256378.82</v>
      </c>
      <c r="I48" s="478" t="s">
        <v>129</v>
      </c>
      <c r="J48" s="479"/>
      <c r="K48" s="480">
        <f>K44+K46</f>
        <v>141195.99700000003</v>
      </c>
      <c r="L48" s="481"/>
      <c r="P48" s="407"/>
      <c r="Q48" s="36"/>
    </row>
    <row r="49" spans="2:18" ht="18.75" x14ac:dyDescent="0.3">
      <c r="C49" s="143"/>
      <c r="D49" s="144"/>
      <c r="E49" s="61" t="s">
        <v>27</v>
      </c>
      <c r="F49" s="145">
        <f>F46+F47+F48</f>
        <v>370904.37700000004</v>
      </c>
      <c r="J49" s="337"/>
      <c r="M49" s="146"/>
      <c r="P49" s="36"/>
      <c r="Q49" s="36"/>
    </row>
    <row r="50" spans="2:18" x14ac:dyDescent="0.25">
      <c r="P50" s="36"/>
      <c r="Q50" s="36"/>
    </row>
    <row r="51" spans="2:18" x14ac:dyDescent="0.25">
      <c r="B51"/>
      <c r="C51"/>
      <c r="D51" s="482"/>
      <c r="E51" s="482"/>
      <c r="M51" s="147"/>
      <c r="N51" s="59"/>
      <c r="O51" s="59"/>
      <c r="P51" s="405"/>
      <c r="Q51" s="191"/>
      <c r="R51" s="186"/>
    </row>
    <row r="52" spans="2:18" x14ac:dyDescent="0.25">
      <c r="B52"/>
      <c r="C52"/>
      <c r="M52" s="147"/>
      <c r="N52" s="59"/>
      <c r="O52" s="59"/>
      <c r="P52" s="191"/>
      <c r="Q52" s="191"/>
      <c r="R52" s="186"/>
    </row>
    <row r="53" spans="2:18" x14ac:dyDescent="0.25">
      <c r="B53"/>
      <c r="C53"/>
      <c r="K53" s="382"/>
      <c r="L53" s="382"/>
      <c r="N53" s="59"/>
      <c r="O53" s="59"/>
      <c r="P53" s="191"/>
      <c r="Q53" s="191"/>
      <c r="R53" s="186"/>
    </row>
    <row r="54" spans="2:18" x14ac:dyDescent="0.25">
      <c r="B54"/>
      <c r="C54"/>
      <c r="F54"/>
      <c r="I54"/>
      <c r="J54" s="222"/>
      <c r="K54" s="382"/>
      <c r="L54" s="396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K55" s="382"/>
      <c r="L55" s="396"/>
      <c r="N55" s="59"/>
      <c r="O55" s="59"/>
      <c r="P55" s="59"/>
      <c r="Q55" s="186"/>
      <c r="R55" s="186"/>
    </row>
    <row r="56" spans="2:18" x14ac:dyDescent="0.25">
      <c r="F56" s="36"/>
      <c r="K56" s="382"/>
      <c r="L56" s="396"/>
      <c r="M56" s="4"/>
      <c r="N56" s="59"/>
      <c r="O56" s="59"/>
      <c r="P56" s="59"/>
      <c r="Q56" s="186"/>
      <c r="R56" s="186"/>
    </row>
    <row r="57" spans="2:18" x14ac:dyDescent="0.25">
      <c r="F57" s="36"/>
      <c r="K57" s="382"/>
      <c r="L57" s="293"/>
      <c r="M57" s="4"/>
      <c r="N57" s="59"/>
      <c r="O57" s="59"/>
      <c r="P57" s="59"/>
      <c r="Q57" s="186"/>
      <c r="R57" s="186"/>
    </row>
    <row r="58" spans="2:18" x14ac:dyDescent="0.25">
      <c r="F58" s="36"/>
      <c r="K58" s="382"/>
      <c r="L58" s="396"/>
      <c r="M58" s="4"/>
      <c r="N58" s="59"/>
      <c r="O58" s="59"/>
      <c r="P58" s="59"/>
      <c r="Q58" s="186"/>
      <c r="R58" s="186"/>
    </row>
    <row r="59" spans="2:18" x14ac:dyDescent="0.25">
      <c r="F59" s="36"/>
      <c r="K59" s="382"/>
      <c r="L59" s="396"/>
      <c r="M59" s="4"/>
      <c r="N59" s="59"/>
      <c r="O59" s="59"/>
      <c r="P59" s="59"/>
      <c r="Q59" s="186"/>
      <c r="R59" s="186"/>
    </row>
    <row r="60" spans="2:18" x14ac:dyDescent="0.25">
      <c r="F60" s="36"/>
      <c r="K60" s="382"/>
      <c r="L60" s="396"/>
      <c r="M60" s="4"/>
    </row>
    <row r="61" spans="2:18" x14ac:dyDescent="0.25">
      <c r="F61" s="36"/>
      <c r="K61" s="382"/>
      <c r="L61" s="396"/>
      <c r="M61" s="4"/>
    </row>
    <row r="62" spans="2:18" x14ac:dyDescent="0.25">
      <c r="F62" s="36"/>
      <c r="K62" s="382"/>
      <c r="L62" s="357"/>
      <c r="M62" s="4"/>
    </row>
    <row r="63" spans="2:18" x14ac:dyDescent="0.25">
      <c r="F63" s="36"/>
      <c r="K63" s="382"/>
      <c r="L63" s="396"/>
      <c r="M63" s="4"/>
    </row>
    <row r="64" spans="2:18" x14ac:dyDescent="0.25">
      <c r="F64" s="36"/>
      <c r="K64" s="382"/>
      <c r="L64" s="397"/>
      <c r="M64" s="4"/>
    </row>
    <row r="65" spans="6:13" x14ac:dyDescent="0.25">
      <c r="F65" s="148"/>
      <c r="K65" s="382"/>
      <c r="L65" s="382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22">
    <mergeCell ref="P42:Q4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42:I42"/>
    <mergeCell ref="K42:L42"/>
    <mergeCell ref="M42:N42"/>
    <mergeCell ref="D51:E51"/>
    <mergeCell ref="D43:E43"/>
    <mergeCell ref="D44:E44"/>
    <mergeCell ref="I44:J44"/>
    <mergeCell ref="K44:L44"/>
    <mergeCell ref="K46:L46"/>
    <mergeCell ref="D48:E48"/>
    <mergeCell ref="I48:J48"/>
    <mergeCell ref="K48:L48"/>
  </mergeCells>
  <phoneticPr fontId="30" type="noConversion"/>
  <pageMargins left="0.70866141732283472" right="0.16" top="0.37" bottom="0.34" header="0.31496062992125984" footer="0.31496062992125984"/>
  <pageSetup scale="7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D140-2626-43AB-9295-FF2364D7309D}">
  <sheetPr>
    <tabColor rgb="FFFFFF00"/>
  </sheetPr>
  <dimension ref="A1:F71"/>
  <sheetViews>
    <sheetView workbookViewId="0">
      <selection activeCell="I21" sqref="I21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44027</v>
      </c>
      <c r="B3" s="272">
        <v>22181</v>
      </c>
      <c r="C3" s="176">
        <v>38328.9</v>
      </c>
      <c r="D3" s="270"/>
      <c r="E3" s="5"/>
      <c r="F3" s="173">
        <f>C3-E3</f>
        <v>38328.9</v>
      </c>
    </row>
    <row r="4" spans="1:6" x14ac:dyDescent="0.25">
      <c r="A4" s="271">
        <v>44027</v>
      </c>
      <c r="B4" s="272">
        <v>22193</v>
      </c>
      <c r="C4" s="176">
        <v>4424</v>
      </c>
      <c r="D4" s="273"/>
      <c r="E4" s="176"/>
      <c r="F4" s="173">
        <f>F3+C4-E4</f>
        <v>42752.9</v>
      </c>
    </row>
    <row r="5" spans="1:6" x14ac:dyDescent="0.25">
      <c r="A5" s="273">
        <v>44028</v>
      </c>
      <c r="B5" s="272">
        <v>22328</v>
      </c>
      <c r="C5" s="176">
        <v>80009.259999999995</v>
      </c>
      <c r="D5" s="273"/>
      <c r="E5" s="176"/>
      <c r="F5" s="173">
        <f t="shared" ref="F5:F34" si="0">F4+C5-E5</f>
        <v>122762.16</v>
      </c>
    </row>
    <row r="6" spans="1:6" x14ac:dyDescent="0.25">
      <c r="A6" s="273">
        <v>44028</v>
      </c>
      <c r="B6" s="272">
        <v>22330</v>
      </c>
      <c r="C6" s="176">
        <v>224</v>
      </c>
      <c r="D6" s="273"/>
      <c r="E6" s="176"/>
      <c r="F6" s="173">
        <f t="shared" si="0"/>
        <v>122986.16</v>
      </c>
    </row>
    <row r="7" spans="1:6" x14ac:dyDescent="0.25">
      <c r="A7" s="273">
        <v>44028</v>
      </c>
      <c r="B7" s="272">
        <v>22398</v>
      </c>
      <c r="C7" s="176">
        <v>31533.93</v>
      </c>
      <c r="D7" s="273"/>
      <c r="E7" s="176"/>
      <c r="F7" s="173">
        <f t="shared" si="0"/>
        <v>154520.09</v>
      </c>
    </row>
    <row r="8" spans="1:6" x14ac:dyDescent="0.25">
      <c r="A8" s="273">
        <v>44029</v>
      </c>
      <c r="B8" s="272">
        <v>22432</v>
      </c>
      <c r="C8" s="176">
        <v>102884.82</v>
      </c>
      <c r="D8" s="273">
        <v>44030</v>
      </c>
      <c r="E8" s="176">
        <v>257404.91</v>
      </c>
      <c r="F8" s="436">
        <f t="shared" si="0"/>
        <v>0</v>
      </c>
    </row>
    <row r="9" spans="1:6" x14ac:dyDescent="0.25">
      <c r="A9" s="273">
        <v>44030</v>
      </c>
      <c r="B9" s="272">
        <v>22624</v>
      </c>
      <c r="C9" s="176">
        <v>38316.9</v>
      </c>
      <c r="D9" s="273"/>
      <c r="E9" s="176"/>
      <c r="F9" s="173">
        <f t="shared" si="0"/>
        <v>38316.9</v>
      </c>
    </row>
    <row r="10" spans="1:6" x14ac:dyDescent="0.25">
      <c r="A10" s="273">
        <v>44030</v>
      </c>
      <c r="B10" s="272">
        <v>22720</v>
      </c>
      <c r="C10" s="176">
        <v>168559.44</v>
      </c>
      <c r="D10" s="273"/>
      <c r="E10" s="176"/>
      <c r="F10" s="173">
        <f t="shared" si="0"/>
        <v>206876.34</v>
      </c>
    </row>
    <row r="11" spans="1:6" x14ac:dyDescent="0.25">
      <c r="A11" s="271">
        <v>44032</v>
      </c>
      <c r="B11" s="272">
        <v>22830</v>
      </c>
      <c r="C11" s="176">
        <v>534</v>
      </c>
      <c r="D11" s="273"/>
      <c r="E11" s="176"/>
      <c r="F11" s="173">
        <f t="shared" si="0"/>
        <v>207410.34</v>
      </c>
    </row>
    <row r="12" spans="1:6" x14ac:dyDescent="0.25">
      <c r="A12" s="273">
        <v>44032</v>
      </c>
      <c r="B12" s="272">
        <v>22896</v>
      </c>
      <c r="C12" s="176">
        <v>84142.12</v>
      </c>
      <c r="D12" s="273"/>
      <c r="E12" s="176"/>
      <c r="F12" s="173">
        <f t="shared" si="0"/>
        <v>291552.45999999996</v>
      </c>
    </row>
    <row r="13" spans="1:6" x14ac:dyDescent="0.25">
      <c r="A13" s="273">
        <v>44034</v>
      </c>
      <c r="B13" s="272">
        <v>23105</v>
      </c>
      <c r="C13" s="176">
        <v>75996.600000000006</v>
      </c>
      <c r="D13" s="273"/>
      <c r="E13" s="176"/>
      <c r="F13" s="173">
        <f t="shared" si="0"/>
        <v>367549.05999999994</v>
      </c>
    </row>
    <row r="14" spans="1:6" x14ac:dyDescent="0.25">
      <c r="A14" s="273">
        <v>44035</v>
      </c>
      <c r="B14" s="272">
        <v>23253</v>
      </c>
      <c r="C14" s="176">
        <v>99624.7</v>
      </c>
      <c r="D14" s="273"/>
      <c r="E14" s="176"/>
      <c r="F14" s="173">
        <f t="shared" si="0"/>
        <v>467173.75999999995</v>
      </c>
    </row>
    <row r="15" spans="1:6" x14ac:dyDescent="0.25">
      <c r="A15" s="273">
        <v>44035</v>
      </c>
      <c r="B15" s="272">
        <v>23254</v>
      </c>
      <c r="C15" s="176">
        <v>29872.400000000001</v>
      </c>
      <c r="D15" s="273">
        <v>44037</v>
      </c>
      <c r="E15" s="176">
        <v>497046.16</v>
      </c>
      <c r="F15" s="436">
        <f t="shared" si="0"/>
        <v>0</v>
      </c>
    </row>
    <row r="16" spans="1:6" x14ac:dyDescent="0.25">
      <c r="A16" s="273">
        <v>44037</v>
      </c>
      <c r="B16" s="272">
        <v>23477</v>
      </c>
      <c r="C16" s="176">
        <v>129383.9</v>
      </c>
      <c r="D16" s="273"/>
      <c r="E16" s="176"/>
      <c r="F16" s="173">
        <f t="shared" si="0"/>
        <v>129383.9</v>
      </c>
    </row>
    <row r="17" spans="1:6" x14ac:dyDescent="0.25">
      <c r="A17" s="273">
        <v>44038</v>
      </c>
      <c r="B17" s="272">
        <v>23590</v>
      </c>
      <c r="C17" s="176">
        <v>48313.04</v>
      </c>
      <c r="D17" s="273"/>
      <c r="E17" s="176"/>
      <c r="F17" s="173">
        <f t="shared" si="0"/>
        <v>177696.94</v>
      </c>
    </row>
    <row r="18" spans="1:6" x14ac:dyDescent="0.25">
      <c r="A18" s="273">
        <v>44039</v>
      </c>
      <c r="B18" s="272">
        <v>23656</v>
      </c>
      <c r="C18" s="176">
        <v>15802.8</v>
      </c>
      <c r="D18" s="273"/>
      <c r="E18" s="176"/>
      <c r="F18" s="173">
        <f t="shared" si="0"/>
        <v>193499.74</v>
      </c>
    </row>
    <row r="19" spans="1:6" x14ac:dyDescent="0.25">
      <c r="A19" s="273">
        <v>44040</v>
      </c>
      <c r="B19" s="272">
        <v>23810</v>
      </c>
      <c r="C19" s="176">
        <v>114841.8</v>
      </c>
      <c r="D19" s="273">
        <v>44041</v>
      </c>
      <c r="E19" s="176">
        <v>308341.53999999998</v>
      </c>
      <c r="F19" s="173">
        <f t="shared" si="0"/>
        <v>0</v>
      </c>
    </row>
    <row r="20" spans="1:6" x14ac:dyDescent="0.25">
      <c r="A20" s="273">
        <v>44043</v>
      </c>
      <c r="B20" s="272">
        <v>24065</v>
      </c>
      <c r="C20" s="176">
        <v>100707.1</v>
      </c>
      <c r="D20" s="273"/>
      <c r="E20" s="176"/>
      <c r="F20" s="173">
        <f t="shared" si="0"/>
        <v>100707.1</v>
      </c>
    </row>
    <row r="21" spans="1:6" x14ac:dyDescent="0.25">
      <c r="A21" s="273">
        <v>44043</v>
      </c>
      <c r="B21" s="272">
        <v>24067</v>
      </c>
      <c r="C21" s="176">
        <v>35236.6</v>
      </c>
      <c r="D21" s="273"/>
      <c r="E21" s="176"/>
      <c r="F21" s="173">
        <f t="shared" si="0"/>
        <v>135943.70000000001</v>
      </c>
    </row>
    <row r="22" spans="1:6" x14ac:dyDescent="0.25">
      <c r="A22" s="273">
        <v>44043</v>
      </c>
      <c r="B22" s="272">
        <v>24069</v>
      </c>
      <c r="C22" s="176">
        <v>836</v>
      </c>
      <c r="D22" s="273"/>
      <c r="E22" s="176"/>
      <c r="F22" s="173">
        <f t="shared" si="0"/>
        <v>136779.70000000001</v>
      </c>
    </row>
    <row r="23" spans="1:6" x14ac:dyDescent="0.25">
      <c r="A23" s="273">
        <v>44043</v>
      </c>
      <c r="B23" s="272">
        <v>24118</v>
      </c>
      <c r="C23" s="176">
        <v>18659</v>
      </c>
      <c r="D23" s="273"/>
      <c r="E23" s="176"/>
      <c r="F23" s="173">
        <f t="shared" si="0"/>
        <v>155438.70000000001</v>
      </c>
    </row>
    <row r="24" spans="1:6" x14ac:dyDescent="0.25">
      <c r="A24" s="273">
        <v>44044</v>
      </c>
      <c r="B24" s="272">
        <v>24238</v>
      </c>
      <c r="C24" s="176">
        <v>2950.2</v>
      </c>
      <c r="D24" s="273"/>
      <c r="E24" s="176"/>
      <c r="F24" s="173">
        <f t="shared" si="0"/>
        <v>158388.90000000002</v>
      </c>
    </row>
    <row r="25" spans="1:6" x14ac:dyDescent="0.25">
      <c r="A25" s="273">
        <v>44044</v>
      </c>
      <c r="B25" s="272">
        <v>24275</v>
      </c>
      <c r="C25" s="176">
        <v>122609.62</v>
      </c>
      <c r="D25" s="273"/>
      <c r="E25" s="176"/>
      <c r="F25" s="173">
        <f t="shared" si="0"/>
        <v>280998.52</v>
      </c>
    </row>
    <row r="26" spans="1:6" x14ac:dyDescent="0.25">
      <c r="A26" s="273">
        <v>44044</v>
      </c>
      <c r="B26" s="272">
        <v>24277</v>
      </c>
      <c r="C26" s="176">
        <v>21246</v>
      </c>
      <c r="D26" s="273">
        <v>44044</v>
      </c>
      <c r="E26" s="176">
        <v>302244.52</v>
      </c>
      <c r="F26" s="173">
        <f t="shared" si="0"/>
        <v>0</v>
      </c>
    </row>
    <row r="27" spans="1:6" x14ac:dyDescent="0.25">
      <c r="A27" s="273"/>
      <c r="B27" s="272"/>
      <c r="C27" s="176"/>
      <c r="D27" s="273"/>
      <c r="E27" s="176"/>
      <c r="F27" s="173">
        <f t="shared" si="0"/>
        <v>0</v>
      </c>
    </row>
    <row r="28" spans="1:6" x14ac:dyDescent="0.25">
      <c r="A28" s="273">
        <v>44045</v>
      </c>
      <c r="B28" s="272">
        <v>24371</v>
      </c>
      <c r="C28" s="176">
        <v>81449.600000000006</v>
      </c>
      <c r="D28" s="273"/>
      <c r="E28" s="176"/>
      <c r="F28" s="173">
        <f t="shared" si="0"/>
        <v>81449.600000000006</v>
      </c>
    </row>
    <row r="29" spans="1:6" x14ac:dyDescent="0.25">
      <c r="A29" s="273">
        <v>44046</v>
      </c>
      <c r="B29" s="272">
        <v>24498</v>
      </c>
      <c r="C29" s="176">
        <v>24543.1</v>
      </c>
      <c r="D29" s="273"/>
      <c r="E29" s="176"/>
      <c r="F29" s="173">
        <f t="shared" si="0"/>
        <v>105992.70000000001</v>
      </c>
    </row>
    <row r="30" spans="1:6" x14ac:dyDescent="0.25">
      <c r="A30" s="273">
        <v>44048</v>
      </c>
      <c r="B30" s="272">
        <v>24625</v>
      </c>
      <c r="C30" s="176">
        <v>24553.8</v>
      </c>
      <c r="D30" s="273"/>
      <c r="E30" s="176"/>
      <c r="F30" s="173">
        <f t="shared" si="0"/>
        <v>130546.50000000001</v>
      </c>
    </row>
    <row r="31" spans="1:6" x14ac:dyDescent="0.25">
      <c r="A31" s="273">
        <v>44048</v>
      </c>
      <c r="B31" s="272">
        <v>24718</v>
      </c>
      <c r="C31" s="176">
        <v>4914.8</v>
      </c>
      <c r="D31" s="273"/>
      <c r="E31" s="176"/>
      <c r="F31" s="173">
        <f t="shared" si="0"/>
        <v>135461.30000000002</v>
      </c>
    </row>
    <row r="32" spans="1:6" x14ac:dyDescent="0.25">
      <c r="A32" s="271"/>
      <c r="B32" s="272"/>
      <c r="C32" s="176"/>
      <c r="D32" s="411"/>
      <c r="E32" s="36"/>
      <c r="F32" s="173">
        <f t="shared" si="0"/>
        <v>135461.30000000002</v>
      </c>
    </row>
    <row r="33" spans="1:6" x14ac:dyDescent="0.25">
      <c r="A33" s="271"/>
      <c r="B33" s="272"/>
      <c r="C33" s="176"/>
      <c r="D33" s="411"/>
      <c r="E33" s="36"/>
      <c r="F33" s="173">
        <f t="shared" si="0"/>
        <v>135461.30000000002</v>
      </c>
    </row>
    <row r="34" spans="1:6" ht="15.75" thickBot="1" x14ac:dyDescent="0.3">
      <c r="A34" s="178"/>
      <c r="B34" s="412"/>
      <c r="C34" s="104">
        <v>0</v>
      </c>
      <c r="D34" s="180"/>
      <c r="E34" s="104"/>
      <c r="F34" s="173">
        <f t="shared" si="0"/>
        <v>135461.30000000002</v>
      </c>
    </row>
    <row r="35" spans="1:6" ht="19.5" thickTop="1" x14ac:dyDescent="0.3">
      <c r="B35" s="59"/>
      <c r="C35" s="4">
        <f>SUM(C3:C34)</f>
        <v>1500498.4300000006</v>
      </c>
      <c r="D35" s="1"/>
      <c r="E35" s="4">
        <f>SUM(E3:E34)</f>
        <v>1365037.13</v>
      </c>
      <c r="F35" s="181">
        <f>F34</f>
        <v>135461.30000000002</v>
      </c>
    </row>
    <row r="36" spans="1:6" x14ac:dyDescent="0.25">
      <c r="B36" s="59"/>
      <c r="C36" s="4"/>
      <c r="D36" s="1"/>
      <c r="E36" s="8"/>
      <c r="F36" s="4"/>
    </row>
    <row r="37" spans="1:6" x14ac:dyDescent="0.25">
      <c r="B37" s="59"/>
      <c r="C37" s="4"/>
      <c r="D37" s="1"/>
      <c r="E37" s="8"/>
      <c r="F37" s="4"/>
    </row>
    <row r="38" spans="1:6" x14ac:dyDescent="0.25">
      <c r="A38"/>
      <c r="B38" s="30"/>
      <c r="D38" s="30"/>
    </row>
    <row r="39" spans="1:6" x14ac:dyDescent="0.25">
      <c r="A39"/>
      <c r="B39" s="30"/>
      <c r="D39" s="30"/>
    </row>
    <row r="40" spans="1:6" x14ac:dyDescent="0.25">
      <c r="A40"/>
      <c r="B40" s="30"/>
      <c r="D40" s="30"/>
    </row>
    <row r="41" spans="1:6" x14ac:dyDescent="0.25">
      <c r="A41"/>
      <c r="B41" s="30"/>
      <c r="D41" s="30"/>
      <c r="F41"/>
    </row>
    <row r="42" spans="1:6" x14ac:dyDescent="0.25">
      <c r="A42"/>
      <c r="B42" s="30"/>
      <c r="D42" s="30"/>
      <c r="F42"/>
    </row>
    <row r="43" spans="1:6" x14ac:dyDescent="0.25">
      <c r="A43"/>
      <c r="B43" s="30"/>
      <c r="D43" s="30"/>
      <c r="F43"/>
    </row>
    <row r="44" spans="1:6" x14ac:dyDescent="0.25">
      <c r="A44"/>
      <c r="B44" s="30"/>
      <c r="D44" s="30"/>
      <c r="F44"/>
    </row>
    <row r="45" spans="1:6" x14ac:dyDescent="0.25">
      <c r="A45"/>
      <c r="B45" s="30"/>
      <c r="D45" s="30"/>
      <c r="F45"/>
    </row>
    <row r="46" spans="1:6" x14ac:dyDescent="0.25">
      <c r="A46"/>
      <c r="B46" s="30"/>
      <c r="D46" s="30"/>
      <c r="F46"/>
    </row>
    <row r="47" spans="1:6" x14ac:dyDescent="0.25">
      <c r="A47"/>
      <c r="B47" s="30"/>
      <c r="D47" s="30"/>
      <c r="F47"/>
    </row>
    <row r="48" spans="1:6" x14ac:dyDescent="0.25">
      <c r="A48"/>
      <c r="B48" s="30"/>
      <c r="D48" s="30"/>
      <c r="F48"/>
    </row>
    <row r="49" spans="1:6" x14ac:dyDescent="0.25">
      <c r="A49"/>
      <c r="B49" s="30"/>
      <c r="D49" s="30"/>
      <c r="F49"/>
    </row>
    <row r="50" spans="1:6" x14ac:dyDescent="0.25">
      <c r="A50"/>
      <c r="B50" s="30"/>
      <c r="D50" s="30"/>
      <c r="E50"/>
      <c r="F50"/>
    </row>
    <row r="51" spans="1:6" x14ac:dyDescent="0.25">
      <c r="A51"/>
      <c r="B51" s="30"/>
      <c r="D51" s="30"/>
      <c r="E51"/>
      <c r="F51"/>
    </row>
    <row r="52" spans="1:6" x14ac:dyDescent="0.25">
      <c r="A52"/>
      <c r="B52" s="30"/>
      <c r="D52" s="30"/>
      <c r="E52"/>
      <c r="F52"/>
    </row>
    <row r="53" spans="1:6" x14ac:dyDescent="0.25">
      <c r="A53"/>
      <c r="B53" s="30"/>
      <c r="D53" s="30"/>
      <c r="E53"/>
      <c r="F53"/>
    </row>
    <row r="54" spans="1:6" x14ac:dyDescent="0.25">
      <c r="A54"/>
      <c r="B54" s="30"/>
      <c r="D54" s="30"/>
      <c r="E54"/>
      <c r="F54"/>
    </row>
    <row r="55" spans="1:6" x14ac:dyDescent="0.25">
      <c r="A55"/>
      <c r="B55" s="30"/>
      <c r="D55" s="30"/>
      <c r="E55"/>
      <c r="F55"/>
    </row>
    <row r="56" spans="1:6" x14ac:dyDescent="0.25">
      <c r="B56" s="30"/>
      <c r="D56" s="30"/>
      <c r="E56"/>
    </row>
    <row r="57" spans="1:6" x14ac:dyDescent="0.25">
      <c r="B57" s="30"/>
      <c r="D57" s="30"/>
      <c r="E57"/>
    </row>
    <row r="58" spans="1:6" x14ac:dyDescent="0.25">
      <c r="B58" s="30"/>
      <c r="D58" s="30"/>
      <c r="E58"/>
    </row>
    <row r="59" spans="1:6" x14ac:dyDescent="0.25">
      <c r="B59" s="30"/>
      <c r="D59" s="30"/>
      <c r="E59"/>
    </row>
    <row r="60" spans="1:6" x14ac:dyDescent="0.25">
      <c r="B60" s="30"/>
      <c r="D60" s="30"/>
      <c r="E60"/>
    </row>
    <row r="61" spans="1:6" x14ac:dyDescent="0.25">
      <c r="B61" s="30"/>
      <c r="D61" s="30"/>
      <c r="E61"/>
    </row>
    <row r="62" spans="1:6" x14ac:dyDescent="0.25">
      <c r="B62" s="30"/>
      <c r="D62" s="30"/>
      <c r="E62"/>
    </row>
    <row r="63" spans="1:6" x14ac:dyDescent="0.25">
      <c r="B63" s="30"/>
      <c r="D63" s="30"/>
      <c r="E63"/>
    </row>
    <row r="64" spans="1:6" x14ac:dyDescent="0.25">
      <c r="B64" s="30"/>
      <c r="D64" s="30"/>
      <c r="E64"/>
    </row>
    <row r="65" spans="2:4" x14ac:dyDescent="0.25">
      <c r="B65" s="30"/>
    </row>
    <row r="66" spans="2:4" x14ac:dyDescent="0.25">
      <c r="B66" s="30"/>
    </row>
    <row r="67" spans="2:4" x14ac:dyDescent="0.25">
      <c r="B67" s="30"/>
      <c r="D67" s="30"/>
    </row>
    <row r="68" spans="2:4" x14ac:dyDescent="0.25">
      <c r="B68" s="30"/>
    </row>
    <row r="69" spans="2:4" x14ac:dyDescent="0.25">
      <c r="B69" s="30"/>
    </row>
    <row r="70" spans="2:4" x14ac:dyDescent="0.25">
      <c r="B70" s="30"/>
    </row>
    <row r="71" spans="2:4" ht="18.75" x14ac:dyDescent="0.3">
      <c r="C71" s="14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34C3-CB86-4E08-8D01-BC7D72F97CD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32C-3739-4731-8148-910E01535E5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44:F59"/>
  <sheetViews>
    <sheetView topLeftCell="A32" workbookViewId="0">
      <selection activeCell="E60" sqref="E60"/>
    </sheetView>
  </sheetViews>
  <sheetFormatPr baseColWidth="10" defaultRowHeight="15" x14ac:dyDescent="0.25"/>
  <cols>
    <col min="3" max="3" width="12.5703125" bestFit="1" customWidth="1"/>
  </cols>
  <sheetData>
    <row r="44" spans="1:6" ht="15.75" thickBot="1" x14ac:dyDescent="0.3"/>
    <row r="45" spans="1:6" ht="15" customHeight="1" thickBot="1" x14ac:dyDescent="0.3">
      <c r="A45" s="29"/>
      <c r="B45" s="488" t="s">
        <v>34</v>
      </c>
      <c r="C45" s="489"/>
      <c r="D45" s="489"/>
      <c r="E45" s="490"/>
      <c r="F45" s="4"/>
    </row>
    <row r="46" spans="1:6" ht="16.5" customHeight="1" x14ac:dyDescent="0.25">
      <c r="A46" s="167">
        <v>44048</v>
      </c>
      <c r="B46" s="338" t="s">
        <v>405</v>
      </c>
      <c r="C46" s="339">
        <v>31.28</v>
      </c>
      <c r="D46" s="340" t="s">
        <v>35</v>
      </c>
      <c r="E46" s="341" t="s">
        <v>406</v>
      </c>
      <c r="F46" s="64">
        <v>29</v>
      </c>
    </row>
    <row r="47" spans="1:6" x14ac:dyDescent="0.25">
      <c r="A47" s="167">
        <v>44048</v>
      </c>
      <c r="B47" s="338" t="s">
        <v>407</v>
      </c>
      <c r="C47" s="339">
        <v>167.48</v>
      </c>
      <c r="D47" s="168" t="s">
        <v>35</v>
      </c>
      <c r="E47" s="341" t="s">
        <v>408</v>
      </c>
      <c r="F47" s="64">
        <v>138</v>
      </c>
    </row>
    <row r="48" spans="1:6" x14ac:dyDescent="0.25">
      <c r="A48" s="167"/>
      <c r="B48" s="338" t="s">
        <v>36</v>
      </c>
      <c r="C48" s="339">
        <v>0</v>
      </c>
      <c r="D48" s="168" t="s">
        <v>35</v>
      </c>
      <c r="E48" s="341" t="s">
        <v>38</v>
      </c>
      <c r="F48" s="64">
        <v>0</v>
      </c>
    </row>
    <row r="49" spans="1:6" ht="14.25" hidden="1" customHeight="1" x14ac:dyDescent="0.25">
      <c r="A49" s="167"/>
      <c r="B49" s="338" t="s">
        <v>36</v>
      </c>
      <c r="C49" s="339">
        <v>0</v>
      </c>
      <c r="D49" s="168" t="s">
        <v>35</v>
      </c>
      <c r="E49" s="341" t="s">
        <v>402</v>
      </c>
      <c r="F49" s="64">
        <v>0</v>
      </c>
    </row>
    <row r="50" spans="1:6" hidden="1" x14ac:dyDescent="0.25">
      <c r="A50" s="167"/>
      <c r="B50" s="338" t="s">
        <v>36</v>
      </c>
      <c r="C50" s="339">
        <v>0</v>
      </c>
      <c r="D50" s="168" t="s">
        <v>35</v>
      </c>
      <c r="E50" s="341" t="s">
        <v>402</v>
      </c>
      <c r="F50" s="64">
        <v>0</v>
      </c>
    </row>
    <row r="51" spans="1:6" hidden="1" x14ac:dyDescent="0.25">
      <c r="A51" s="167"/>
      <c r="B51" s="338" t="s">
        <v>36</v>
      </c>
      <c r="C51" s="339">
        <v>0</v>
      </c>
      <c r="D51" s="168" t="s">
        <v>35</v>
      </c>
      <c r="E51" s="341" t="s">
        <v>402</v>
      </c>
      <c r="F51" s="64">
        <v>0</v>
      </c>
    </row>
    <row r="52" spans="1:6" hidden="1" x14ac:dyDescent="0.25">
      <c r="A52" s="167"/>
      <c r="B52" s="338" t="s">
        <v>36</v>
      </c>
      <c r="C52" s="339">
        <v>0</v>
      </c>
      <c r="D52" s="168" t="s">
        <v>35</v>
      </c>
      <c r="E52" s="341" t="s">
        <v>402</v>
      </c>
      <c r="F52" s="64">
        <v>0</v>
      </c>
    </row>
    <row r="53" spans="1:6" hidden="1" x14ac:dyDescent="0.25">
      <c r="A53" s="167"/>
      <c r="B53" s="338" t="s">
        <v>36</v>
      </c>
      <c r="C53" s="339">
        <v>0</v>
      </c>
      <c r="D53" s="168" t="s">
        <v>35</v>
      </c>
      <c r="E53" s="341" t="s">
        <v>402</v>
      </c>
      <c r="F53" s="64">
        <v>0</v>
      </c>
    </row>
    <row r="54" spans="1:6" hidden="1" x14ac:dyDescent="0.25">
      <c r="A54" s="167"/>
      <c r="B54" s="338" t="s">
        <v>36</v>
      </c>
      <c r="C54" s="339">
        <v>0</v>
      </c>
      <c r="D54" s="168" t="s">
        <v>35</v>
      </c>
      <c r="E54" s="341" t="s">
        <v>402</v>
      </c>
      <c r="F54" s="64">
        <v>0</v>
      </c>
    </row>
    <row r="55" spans="1:6" hidden="1" x14ac:dyDescent="0.25">
      <c r="A55" s="167"/>
      <c r="B55" s="338" t="s">
        <v>36</v>
      </c>
      <c r="C55" s="339">
        <v>0</v>
      </c>
      <c r="D55" s="168" t="s">
        <v>35</v>
      </c>
      <c r="E55" s="341" t="s">
        <v>402</v>
      </c>
      <c r="F55" s="64">
        <v>0</v>
      </c>
    </row>
    <row r="56" spans="1:6" hidden="1" x14ac:dyDescent="0.25">
      <c r="A56" s="167"/>
      <c r="B56" s="338" t="s">
        <v>36</v>
      </c>
      <c r="C56" s="339">
        <v>0</v>
      </c>
      <c r="D56" s="168" t="s">
        <v>35</v>
      </c>
      <c r="E56" s="341" t="s">
        <v>402</v>
      </c>
      <c r="F56" s="64">
        <v>0</v>
      </c>
    </row>
    <row r="57" spans="1:6" hidden="1" x14ac:dyDescent="0.25">
      <c r="A57" s="167"/>
      <c r="B57" s="338" t="s">
        <v>36</v>
      </c>
      <c r="C57" s="339">
        <v>0</v>
      </c>
      <c r="D57" s="168" t="s">
        <v>35</v>
      </c>
      <c r="E57" s="341" t="s">
        <v>402</v>
      </c>
      <c r="F57" s="64">
        <v>0</v>
      </c>
    </row>
    <row r="58" spans="1:6" hidden="1" x14ac:dyDescent="0.25">
      <c r="A58" s="167"/>
      <c r="B58" s="338" t="s">
        <v>36</v>
      </c>
      <c r="C58" s="339">
        <v>0</v>
      </c>
      <c r="D58" s="168" t="s">
        <v>35</v>
      </c>
      <c r="E58" s="341" t="s">
        <v>402</v>
      </c>
      <c r="F58" s="64">
        <v>0</v>
      </c>
    </row>
    <row r="59" spans="1:6" hidden="1" x14ac:dyDescent="0.25">
      <c r="A59" s="167"/>
      <c r="B59" s="338" t="s">
        <v>36</v>
      </c>
      <c r="C59" s="339">
        <v>0</v>
      </c>
      <c r="D59" s="168" t="s">
        <v>35</v>
      </c>
      <c r="E59" s="341" t="s">
        <v>402</v>
      </c>
      <c r="F59" s="64">
        <v>0</v>
      </c>
    </row>
  </sheetData>
  <sortState xmlns:xlrd2="http://schemas.microsoft.com/office/spreadsheetml/2017/richdata2" ref="A46:F47">
    <sortCondition ref="B46:B47"/>
  </sortState>
  <mergeCells count="1">
    <mergeCell ref="B45:E45"/>
  </mergeCells>
  <phoneticPr fontId="30" type="noConversion"/>
  <pageMargins left="0.7" right="0.7" top="0.75" bottom="0.27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43837</v>
      </c>
      <c r="B3" s="172" t="s">
        <v>86</v>
      </c>
      <c r="C3" s="5">
        <v>72594</v>
      </c>
      <c r="D3" s="63"/>
      <c r="E3" s="5"/>
      <c r="F3" s="173">
        <f>C3-E3</f>
        <v>72594</v>
      </c>
    </row>
    <row r="4" spans="1:6" x14ac:dyDescent="0.25">
      <c r="A4" s="174">
        <v>43838</v>
      </c>
      <c r="B4" s="175" t="s">
        <v>87</v>
      </c>
      <c r="C4" s="176">
        <v>132399.22</v>
      </c>
      <c r="D4" s="177"/>
      <c r="E4" s="176"/>
      <c r="F4" s="173">
        <f>F3+C4-E4</f>
        <v>204993.22</v>
      </c>
    </row>
    <row r="5" spans="1:6" x14ac:dyDescent="0.25">
      <c r="A5" s="177">
        <v>43839</v>
      </c>
      <c r="B5" s="175" t="s">
        <v>88</v>
      </c>
      <c r="C5" s="176">
        <v>2328</v>
      </c>
      <c r="D5" s="177"/>
      <c r="E5" s="176"/>
      <c r="F5" s="173">
        <f t="shared" ref="F5:F50" si="0">F4+C5-E5</f>
        <v>207321.22</v>
      </c>
    </row>
    <row r="6" spans="1:6" x14ac:dyDescent="0.25">
      <c r="A6" s="177">
        <v>43839</v>
      </c>
      <c r="B6" s="175" t="s">
        <v>89</v>
      </c>
      <c r="C6" s="176">
        <v>128075.49</v>
      </c>
      <c r="D6" s="177"/>
      <c r="E6" s="176"/>
      <c r="F6" s="173">
        <f t="shared" si="0"/>
        <v>335396.71000000002</v>
      </c>
    </row>
    <row r="7" spans="1:6" x14ac:dyDescent="0.25">
      <c r="A7" s="177">
        <v>43840</v>
      </c>
      <c r="B7" s="175" t="s">
        <v>90</v>
      </c>
      <c r="C7" s="176">
        <v>120189.55</v>
      </c>
      <c r="D7" s="177"/>
      <c r="E7" s="176"/>
      <c r="F7" s="173">
        <f t="shared" si="0"/>
        <v>455586.26</v>
      </c>
    </row>
    <row r="8" spans="1:6" x14ac:dyDescent="0.25">
      <c r="A8" s="177">
        <v>43840</v>
      </c>
      <c r="B8" s="175" t="s">
        <v>91</v>
      </c>
      <c r="C8" s="176">
        <v>3031</v>
      </c>
      <c r="D8" s="177"/>
      <c r="E8" s="176"/>
      <c r="F8" s="173">
        <f t="shared" si="0"/>
        <v>458617.26</v>
      </c>
    </row>
    <row r="9" spans="1:6" x14ac:dyDescent="0.25">
      <c r="A9" s="177">
        <v>43841</v>
      </c>
      <c r="B9" s="175" t="s">
        <v>92</v>
      </c>
      <c r="C9" s="176">
        <v>136774.39999999999</v>
      </c>
      <c r="D9" s="177"/>
      <c r="E9" s="176"/>
      <c r="F9" s="173">
        <f t="shared" si="0"/>
        <v>595391.66</v>
      </c>
    </row>
    <row r="10" spans="1:6" x14ac:dyDescent="0.25">
      <c r="A10" s="177">
        <v>43841</v>
      </c>
      <c r="B10" s="175" t="s">
        <v>93</v>
      </c>
      <c r="C10" s="176">
        <v>1766.6</v>
      </c>
      <c r="D10" s="177"/>
      <c r="E10" s="176"/>
      <c r="F10" s="173">
        <f t="shared" si="0"/>
        <v>597158.26</v>
      </c>
    </row>
    <row r="11" spans="1:6" x14ac:dyDescent="0.25">
      <c r="A11" s="174">
        <v>43842</v>
      </c>
      <c r="B11" s="175" t="s">
        <v>94</v>
      </c>
      <c r="C11" s="176">
        <v>9876</v>
      </c>
      <c r="D11" s="177">
        <v>43843</v>
      </c>
      <c r="E11" s="176">
        <v>607034.26</v>
      </c>
      <c r="F11" s="173">
        <f t="shared" si="0"/>
        <v>0</v>
      </c>
    </row>
    <row r="12" spans="1:6" x14ac:dyDescent="0.25">
      <c r="A12" s="177">
        <v>43843</v>
      </c>
      <c r="B12" s="175" t="s">
        <v>95</v>
      </c>
      <c r="C12" s="176">
        <v>51267.96</v>
      </c>
      <c r="D12" s="177"/>
      <c r="E12" s="176"/>
      <c r="F12" s="173">
        <f t="shared" si="0"/>
        <v>51267.96</v>
      </c>
    </row>
    <row r="13" spans="1:6" x14ac:dyDescent="0.25">
      <c r="A13" s="177">
        <v>43844</v>
      </c>
      <c r="B13" s="175" t="s">
        <v>96</v>
      </c>
      <c r="C13" s="176">
        <v>100845.65</v>
      </c>
      <c r="D13" s="177"/>
      <c r="E13" s="176"/>
      <c r="F13" s="173">
        <f t="shared" si="0"/>
        <v>152113.60999999999</v>
      </c>
    </row>
    <row r="14" spans="1:6" x14ac:dyDescent="0.25">
      <c r="A14" s="177">
        <v>43845</v>
      </c>
      <c r="B14" s="175" t="s">
        <v>97</v>
      </c>
      <c r="C14" s="176">
        <v>138607.79999999999</v>
      </c>
      <c r="D14" s="177"/>
      <c r="E14" s="176"/>
      <c r="F14" s="173">
        <f t="shared" si="0"/>
        <v>290721.40999999997</v>
      </c>
    </row>
    <row r="15" spans="1:6" x14ac:dyDescent="0.25">
      <c r="A15" s="177">
        <v>43845</v>
      </c>
      <c r="B15" s="175" t="s">
        <v>98</v>
      </c>
      <c r="C15" s="176">
        <v>7932.6</v>
      </c>
      <c r="D15" s="177"/>
      <c r="E15" s="176"/>
      <c r="F15" s="173">
        <f t="shared" si="0"/>
        <v>298654.00999999995</v>
      </c>
    </row>
    <row r="16" spans="1:6" x14ac:dyDescent="0.25">
      <c r="A16" s="177">
        <v>43846</v>
      </c>
      <c r="B16" s="175" t="s">
        <v>99</v>
      </c>
      <c r="C16" s="176">
        <v>2014.8</v>
      </c>
      <c r="D16" s="177"/>
      <c r="E16" s="176"/>
      <c r="F16" s="173">
        <f t="shared" si="0"/>
        <v>300668.80999999994</v>
      </c>
    </row>
    <row r="17" spans="1:6" x14ac:dyDescent="0.25">
      <c r="A17" s="177">
        <v>43846</v>
      </c>
      <c r="B17" s="175" t="s">
        <v>100</v>
      </c>
      <c r="C17" s="176">
        <v>114829.3</v>
      </c>
      <c r="D17" s="177"/>
      <c r="E17" s="176"/>
      <c r="F17" s="173">
        <f t="shared" si="0"/>
        <v>415498.10999999993</v>
      </c>
    </row>
    <row r="18" spans="1:6" x14ac:dyDescent="0.25">
      <c r="A18" s="177">
        <v>43847</v>
      </c>
      <c r="B18" s="175" t="s">
        <v>101</v>
      </c>
      <c r="C18" s="176">
        <v>2560</v>
      </c>
      <c r="D18" s="177"/>
      <c r="E18" s="176"/>
      <c r="F18" s="173">
        <f t="shared" si="0"/>
        <v>418058.10999999993</v>
      </c>
    </row>
    <row r="19" spans="1:6" x14ac:dyDescent="0.25">
      <c r="A19" s="177">
        <v>43847</v>
      </c>
      <c r="B19" s="175" t="s">
        <v>102</v>
      </c>
      <c r="C19" s="176">
        <v>14896</v>
      </c>
      <c r="D19" s="177">
        <v>43848</v>
      </c>
      <c r="E19" s="176">
        <v>432954.11</v>
      </c>
      <c r="F19" s="173">
        <f t="shared" si="0"/>
        <v>0</v>
      </c>
    </row>
    <row r="20" spans="1:6" x14ac:dyDescent="0.25">
      <c r="A20" s="177">
        <v>43848</v>
      </c>
      <c r="B20" s="175" t="s">
        <v>103</v>
      </c>
      <c r="C20" s="176">
        <v>133304</v>
      </c>
      <c r="D20" s="177"/>
      <c r="E20" s="176"/>
      <c r="F20" s="173">
        <f t="shared" si="0"/>
        <v>133304</v>
      </c>
    </row>
    <row r="21" spans="1:6" x14ac:dyDescent="0.25">
      <c r="A21" s="177">
        <v>43848</v>
      </c>
      <c r="B21" s="175" t="s">
        <v>104</v>
      </c>
      <c r="C21" s="176">
        <v>71669.45</v>
      </c>
      <c r="D21" s="177"/>
      <c r="E21" s="176"/>
      <c r="F21" s="173">
        <f t="shared" si="0"/>
        <v>204973.45</v>
      </c>
    </row>
    <row r="22" spans="1:6" x14ac:dyDescent="0.25">
      <c r="A22" s="177">
        <v>43849</v>
      </c>
      <c r="B22" s="175" t="s">
        <v>105</v>
      </c>
      <c r="C22" s="176">
        <v>3967.2</v>
      </c>
      <c r="D22" s="177"/>
      <c r="E22" s="176"/>
      <c r="F22" s="173">
        <f t="shared" si="0"/>
        <v>208940.65000000002</v>
      </c>
    </row>
    <row r="23" spans="1:6" x14ac:dyDescent="0.25">
      <c r="A23" s="177">
        <v>43849</v>
      </c>
      <c r="B23" s="175" t="s">
        <v>106</v>
      </c>
      <c r="C23" s="176">
        <v>2893.2</v>
      </c>
      <c r="D23" s="177"/>
      <c r="E23" s="176"/>
      <c r="F23" s="173">
        <f t="shared" si="0"/>
        <v>211833.85000000003</v>
      </c>
    </row>
    <row r="24" spans="1:6" x14ac:dyDescent="0.25">
      <c r="A24" s="177">
        <v>43851</v>
      </c>
      <c r="B24" s="175" t="s">
        <v>107</v>
      </c>
      <c r="C24" s="176">
        <v>137808.56</v>
      </c>
      <c r="D24" s="177"/>
      <c r="E24" s="176"/>
      <c r="F24" s="173">
        <f t="shared" si="0"/>
        <v>349642.41000000003</v>
      </c>
    </row>
    <row r="25" spans="1:6" x14ac:dyDescent="0.25">
      <c r="A25" s="177">
        <v>43851</v>
      </c>
      <c r="B25" s="175" t="s">
        <v>108</v>
      </c>
      <c r="C25" s="176">
        <v>1036</v>
      </c>
      <c r="D25" s="177">
        <v>43852</v>
      </c>
      <c r="E25" s="176">
        <v>350678.41</v>
      </c>
      <c r="F25" s="173">
        <f t="shared" si="0"/>
        <v>0</v>
      </c>
    </row>
    <row r="26" spans="1:6" x14ac:dyDescent="0.25">
      <c r="A26" s="177">
        <v>43850</v>
      </c>
      <c r="B26" s="175" t="s">
        <v>109</v>
      </c>
      <c r="C26" s="176">
        <v>95296.9</v>
      </c>
      <c r="D26" s="177"/>
      <c r="E26" s="176"/>
      <c r="F26" s="173">
        <f t="shared" si="0"/>
        <v>95296.9</v>
      </c>
    </row>
    <row r="27" spans="1:6" x14ac:dyDescent="0.25">
      <c r="A27" s="177">
        <v>43853</v>
      </c>
      <c r="B27" s="175" t="s">
        <v>110</v>
      </c>
      <c r="C27" s="176">
        <v>114983.8</v>
      </c>
      <c r="D27" s="177"/>
      <c r="E27" s="176"/>
      <c r="F27" s="173">
        <f t="shared" si="0"/>
        <v>210280.7</v>
      </c>
    </row>
    <row r="28" spans="1:6" x14ac:dyDescent="0.25">
      <c r="A28" s="174">
        <v>43854</v>
      </c>
      <c r="B28" s="175" t="s">
        <v>111</v>
      </c>
      <c r="C28" s="176">
        <v>97328.45</v>
      </c>
      <c r="D28" s="177"/>
      <c r="E28" s="176"/>
      <c r="F28" s="173">
        <f t="shared" si="0"/>
        <v>307609.15000000002</v>
      </c>
    </row>
    <row r="29" spans="1:6" x14ac:dyDescent="0.25">
      <c r="A29" s="174">
        <v>43855</v>
      </c>
      <c r="B29" s="175" t="s">
        <v>112</v>
      </c>
      <c r="C29" s="176">
        <v>158655.5</v>
      </c>
      <c r="D29" s="177"/>
      <c r="E29" s="176"/>
      <c r="F29" s="173">
        <f t="shared" si="0"/>
        <v>466264.65</v>
      </c>
    </row>
    <row r="30" spans="1:6" x14ac:dyDescent="0.25">
      <c r="A30" s="174">
        <v>43856</v>
      </c>
      <c r="B30" s="175" t="s">
        <v>113</v>
      </c>
      <c r="C30" s="176">
        <v>1244.4000000000001</v>
      </c>
      <c r="D30" s="177"/>
      <c r="E30" s="176"/>
      <c r="F30" s="173">
        <f t="shared" si="0"/>
        <v>467509.05000000005</v>
      </c>
    </row>
    <row r="31" spans="1:6" x14ac:dyDescent="0.25">
      <c r="A31" s="174">
        <v>43856</v>
      </c>
      <c r="B31" s="175" t="s">
        <v>114</v>
      </c>
      <c r="C31" s="176">
        <v>3303</v>
      </c>
      <c r="D31" s="177"/>
      <c r="E31" s="176"/>
      <c r="F31" s="173">
        <f t="shared" si="0"/>
        <v>470812.05000000005</v>
      </c>
    </row>
    <row r="32" spans="1:6" x14ac:dyDescent="0.25">
      <c r="A32" s="174">
        <v>43857</v>
      </c>
      <c r="B32" s="175" t="s">
        <v>115</v>
      </c>
      <c r="C32" s="176">
        <v>8468.2000000000007</v>
      </c>
      <c r="D32" s="177">
        <v>43857</v>
      </c>
      <c r="E32" s="176">
        <v>479280.25</v>
      </c>
      <c r="F32" s="173">
        <f t="shared" si="0"/>
        <v>0</v>
      </c>
    </row>
    <row r="33" spans="1:6" x14ac:dyDescent="0.25">
      <c r="A33" s="174">
        <v>43858</v>
      </c>
      <c r="B33" s="175" t="s">
        <v>116</v>
      </c>
      <c r="C33" s="176">
        <v>43621.7</v>
      </c>
      <c r="D33" s="177"/>
      <c r="E33" s="176"/>
      <c r="F33" s="173">
        <f t="shared" si="0"/>
        <v>43621.7</v>
      </c>
    </row>
    <row r="34" spans="1:6" x14ac:dyDescent="0.25">
      <c r="A34" s="174">
        <v>43859</v>
      </c>
      <c r="B34" s="175" t="s">
        <v>117</v>
      </c>
      <c r="C34" s="176">
        <v>65222.16</v>
      </c>
      <c r="D34" s="177"/>
      <c r="E34" s="176"/>
      <c r="F34" s="173">
        <f t="shared" si="0"/>
        <v>108843.86</v>
      </c>
    </row>
    <row r="35" spans="1:6" x14ac:dyDescent="0.25">
      <c r="A35" s="174">
        <v>43861</v>
      </c>
      <c r="B35" s="175" t="s">
        <v>118</v>
      </c>
      <c r="C35" s="176">
        <v>7226.75</v>
      </c>
      <c r="D35" s="177"/>
      <c r="E35" s="176"/>
      <c r="F35" s="173">
        <f t="shared" si="0"/>
        <v>116070.61</v>
      </c>
    </row>
    <row r="36" spans="1:6" x14ac:dyDescent="0.25">
      <c r="A36" s="174">
        <v>43861</v>
      </c>
      <c r="B36" s="175" t="s">
        <v>119</v>
      </c>
      <c r="C36" s="176">
        <v>107062.39999999999</v>
      </c>
      <c r="D36" s="177">
        <v>43861</v>
      </c>
      <c r="E36" s="176">
        <v>223133.01</v>
      </c>
      <c r="F36" s="173">
        <f t="shared" si="0"/>
        <v>0</v>
      </c>
    </row>
    <row r="37" spans="1:6" x14ac:dyDescent="0.25">
      <c r="A37" s="174">
        <v>43861</v>
      </c>
      <c r="B37" s="175" t="s">
        <v>122</v>
      </c>
      <c r="C37" s="176">
        <v>11099.6</v>
      </c>
      <c r="D37" s="177"/>
      <c r="E37" s="176"/>
      <c r="F37" s="173">
        <f t="shared" si="0"/>
        <v>11099.6</v>
      </c>
    </row>
    <row r="38" spans="1:6" x14ac:dyDescent="0.25">
      <c r="A38" s="174">
        <v>43862</v>
      </c>
      <c r="B38" s="175" t="s">
        <v>123</v>
      </c>
      <c r="C38" s="176">
        <v>122864.8</v>
      </c>
      <c r="D38" s="177"/>
      <c r="E38" s="176"/>
      <c r="F38" s="173">
        <f t="shared" si="0"/>
        <v>133964.4</v>
      </c>
    </row>
    <row r="39" spans="1:6" x14ac:dyDescent="0.25">
      <c r="A39" s="174">
        <v>43863</v>
      </c>
      <c r="B39" s="175" t="s">
        <v>124</v>
      </c>
      <c r="C39" s="176">
        <v>8621.7999999999993</v>
      </c>
      <c r="D39" s="177"/>
      <c r="E39" s="176"/>
      <c r="F39" s="173">
        <f t="shared" si="0"/>
        <v>142586.19999999998</v>
      </c>
    </row>
    <row r="40" spans="1:6" x14ac:dyDescent="0.25">
      <c r="A40" s="174">
        <v>43864</v>
      </c>
      <c r="B40" s="175" t="s">
        <v>125</v>
      </c>
      <c r="C40" s="176">
        <v>109336</v>
      </c>
      <c r="D40" s="177"/>
      <c r="E40" s="176"/>
      <c r="F40" s="173">
        <f t="shared" si="0"/>
        <v>251922.19999999998</v>
      </c>
    </row>
    <row r="41" spans="1:6" x14ac:dyDescent="0.25">
      <c r="A41" s="174">
        <v>43866</v>
      </c>
      <c r="B41" s="175" t="s">
        <v>126</v>
      </c>
      <c r="C41" s="176">
        <v>85830.3</v>
      </c>
      <c r="D41" s="177"/>
      <c r="E41" s="176"/>
      <c r="F41" s="173">
        <f t="shared" si="0"/>
        <v>337752.5</v>
      </c>
    </row>
    <row r="42" spans="1:6" x14ac:dyDescent="0.25">
      <c r="A42" s="174">
        <v>43867</v>
      </c>
      <c r="B42" s="175" t="s">
        <v>127</v>
      </c>
      <c r="C42" s="176">
        <v>87095.91</v>
      </c>
      <c r="D42" s="177"/>
      <c r="E42" s="176"/>
      <c r="F42" s="173">
        <f t="shared" si="0"/>
        <v>424848.41000000003</v>
      </c>
    </row>
    <row r="43" spans="1:6" x14ac:dyDescent="0.25">
      <c r="A43" s="174">
        <v>43867</v>
      </c>
      <c r="B43" s="175" t="s">
        <v>128</v>
      </c>
      <c r="C43" s="176">
        <v>540</v>
      </c>
      <c r="D43" s="177">
        <v>43869</v>
      </c>
      <c r="E43" s="176">
        <v>425388.41</v>
      </c>
      <c r="F43" s="173">
        <f t="shared" si="0"/>
        <v>0</v>
      </c>
    </row>
    <row r="44" spans="1:6" x14ac:dyDescent="0.25">
      <c r="A44" s="174"/>
      <c r="B44" s="175"/>
      <c r="C44" s="176"/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/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22" workbookViewId="0">
      <selection activeCell="P42" sqref="P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48" t="s">
        <v>136</v>
      </c>
      <c r="D1" s="448"/>
      <c r="E1" s="448"/>
      <c r="F1" s="448"/>
      <c r="G1" s="448"/>
      <c r="H1" s="448"/>
      <c r="I1" s="448"/>
      <c r="J1" s="448"/>
      <c r="K1" s="448"/>
      <c r="L1" s="2"/>
      <c r="M1" s="3"/>
      <c r="AF1" s="462" t="s">
        <v>45</v>
      </c>
      <c r="AG1" s="463"/>
    </row>
    <row r="2" spans="1:33" ht="18" customHeight="1" thickBot="1" x14ac:dyDescent="0.35">
      <c r="C2" s="8"/>
      <c r="E2" s="483" t="s">
        <v>190</v>
      </c>
      <c r="F2" s="483"/>
      <c r="H2" s="233" t="s">
        <v>0</v>
      </c>
      <c r="I2" s="3"/>
      <c r="J2" s="3"/>
      <c r="K2" s="152"/>
      <c r="L2" s="152"/>
      <c r="M2" s="3"/>
      <c r="N2" s="5"/>
      <c r="O2" s="5"/>
      <c r="W2" s="470" t="s">
        <v>4</v>
      </c>
      <c r="X2" s="471"/>
      <c r="AA2" s="467" t="s">
        <v>43</v>
      </c>
      <c r="AB2" s="468"/>
      <c r="AC2" s="469"/>
      <c r="AE2" s="193" t="s">
        <v>44</v>
      </c>
      <c r="AF2" s="464"/>
      <c r="AG2" s="465"/>
    </row>
    <row r="3" spans="1:33" ht="18" customHeight="1" thickBot="1" x14ac:dyDescent="0.35">
      <c r="B3" s="449" t="s">
        <v>1</v>
      </c>
      <c r="C3" s="450"/>
      <c r="D3" s="15"/>
      <c r="E3" s="484"/>
      <c r="F3" s="484"/>
      <c r="I3" s="234" t="s">
        <v>2</v>
      </c>
      <c r="J3" s="235"/>
      <c r="K3" s="236" t="s">
        <v>191</v>
      </c>
      <c r="L3" s="236"/>
      <c r="W3" s="472"/>
      <c r="X3" s="473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355209.27</v>
      </c>
      <c r="D4" s="215">
        <v>43867</v>
      </c>
      <c r="E4" s="451" t="s">
        <v>6</v>
      </c>
      <c r="F4" s="452"/>
      <c r="H4" s="453" t="s">
        <v>7</v>
      </c>
      <c r="I4" s="45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198">
        <f>P5-F5</f>
        <v>926</v>
      </c>
      <c r="R5" s="198"/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1">
        <f>P6-F6</f>
        <v>10287.309999999998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3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198">
        <f t="shared" si="0"/>
        <v>6244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198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198">
        <f t="shared" si="0"/>
        <v>20901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1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60</v>
      </c>
      <c r="AB14" s="167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4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61</v>
      </c>
      <c r="AB15" s="167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88" t="s">
        <v>141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63</v>
      </c>
      <c r="AB17" s="167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64</v>
      </c>
      <c r="AB18" s="167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0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1">
        <f t="shared" si="1"/>
        <v>9209.070000000007</v>
      </c>
      <c r="T20" s="8"/>
      <c r="U20" s="8"/>
      <c r="W20" s="44" t="s">
        <v>11</v>
      </c>
      <c r="X20" s="196">
        <v>0</v>
      </c>
      <c r="Y20" s="41"/>
      <c r="AA20" s="19" t="s">
        <v>66</v>
      </c>
      <c r="AB20" s="167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6">
        <v>0</v>
      </c>
      <c r="Y21" s="41"/>
      <c r="AA21" s="19" t="s">
        <v>67</v>
      </c>
      <c r="AB21" s="167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AA22" s="19" t="s">
        <v>143</v>
      </c>
      <c r="AB22" s="167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6">
        <v>0</v>
      </c>
      <c r="Y23" s="41"/>
      <c r="AA23" s="19" t="s">
        <v>144</v>
      </c>
      <c r="AB23" s="167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6">
        <v>0</v>
      </c>
      <c r="Y24" s="41"/>
      <c r="Z24" t="s">
        <v>12</v>
      </c>
      <c r="AA24" s="19" t="s">
        <v>145</v>
      </c>
      <c r="AB24" s="167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6">
        <v>0</v>
      </c>
      <c r="Y25" s="41"/>
      <c r="AA25" s="19" t="s">
        <v>146</v>
      </c>
      <c r="AB25" s="167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AA26" s="19" t="s">
        <v>147</v>
      </c>
      <c r="AB26" s="167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1">
        <f t="shared" si="1"/>
        <v>10113.450000000012</v>
      </c>
      <c r="R27" s="198"/>
      <c r="V27" s="29"/>
      <c r="W27" s="38" t="s">
        <v>10</v>
      </c>
      <c r="X27" s="196">
        <v>0</v>
      </c>
      <c r="Y27" s="41"/>
      <c r="AA27" s="19" t="s">
        <v>148</v>
      </c>
      <c r="AB27" s="167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149</v>
      </c>
      <c r="AB28" s="167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150</v>
      </c>
      <c r="AB29" s="167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0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6">
        <v>0</v>
      </c>
      <c r="Y30" s="41"/>
      <c r="AA30" s="19" t="s">
        <v>151</v>
      </c>
      <c r="AB30" s="167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0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152</v>
      </c>
      <c r="AB31" s="167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28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6">
        <v>0</v>
      </c>
      <c r="Y32" s="41"/>
      <c r="AA32" s="19" t="s">
        <v>153</v>
      </c>
      <c r="AB32" s="167"/>
      <c r="AC32" s="21">
        <v>0</v>
      </c>
    </row>
    <row r="33" spans="1:29" ht="15.75" x14ac:dyDescent="0.25">
      <c r="A33" s="30"/>
      <c r="B33" s="208">
        <v>43872</v>
      </c>
      <c r="C33" s="227">
        <v>10988.8</v>
      </c>
      <c r="D33" s="209" t="s">
        <v>80</v>
      </c>
      <c r="E33" s="98"/>
      <c r="F33" s="36"/>
      <c r="H33" s="153"/>
      <c r="I33" s="99"/>
      <c r="J33" s="228" t="s">
        <v>184</v>
      </c>
      <c r="K33" s="218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6">
        <v>0</v>
      </c>
      <c r="Y33" s="41"/>
      <c r="AA33" s="19" t="s">
        <v>154</v>
      </c>
      <c r="AB33" s="167"/>
      <c r="AC33" s="21">
        <v>0</v>
      </c>
    </row>
    <row r="34" spans="1:29" ht="15.75" x14ac:dyDescent="0.25">
      <c r="A34" s="30"/>
      <c r="B34" s="19">
        <v>43874</v>
      </c>
      <c r="C34" s="226">
        <v>9660.16</v>
      </c>
      <c r="D34" s="210" t="s">
        <v>80</v>
      </c>
      <c r="E34" s="98"/>
      <c r="F34" s="36"/>
      <c r="H34" s="153"/>
      <c r="I34" s="36"/>
      <c r="J34" s="228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6">
        <v>0</v>
      </c>
      <c r="Y34" s="41"/>
      <c r="AA34" s="19" t="s">
        <v>155</v>
      </c>
      <c r="AB34" s="167"/>
      <c r="AC34" s="21">
        <v>0</v>
      </c>
    </row>
    <row r="35" spans="1:29" ht="15.75" x14ac:dyDescent="0.25">
      <c r="A35" s="30"/>
      <c r="B35" s="19">
        <v>43876</v>
      </c>
      <c r="C35" s="226">
        <v>10852.12</v>
      </c>
      <c r="D35" s="210" t="s">
        <v>80</v>
      </c>
      <c r="E35" s="98"/>
      <c r="F35" s="36"/>
      <c r="H35" s="153"/>
      <c r="I35" s="36"/>
      <c r="J35" s="228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6">
        <v>0</v>
      </c>
      <c r="Y35" s="41"/>
      <c r="AA35" s="19" t="s">
        <v>156</v>
      </c>
      <c r="AB35" s="167"/>
      <c r="AC35" s="21">
        <v>0</v>
      </c>
    </row>
    <row r="36" spans="1:29" ht="15.75" x14ac:dyDescent="0.25">
      <c r="A36" s="30"/>
      <c r="B36" s="19">
        <v>43879</v>
      </c>
      <c r="C36" s="226">
        <v>8990.7199999999993</v>
      </c>
      <c r="D36" s="210" t="s">
        <v>80</v>
      </c>
      <c r="E36" s="98"/>
      <c r="F36" s="36"/>
      <c r="H36" s="153"/>
      <c r="I36" s="36"/>
      <c r="J36" s="228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6">
        <v>0</v>
      </c>
      <c r="Y36" s="41"/>
      <c r="AA36" s="19" t="s">
        <v>157</v>
      </c>
      <c r="AB36" s="167"/>
      <c r="AC36" s="21">
        <v>0</v>
      </c>
    </row>
    <row r="37" spans="1:29" ht="15.75" x14ac:dyDescent="0.25">
      <c r="A37" s="30"/>
      <c r="B37" s="19">
        <v>43882</v>
      </c>
      <c r="C37" s="226">
        <v>16447.240000000002</v>
      </c>
      <c r="D37" s="210" t="s">
        <v>80</v>
      </c>
      <c r="E37" s="98"/>
      <c r="F37" s="36"/>
      <c r="H37" s="153"/>
      <c r="I37" s="36"/>
      <c r="J37" s="228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6">
        <v>0</v>
      </c>
      <c r="Y37" s="41"/>
      <c r="AA37" s="19" t="s">
        <v>158</v>
      </c>
      <c r="AB37" s="167"/>
      <c r="AC37" s="21">
        <v>0</v>
      </c>
    </row>
    <row r="38" spans="1:29" ht="15.75" x14ac:dyDescent="0.25">
      <c r="A38" s="30"/>
      <c r="B38" s="19">
        <v>43885</v>
      </c>
      <c r="C38" s="226">
        <v>9276.7999999999993</v>
      </c>
      <c r="D38" s="210" t="s">
        <v>80</v>
      </c>
      <c r="E38" s="98"/>
      <c r="F38" s="36"/>
      <c r="H38" s="153"/>
      <c r="I38" s="36"/>
      <c r="J38" s="228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6">
        <v>0</v>
      </c>
      <c r="Y38" s="41"/>
      <c r="AA38" s="19" t="s">
        <v>159</v>
      </c>
      <c r="AB38" s="167"/>
      <c r="AC38" s="21">
        <v>0</v>
      </c>
    </row>
    <row r="39" spans="1:29" ht="15.75" x14ac:dyDescent="0.25">
      <c r="A39" s="30"/>
      <c r="B39" s="19">
        <v>43889</v>
      </c>
      <c r="C39" s="261">
        <v>12541.92</v>
      </c>
      <c r="D39" s="210" t="s">
        <v>80</v>
      </c>
      <c r="E39" s="98"/>
      <c r="F39" s="36"/>
      <c r="H39" s="153"/>
      <c r="I39" s="36"/>
      <c r="J39" s="228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A40" s="30"/>
      <c r="B40" s="211">
        <v>43893</v>
      </c>
      <c r="C40" s="262">
        <v>10238.76</v>
      </c>
      <c r="D40" s="213" t="s">
        <v>80</v>
      </c>
      <c r="E40" s="98"/>
      <c r="F40" s="36"/>
      <c r="H40" s="153"/>
      <c r="I40" s="36"/>
      <c r="J40" s="228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6.5" thickBot="1" x14ac:dyDescent="0.3">
      <c r="A41" s="105"/>
      <c r="B41" s="106"/>
      <c r="C41" s="107"/>
      <c r="D41" s="204"/>
      <c r="E41" s="108"/>
      <c r="F41" s="109"/>
      <c r="G41" s="110"/>
      <c r="H41" s="153">
        <v>43907</v>
      </c>
      <c r="I41" s="109"/>
      <c r="J41" s="228" t="s">
        <v>184</v>
      </c>
      <c r="K41" s="229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SUM(P5:P40)</f>
        <v>2838228.49</v>
      </c>
      <c r="Q41" s="114">
        <f>SUM(Q5:Q40)</f>
        <v>72683.99000000002</v>
      </c>
      <c r="R41" s="114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20.25" thickTop="1" thickBot="1" x14ac:dyDescent="0.3">
      <c r="C43" s="8" t="s">
        <v>12</v>
      </c>
      <c r="M43" s="455">
        <f>N41+M41</f>
        <v>2599643.79</v>
      </c>
      <c r="N43" s="456"/>
      <c r="O43" s="124"/>
      <c r="P43" s="124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5.75" x14ac:dyDescent="0.25">
      <c r="A44" s="59"/>
      <c r="B44" s="125"/>
      <c r="C44" s="4"/>
      <c r="H44" s="457" t="s">
        <v>18</v>
      </c>
      <c r="I44" s="458"/>
      <c r="J44" s="219"/>
      <c r="K44" s="459">
        <f>I42+L42</f>
        <v>260621.49</v>
      </c>
      <c r="L44" s="460"/>
      <c r="P44" s="127"/>
      <c r="S44" s="5"/>
      <c r="T44" s="128"/>
      <c r="U44" s="128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15.75" x14ac:dyDescent="0.25">
      <c r="D45" s="461" t="s">
        <v>19</v>
      </c>
      <c r="E45" s="461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6">
        <v>0</v>
      </c>
      <c r="Y45" s="41"/>
      <c r="AA45" s="19" t="s">
        <v>166</v>
      </c>
      <c r="AB45" s="167"/>
      <c r="AC45" s="21">
        <v>0</v>
      </c>
    </row>
    <row r="46" spans="1:29" ht="18.75" x14ac:dyDescent="0.3">
      <c r="D46" s="443" t="s">
        <v>20</v>
      </c>
      <c r="E46" s="443"/>
      <c r="F46" s="131">
        <v>-2289599.25</v>
      </c>
      <c r="I46" s="444" t="s">
        <v>21</v>
      </c>
      <c r="J46" s="445"/>
      <c r="K46" s="446">
        <f>F51</f>
        <v>442869.79999999981</v>
      </c>
      <c r="L46" s="447"/>
      <c r="P46" s="127"/>
      <c r="V46" s="8"/>
      <c r="W46" s="38" t="s">
        <v>10</v>
      </c>
      <c r="X46" s="196">
        <v>0</v>
      </c>
      <c r="Y46" s="41"/>
      <c r="AA46" s="19" t="s">
        <v>167</v>
      </c>
      <c r="AB46" s="167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474">
        <f>-C4</f>
        <v>-355209.27</v>
      </c>
      <c r="L48" s="475"/>
      <c r="M48" s="214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1">
        <v>43895</v>
      </c>
      <c r="D50" s="476" t="s">
        <v>26</v>
      </c>
      <c r="E50" s="477"/>
      <c r="F50" s="142">
        <v>364365.66</v>
      </c>
      <c r="I50" s="478" t="s">
        <v>129</v>
      </c>
      <c r="J50" s="479"/>
      <c r="K50" s="480">
        <f>K46+K48</f>
        <v>87660.529999999795</v>
      </c>
      <c r="L50" s="481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482"/>
      <c r="E53" s="482"/>
      <c r="M53" s="147"/>
      <c r="N53" s="59"/>
      <c r="O53" s="59"/>
      <c r="P53" s="128"/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N57" s="59"/>
      <c r="O57" s="59"/>
      <c r="P57" s="59"/>
      <c r="Q57" s="186"/>
      <c r="R57" s="186"/>
    </row>
    <row r="58" spans="2:22" x14ac:dyDescent="0.25">
      <c r="F58" s="36"/>
      <c r="M58" s="4"/>
      <c r="N58" s="59"/>
      <c r="O58" s="59"/>
      <c r="P58" s="59"/>
      <c r="Q58" s="186"/>
      <c r="R58" s="186"/>
    </row>
    <row r="59" spans="2:22" x14ac:dyDescent="0.25">
      <c r="F59" s="36"/>
      <c r="M59" s="4"/>
      <c r="N59" s="59"/>
      <c r="O59" s="59"/>
      <c r="P59" s="59"/>
      <c r="Q59" s="186"/>
      <c r="R59" s="186"/>
    </row>
    <row r="60" spans="2:22" x14ac:dyDescent="0.25">
      <c r="F60" s="36"/>
      <c r="M60" s="4"/>
      <c r="N60" s="59"/>
      <c r="O60" s="59"/>
      <c r="P60" s="59"/>
      <c r="Q60" s="186"/>
      <c r="R60" s="186"/>
    </row>
    <row r="61" spans="2:22" x14ac:dyDescent="0.25">
      <c r="F61" s="36"/>
      <c r="M61" s="4"/>
      <c r="N61" s="59"/>
      <c r="O61" s="59"/>
      <c r="P61" s="59"/>
      <c r="Q61" s="186"/>
      <c r="R61" s="186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K48:L48"/>
    <mergeCell ref="D50:E50"/>
    <mergeCell ref="I50:J50"/>
    <mergeCell ref="K50:L50"/>
    <mergeCell ref="D53:E53"/>
    <mergeCell ref="M43:N43"/>
    <mergeCell ref="H44:I44"/>
    <mergeCell ref="K44:L44"/>
    <mergeCell ref="D45:E45"/>
    <mergeCell ref="D46:E46"/>
    <mergeCell ref="I46:J46"/>
    <mergeCell ref="K46:L46"/>
    <mergeCell ref="E4:F4"/>
    <mergeCell ref="H4:I4"/>
    <mergeCell ref="C1:K1"/>
    <mergeCell ref="AF1:AG2"/>
    <mergeCell ref="W2:X3"/>
    <mergeCell ref="AA2:AC2"/>
    <mergeCell ref="B3:C3"/>
    <mergeCell ref="E2:F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43869</v>
      </c>
      <c r="B3" s="172">
        <v>4106</v>
      </c>
      <c r="C3" s="5">
        <v>145478.92000000001</v>
      </c>
      <c r="D3" s="63"/>
      <c r="E3" s="5"/>
      <c r="F3" s="173">
        <f>C3-E3</f>
        <v>145478.92000000001</v>
      </c>
    </row>
    <row r="4" spans="1:6" x14ac:dyDescent="0.25">
      <c r="A4" s="174">
        <v>43869</v>
      </c>
      <c r="B4" s="175">
        <v>4113</v>
      </c>
      <c r="C4" s="176">
        <v>4191.3</v>
      </c>
      <c r="D4" s="177"/>
      <c r="E4" s="176"/>
      <c r="F4" s="173">
        <f>F3+C4-E4</f>
        <v>149670.22</v>
      </c>
    </row>
    <row r="5" spans="1:6" x14ac:dyDescent="0.25">
      <c r="A5" s="177">
        <v>43870</v>
      </c>
      <c r="B5" s="175">
        <v>4213</v>
      </c>
      <c r="C5" s="176">
        <v>3434.3</v>
      </c>
      <c r="D5" s="177"/>
      <c r="E5" s="176"/>
      <c r="F5" s="173">
        <f t="shared" ref="F5:F50" si="0">F4+C5-E5</f>
        <v>153104.51999999999</v>
      </c>
    </row>
    <row r="6" spans="1:6" x14ac:dyDescent="0.25">
      <c r="A6" s="177">
        <v>43870</v>
      </c>
      <c r="B6" s="175">
        <v>4228</v>
      </c>
      <c r="C6" s="176">
        <v>5048</v>
      </c>
      <c r="D6" s="177"/>
      <c r="E6" s="176"/>
      <c r="F6" s="173">
        <f t="shared" si="0"/>
        <v>158152.51999999999</v>
      </c>
    </row>
    <row r="7" spans="1:6" x14ac:dyDescent="0.25">
      <c r="A7" s="177">
        <v>43870</v>
      </c>
      <c r="B7" s="175">
        <v>4262</v>
      </c>
      <c r="C7" s="176">
        <v>100796.5</v>
      </c>
      <c r="D7" s="177"/>
      <c r="E7" s="176"/>
      <c r="F7" s="173">
        <f t="shared" si="0"/>
        <v>258949.02</v>
      </c>
    </row>
    <row r="8" spans="1:6" x14ac:dyDescent="0.25">
      <c r="A8" s="177">
        <v>43872</v>
      </c>
      <c r="B8" s="175">
        <v>4445</v>
      </c>
      <c r="C8" s="176">
        <v>140862.12</v>
      </c>
      <c r="D8" s="177"/>
      <c r="E8" s="176"/>
      <c r="F8" s="173">
        <f t="shared" si="0"/>
        <v>399811.14</v>
      </c>
    </row>
    <row r="9" spans="1:6" x14ac:dyDescent="0.25">
      <c r="A9" s="177">
        <v>43872</v>
      </c>
      <c r="B9" s="175">
        <v>4457</v>
      </c>
      <c r="C9" s="176">
        <v>5400</v>
      </c>
      <c r="D9" s="177">
        <v>43873</v>
      </c>
      <c r="E9" s="176">
        <v>405211.14</v>
      </c>
      <c r="F9" s="173">
        <f t="shared" si="0"/>
        <v>0</v>
      </c>
    </row>
    <row r="10" spans="1:6" x14ac:dyDescent="0.25">
      <c r="A10" s="177">
        <v>43873</v>
      </c>
      <c r="B10" s="175">
        <v>4549</v>
      </c>
      <c r="C10" s="176">
        <v>32080.46</v>
      </c>
      <c r="D10" s="177"/>
      <c r="E10" s="176"/>
      <c r="F10" s="173">
        <f t="shared" si="0"/>
        <v>32080.46</v>
      </c>
    </row>
    <row r="11" spans="1:6" x14ac:dyDescent="0.25">
      <c r="A11" s="174">
        <v>43873</v>
      </c>
      <c r="B11" s="175">
        <v>4560</v>
      </c>
      <c r="C11" s="176">
        <v>3300</v>
      </c>
      <c r="D11" s="177"/>
      <c r="E11" s="176"/>
      <c r="F11" s="173">
        <f t="shared" si="0"/>
        <v>35380.46</v>
      </c>
    </row>
    <row r="12" spans="1:6" x14ac:dyDescent="0.25">
      <c r="A12" s="177">
        <v>43875</v>
      </c>
      <c r="B12" s="175">
        <v>4790</v>
      </c>
      <c r="C12" s="176">
        <v>133306.85999999999</v>
      </c>
      <c r="D12" s="177"/>
      <c r="E12" s="176"/>
      <c r="F12" s="173">
        <f t="shared" si="0"/>
        <v>168687.31999999998</v>
      </c>
    </row>
    <row r="13" spans="1:6" x14ac:dyDescent="0.25">
      <c r="A13" s="177">
        <v>43875</v>
      </c>
      <c r="B13" s="175">
        <v>4801</v>
      </c>
      <c r="C13" s="176">
        <v>23398.2</v>
      </c>
      <c r="D13" s="177"/>
      <c r="E13" s="176"/>
      <c r="F13" s="173">
        <f t="shared" si="0"/>
        <v>192085.52</v>
      </c>
    </row>
    <row r="14" spans="1:6" x14ac:dyDescent="0.25">
      <c r="A14" s="177">
        <v>43875</v>
      </c>
      <c r="B14" s="175">
        <v>4859</v>
      </c>
      <c r="C14" s="176">
        <v>19477.8</v>
      </c>
      <c r="D14" s="177"/>
      <c r="E14" s="176"/>
      <c r="F14" s="173">
        <f t="shared" si="0"/>
        <v>211563.31999999998</v>
      </c>
    </row>
    <row r="15" spans="1:6" x14ac:dyDescent="0.25">
      <c r="A15" s="177">
        <v>43876</v>
      </c>
      <c r="B15" s="175">
        <v>4958</v>
      </c>
      <c r="C15" s="176">
        <v>75357.899999999994</v>
      </c>
      <c r="D15" s="177"/>
      <c r="E15" s="176"/>
      <c r="F15" s="173">
        <f t="shared" si="0"/>
        <v>286921.21999999997</v>
      </c>
    </row>
    <row r="16" spans="1:6" x14ac:dyDescent="0.25">
      <c r="A16" s="177">
        <v>43876</v>
      </c>
      <c r="B16" s="175">
        <v>4965</v>
      </c>
      <c r="C16" s="176">
        <v>28216.12</v>
      </c>
      <c r="D16" s="177"/>
      <c r="E16" s="176"/>
      <c r="F16" s="173">
        <f t="shared" si="0"/>
        <v>315137.33999999997</v>
      </c>
    </row>
    <row r="17" spans="1:6" x14ac:dyDescent="0.25">
      <c r="A17" s="177">
        <v>43876</v>
      </c>
      <c r="B17" s="175">
        <v>5022</v>
      </c>
      <c r="C17" s="176">
        <v>12587.6</v>
      </c>
      <c r="D17" s="177"/>
      <c r="E17" s="176"/>
      <c r="F17" s="173">
        <f t="shared" si="0"/>
        <v>327724.93999999994</v>
      </c>
    </row>
    <row r="18" spans="1:6" x14ac:dyDescent="0.25">
      <c r="A18" s="177">
        <v>43877</v>
      </c>
      <c r="B18" s="175">
        <v>5073</v>
      </c>
      <c r="C18" s="176">
        <v>16065.2</v>
      </c>
      <c r="D18" s="177"/>
      <c r="E18" s="176"/>
      <c r="F18" s="173">
        <f t="shared" si="0"/>
        <v>343790.13999999996</v>
      </c>
    </row>
    <row r="19" spans="1:6" x14ac:dyDescent="0.25">
      <c r="A19" s="177">
        <v>43877</v>
      </c>
      <c r="B19" s="175">
        <v>5084</v>
      </c>
      <c r="C19" s="176">
        <v>78089.3</v>
      </c>
      <c r="D19" s="177"/>
      <c r="E19" s="176"/>
      <c r="F19" s="173">
        <f t="shared" si="0"/>
        <v>421879.43999999994</v>
      </c>
    </row>
    <row r="20" spans="1:6" x14ac:dyDescent="0.25">
      <c r="A20" s="177">
        <v>43877</v>
      </c>
      <c r="B20" s="175">
        <v>5091</v>
      </c>
      <c r="C20" s="176">
        <v>2860</v>
      </c>
      <c r="D20" s="177"/>
      <c r="E20" s="176"/>
      <c r="F20" s="173">
        <f t="shared" si="0"/>
        <v>424739.43999999994</v>
      </c>
    </row>
    <row r="21" spans="1:6" x14ac:dyDescent="0.25">
      <c r="A21" s="177">
        <v>43878</v>
      </c>
      <c r="B21" s="175">
        <v>5206</v>
      </c>
      <c r="C21" s="176">
        <v>42173.48</v>
      </c>
      <c r="D21" s="177"/>
      <c r="E21" s="176"/>
      <c r="F21" s="173">
        <f t="shared" si="0"/>
        <v>466912.91999999993</v>
      </c>
    </row>
    <row r="22" spans="1:6" x14ac:dyDescent="0.25">
      <c r="A22" s="177">
        <v>43879</v>
      </c>
      <c r="B22" s="175">
        <v>5261</v>
      </c>
      <c r="C22" s="176">
        <v>107603.26</v>
      </c>
      <c r="D22" s="177">
        <v>43879</v>
      </c>
      <c r="E22" s="176">
        <v>574516.18000000005</v>
      </c>
      <c r="F22" s="173">
        <f t="shared" si="0"/>
        <v>0</v>
      </c>
    </row>
    <row r="23" spans="1:6" x14ac:dyDescent="0.25">
      <c r="A23" s="177">
        <v>43880</v>
      </c>
      <c r="B23" s="175">
        <v>5339</v>
      </c>
      <c r="C23" s="176">
        <v>520</v>
      </c>
      <c r="D23" s="177"/>
      <c r="E23" s="176"/>
      <c r="F23" s="173">
        <f t="shared" si="0"/>
        <v>520</v>
      </c>
    </row>
    <row r="24" spans="1:6" x14ac:dyDescent="0.25">
      <c r="A24" s="177">
        <v>43881</v>
      </c>
      <c r="B24" s="175">
        <v>5456</v>
      </c>
      <c r="C24" s="176">
        <v>78381.75</v>
      </c>
      <c r="D24" s="177"/>
      <c r="E24" s="176"/>
      <c r="F24" s="173">
        <f t="shared" si="0"/>
        <v>78901.75</v>
      </c>
    </row>
    <row r="25" spans="1:6" x14ac:dyDescent="0.25">
      <c r="A25" s="177">
        <v>43881</v>
      </c>
      <c r="B25" s="175">
        <v>5565</v>
      </c>
      <c r="C25" s="176">
        <v>122502.8</v>
      </c>
      <c r="D25" s="177"/>
      <c r="E25" s="176"/>
      <c r="F25" s="173">
        <f t="shared" si="0"/>
        <v>201404.55</v>
      </c>
    </row>
    <row r="26" spans="1:6" x14ac:dyDescent="0.25">
      <c r="A26" s="177">
        <v>43882</v>
      </c>
      <c r="B26" s="175">
        <v>5625</v>
      </c>
      <c r="C26" s="176">
        <v>75406.320000000007</v>
      </c>
      <c r="D26" s="177"/>
      <c r="E26" s="176"/>
      <c r="F26" s="173">
        <f t="shared" si="0"/>
        <v>276810.87</v>
      </c>
    </row>
    <row r="27" spans="1:6" x14ac:dyDescent="0.25">
      <c r="A27" s="177">
        <v>43883</v>
      </c>
      <c r="B27" s="175">
        <v>5788</v>
      </c>
      <c r="C27" s="176">
        <v>9910.6</v>
      </c>
      <c r="D27" s="177"/>
      <c r="E27" s="176"/>
      <c r="F27" s="173">
        <f t="shared" si="0"/>
        <v>286721.46999999997</v>
      </c>
    </row>
    <row r="28" spans="1:6" x14ac:dyDescent="0.25">
      <c r="A28" s="174">
        <v>43883</v>
      </c>
      <c r="B28" s="175">
        <v>5811</v>
      </c>
      <c r="C28" s="176">
        <v>133044.6</v>
      </c>
      <c r="D28" s="177"/>
      <c r="E28" s="176"/>
      <c r="F28" s="173">
        <f t="shared" si="0"/>
        <v>419766.06999999995</v>
      </c>
    </row>
    <row r="29" spans="1:6" x14ac:dyDescent="0.25">
      <c r="A29" s="174">
        <v>43883</v>
      </c>
      <c r="B29" s="175">
        <v>5844</v>
      </c>
      <c r="C29" s="176">
        <v>43547.5</v>
      </c>
      <c r="D29" s="177"/>
      <c r="E29" s="176"/>
      <c r="F29" s="173">
        <f t="shared" si="0"/>
        <v>463313.56999999995</v>
      </c>
    </row>
    <row r="30" spans="1:6" x14ac:dyDescent="0.25">
      <c r="A30" s="174">
        <v>43885</v>
      </c>
      <c r="B30" s="175">
        <v>5919</v>
      </c>
      <c r="C30" s="176">
        <v>48182.2</v>
      </c>
      <c r="D30" s="177">
        <v>43885</v>
      </c>
      <c r="E30" s="176">
        <v>511495.77</v>
      </c>
      <c r="F30" s="173">
        <f t="shared" si="0"/>
        <v>0</v>
      </c>
    </row>
    <row r="31" spans="1:6" x14ac:dyDescent="0.25">
      <c r="A31" s="174">
        <v>43886</v>
      </c>
      <c r="B31" s="175">
        <v>6112</v>
      </c>
      <c r="C31" s="176">
        <v>106051.2</v>
      </c>
      <c r="D31" s="177"/>
      <c r="E31" s="176"/>
      <c r="F31" s="173">
        <f t="shared" si="0"/>
        <v>106051.2</v>
      </c>
    </row>
    <row r="32" spans="1:6" x14ac:dyDescent="0.25">
      <c r="A32" s="174">
        <v>43887</v>
      </c>
      <c r="B32" s="175">
        <v>6196</v>
      </c>
      <c r="C32" s="176">
        <v>1239.9000000000001</v>
      </c>
      <c r="D32" s="177"/>
      <c r="E32" s="176"/>
      <c r="F32" s="173">
        <f t="shared" si="0"/>
        <v>107291.09999999999</v>
      </c>
    </row>
    <row r="33" spans="1:6" x14ac:dyDescent="0.25">
      <c r="A33" s="174">
        <v>43887</v>
      </c>
      <c r="B33" s="175">
        <v>6198</v>
      </c>
      <c r="C33" s="176">
        <v>129872.43</v>
      </c>
      <c r="D33" s="177"/>
      <c r="E33" s="176"/>
      <c r="F33" s="173">
        <f t="shared" si="0"/>
        <v>237163.52999999997</v>
      </c>
    </row>
    <row r="34" spans="1:6" x14ac:dyDescent="0.25">
      <c r="A34" s="174">
        <v>43888</v>
      </c>
      <c r="B34" s="175">
        <v>6265</v>
      </c>
      <c r="C34" s="176">
        <v>65799.55</v>
      </c>
      <c r="D34" s="177">
        <v>43889</v>
      </c>
      <c r="E34" s="176">
        <v>302963.08</v>
      </c>
      <c r="F34" s="173">
        <f t="shared" si="0"/>
        <v>0</v>
      </c>
    </row>
    <row r="35" spans="1:6" x14ac:dyDescent="0.25">
      <c r="A35" s="174">
        <v>43889</v>
      </c>
      <c r="B35" s="175">
        <v>6449</v>
      </c>
      <c r="C35" s="176">
        <v>32266.799999999999</v>
      </c>
      <c r="D35" s="177"/>
      <c r="E35" s="176"/>
      <c r="F35" s="173">
        <f t="shared" si="0"/>
        <v>32266.799999999999</v>
      </c>
    </row>
    <row r="36" spans="1:6" x14ac:dyDescent="0.25">
      <c r="A36" s="174">
        <v>43889</v>
      </c>
      <c r="B36" s="175">
        <v>6456</v>
      </c>
      <c r="C36" s="176">
        <v>61649.52</v>
      </c>
      <c r="D36" s="177"/>
      <c r="E36" s="176"/>
      <c r="F36" s="173">
        <f t="shared" si="0"/>
        <v>93916.319999999992</v>
      </c>
    </row>
    <row r="37" spans="1:6" x14ac:dyDescent="0.25">
      <c r="A37" s="174">
        <v>43889</v>
      </c>
      <c r="B37" s="175">
        <v>6468</v>
      </c>
      <c r="C37" s="176">
        <v>48393.45</v>
      </c>
      <c r="D37" s="177"/>
      <c r="E37" s="176"/>
      <c r="F37" s="173">
        <f t="shared" si="0"/>
        <v>142309.76999999999</v>
      </c>
    </row>
    <row r="38" spans="1:6" x14ac:dyDescent="0.25">
      <c r="A38" s="174">
        <v>43889</v>
      </c>
      <c r="B38" s="175">
        <v>6469</v>
      </c>
      <c r="C38" s="176">
        <v>976.8</v>
      </c>
      <c r="D38" s="177"/>
      <c r="E38" s="176"/>
      <c r="F38" s="173">
        <f t="shared" si="0"/>
        <v>143286.56999999998</v>
      </c>
    </row>
    <row r="39" spans="1:6" x14ac:dyDescent="0.25">
      <c r="A39" s="174">
        <v>43890</v>
      </c>
      <c r="B39" s="175">
        <v>6563</v>
      </c>
      <c r="C39" s="176">
        <v>63781.2</v>
      </c>
      <c r="D39" s="177"/>
      <c r="E39" s="176"/>
      <c r="F39" s="173">
        <f t="shared" si="0"/>
        <v>207067.76999999996</v>
      </c>
    </row>
    <row r="40" spans="1:6" x14ac:dyDescent="0.25">
      <c r="A40" s="174">
        <v>43890</v>
      </c>
      <c r="B40" s="175">
        <v>6591</v>
      </c>
      <c r="C40" s="176">
        <v>46626</v>
      </c>
      <c r="D40" s="177"/>
      <c r="E40" s="176"/>
      <c r="F40" s="173">
        <f t="shared" si="0"/>
        <v>253693.76999999996</v>
      </c>
    </row>
    <row r="41" spans="1:6" x14ac:dyDescent="0.25">
      <c r="A41" s="174">
        <v>43893</v>
      </c>
      <c r="B41" s="175">
        <v>6825</v>
      </c>
      <c r="C41" s="176">
        <v>107181.42</v>
      </c>
      <c r="D41" s="177"/>
      <c r="E41" s="176"/>
      <c r="F41" s="173">
        <f t="shared" si="0"/>
        <v>360875.18999999994</v>
      </c>
    </row>
    <row r="42" spans="1:6" x14ac:dyDescent="0.25">
      <c r="A42" s="174">
        <v>43865</v>
      </c>
      <c r="B42" s="175">
        <v>6982</v>
      </c>
      <c r="C42" s="176">
        <v>134047.89000000001</v>
      </c>
      <c r="D42" s="177"/>
      <c r="E42" s="176"/>
      <c r="F42" s="173">
        <f t="shared" si="0"/>
        <v>494923.07999999996</v>
      </c>
    </row>
    <row r="43" spans="1:6" x14ac:dyDescent="0.25">
      <c r="A43" s="174">
        <v>43894</v>
      </c>
      <c r="B43" s="175">
        <v>6385</v>
      </c>
      <c r="C43" s="176">
        <v>490</v>
      </c>
      <c r="D43" s="177">
        <v>43897</v>
      </c>
      <c r="E43" s="176">
        <v>495413.08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opLeftCell="A23" workbookViewId="0">
      <selection activeCell="P39" sqref="P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48" t="s">
        <v>237</v>
      </c>
      <c r="D1" s="448"/>
      <c r="E1" s="448"/>
      <c r="F1" s="448"/>
      <c r="G1" s="448"/>
      <c r="H1" s="448"/>
      <c r="I1" s="448"/>
      <c r="J1" s="448"/>
      <c r="K1" s="448"/>
      <c r="L1" s="2"/>
      <c r="M1" s="3"/>
      <c r="AF1" s="462" t="s">
        <v>45</v>
      </c>
      <c r="AG1" s="463"/>
    </row>
    <row r="2" spans="1:33" ht="18" customHeight="1" thickBot="1" x14ac:dyDescent="0.35">
      <c r="C2" s="8"/>
      <c r="E2" s="483" t="s">
        <v>190</v>
      </c>
      <c r="F2" s="483"/>
      <c r="H2" s="233" t="s">
        <v>0</v>
      </c>
      <c r="I2" s="3"/>
      <c r="J2" s="3"/>
      <c r="K2" s="152"/>
      <c r="L2" s="152"/>
      <c r="M2" s="3"/>
      <c r="N2" s="5"/>
      <c r="O2" s="5"/>
      <c r="W2" s="470" t="s">
        <v>4</v>
      </c>
      <c r="X2" s="471"/>
      <c r="AA2" s="467" t="s">
        <v>43</v>
      </c>
      <c r="AB2" s="468"/>
      <c r="AC2" s="469"/>
      <c r="AE2" s="193" t="s">
        <v>44</v>
      </c>
      <c r="AF2" s="464"/>
      <c r="AG2" s="465"/>
    </row>
    <row r="3" spans="1:33" ht="18" customHeight="1" thickBot="1" x14ac:dyDescent="0.35">
      <c r="B3" s="449" t="s">
        <v>1</v>
      </c>
      <c r="C3" s="450"/>
      <c r="D3" s="15"/>
      <c r="E3" s="484"/>
      <c r="F3" s="484"/>
      <c r="I3" s="234" t="s">
        <v>2</v>
      </c>
      <c r="J3" s="235"/>
      <c r="K3" s="236" t="s">
        <v>191</v>
      </c>
      <c r="L3" s="236"/>
      <c r="W3" s="472"/>
      <c r="X3" s="473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364365.66</v>
      </c>
      <c r="D4" s="263">
        <v>43895</v>
      </c>
      <c r="E4" s="451" t="s">
        <v>6</v>
      </c>
      <c r="F4" s="452"/>
      <c r="H4" s="453" t="s">
        <v>7</v>
      </c>
      <c r="I4" s="45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1">
        <f>P6-F6</f>
        <v>14158.899999999994</v>
      </c>
      <c r="R6" s="198"/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198">
        <f t="shared" si="0"/>
        <v>12740.5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1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0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1">
        <f t="shared" si="1"/>
        <v>8726.8300000000163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6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28" t="s">
        <v>223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1">
        <f>P27-F27+5800</f>
        <v>13926.570000000007</v>
      </c>
      <c r="R27" s="247" t="s">
        <v>15</v>
      </c>
      <c r="V27" s="29"/>
      <c r="W27" s="38" t="s">
        <v>10</v>
      </c>
      <c r="X27" s="196">
        <v>0</v>
      </c>
      <c r="Y27" s="41"/>
      <c r="AA27" s="19" t="s">
        <v>149</v>
      </c>
      <c r="AB27" s="167"/>
      <c r="AC27" s="21">
        <v>0</v>
      </c>
    </row>
    <row r="28" spans="1:29" ht="16.5" thickBot="1" x14ac:dyDescent="0.3">
      <c r="A28" s="30"/>
      <c r="B28" s="149">
        <v>43919</v>
      </c>
      <c r="C28" s="248">
        <v>0</v>
      </c>
      <c r="D28" s="266" t="s">
        <v>235</v>
      </c>
      <c r="E28" s="151">
        <v>43919</v>
      </c>
      <c r="F28" s="249">
        <v>0</v>
      </c>
      <c r="G28" s="152"/>
      <c r="H28" s="153">
        <v>43919</v>
      </c>
      <c r="I28" s="250">
        <v>0</v>
      </c>
      <c r="J28" s="228" t="s">
        <v>223</v>
      </c>
      <c r="K28" s="164" t="s">
        <v>234</v>
      </c>
      <c r="L28" s="161">
        <v>4753.2</v>
      </c>
      <c r="M28" s="251">
        <v>0</v>
      </c>
      <c r="N28" s="252">
        <v>0</v>
      </c>
      <c r="O28" s="36"/>
      <c r="P28" s="253">
        <f>C28+I28+M28+N28</f>
        <v>0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1" t="s">
        <v>212</v>
      </c>
      <c r="E29" s="239">
        <v>43920</v>
      </c>
      <c r="F29" s="32">
        <v>142734</v>
      </c>
      <c r="G29" s="152"/>
      <c r="H29" s="153">
        <v>43920</v>
      </c>
      <c r="I29" s="39">
        <v>4200</v>
      </c>
      <c r="J29" s="228" t="s">
        <v>223</v>
      </c>
      <c r="K29" s="163" t="s">
        <v>230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43921</v>
      </c>
      <c r="C30" s="242">
        <v>15606</v>
      </c>
      <c r="D30" s="243" t="s">
        <v>205</v>
      </c>
      <c r="E30" s="239">
        <v>43921</v>
      </c>
      <c r="F30" s="32">
        <v>65762</v>
      </c>
      <c r="G30" s="152"/>
      <c r="H30" s="153">
        <v>43921</v>
      </c>
      <c r="I30" s="244">
        <v>525</v>
      </c>
      <c r="J30" s="228" t="s">
        <v>223</v>
      </c>
      <c r="K30" s="260" t="s">
        <v>229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6">
        <v>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43922</v>
      </c>
      <c r="C31" s="238">
        <v>4289</v>
      </c>
      <c r="D31" s="243" t="s">
        <v>213</v>
      </c>
      <c r="E31" s="239">
        <v>43922</v>
      </c>
      <c r="F31" s="32">
        <v>64615</v>
      </c>
      <c r="G31" s="152"/>
      <c r="H31" s="153">
        <v>43922</v>
      </c>
      <c r="I31" s="244">
        <v>4181</v>
      </c>
      <c r="J31" s="228" t="s">
        <v>223</v>
      </c>
      <c r="K31" s="164" t="s">
        <v>228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43923</v>
      </c>
      <c r="C32" s="238">
        <v>20009</v>
      </c>
      <c r="D32" s="243" t="s">
        <v>218</v>
      </c>
      <c r="E32" s="239">
        <v>43923</v>
      </c>
      <c r="F32" s="237">
        <v>66732</v>
      </c>
      <c r="G32" s="152"/>
      <c r="H32" s="153">
        <v>43923</v>
      </c>
      <c r="I32" s="244">
        <v>0</v>
      </c>
      <c r="J32" s="228" t="s">
        <v>223</v>
      </c>
      <c r="K32" s="163" t="s">
        <v>224</v>
      </c>
      <c r="L32" s="161">
        <v>10000</v>
      </c>
      <c r="M32" s="258">
        <v>40576</v>
      </c>
      <c r="N32" s="35">
        <v>6147</v>
      </c>
      <c r="O32" s="257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6">
        <v>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43924</v>
      </c>
      <c r="C33" s="238">
        <v>11027.84</v>
      </c>
      <c r="D33" s="255" t="s">
        <v>219</v>
      </c>
      <c r="E33" s="240">
        <v>43924</v>
      </c>
      <c r="F33" s="176">
        <v>77182</v>
      </c>
      <c r="H33" s="153">
        <v>43924</v>
      </c>
      <c r="I33" s="244">
        <v>10020</v>
      </c>
      <c r="J33" s="228" t="s">
        <v>223</v>
      </c>
      <c r="K33" s="165" t="s">
        <v>231</v>
      </c>
      <c r="L33" s="161">
        <v>22305.960999999999</v>
      </c>
      <c r="M33" s="258">
        <v>50516</v>
      </c>
      <c r="N33" s="35">
        <v>5620</v>
      </c>
      <c r="O33" s="256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6">
        <v>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>
        <v>43925</v>
      </c>
      <c r="C34" s="238">
        <v>4502</v>
      </c>
      <c r="D34" s="254" t="s">
        <v>221</v>
      </c>
      <c r="E34" s="240">
        <v>43925</v>
      </c>
      <c r="F34" s="176">
        <v>106289</v>
      </c>
      <c r="H34" s="153">
        <v>43925</v>
      </c>
      <c r="I34" s="244">
        <v>0</v>
      </c>
      <c r="J34" s="228" t="s">
        <v>223</v>
      </c>
      <c r="K34" s="164" t="s">
        <v>225</v>
      </c>
      <c r="L34" s="161">
        <v>2506.1</v>
      </c>
      <c r="M34" s="258">
        <v>83206</v>
      </c>
      <c r="N34" s="35">
        <v>8011</v>
      </c>
      <c r="O34" s="256" t="s">
        <v>220</v>
      </c>
      <c r="P34" s="36">
        <f>C34+I34+M34+N34+L17</f>
        <v>115167.57</v>
      </c>
      <c r="Q34" s="201">
        <f t="shared" si="1"/>
        <v>8878.570000000007</v>
      </c>
      <c r="R34" s="36"/>
      <c r="V34" s="29"/>
      <c r="W34" s="38" t="s">
        <v>10</v>
      </c>
      <c r="X34" s="196">
        <v>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>
        <v>43926</v>
      </c>
      <c r="C35" s="238">
        <v>1317</v>
      </c>
      <c r="D35" s="259" t="s">
        <v>72</v>
      </c>
      <c r="E35" s="240">
        <v>43926</v>
      </c>
      <c r="F35" s="176">
        <v>76644</v>
      </c>
      <c r="H35" s="153">
        <v>43926</v>
      </c>
      <c r="I35" s="244">
        <v>0</v>
      </c>
      <c r="J35" s="228" t="s">
        <v>223</v>
      </c>
      <c r="K35" s="164" t="s">
        <v>227</v>
      </c>
      <c r="L35" s="161">
        <v>555</v>
      </c>
      <c r="M35" s="34">
        <v>72614</v>
      </c>
      <c r="N35" s="35">
        <v>2713</v>
      </c>
      <c r="O35" s="256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>
        <v>43927</v>
      </c>
      <c r="C36" s="238">
        <v>18453.77</v>
      </c>
      <c r="D36" s="259" t="s">
        <v>222</v>
      </c>
      <c r="E36" s="240">
        <v>43927</v>
      </c>
      <c r="F36" s="176">
        <v>82500</v>
      </c>
      <c r="H36" s="153">
        <v>43927</v>
      </c>
      <c r="I36" s="244">
        <v>0</v>
      </c>
      <c r="J36" s="228" t="s">
        <v>223</v>
      </c>
      <c r="K36" s="164" t="s">
        <v>232</v>
      </c>
      <c r="L36" s="161">
        <v>6017.6</v>
      </c>
      <c r="M36" s="258">
        <v>60250</v>
      </c>
      <c r="N36" s="35">
        <v>3797</v>
      </c>
      <c r="O36" s="256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>
        <v>43928</v>
      </c>
      <c r="C37" s="238">
        <v>3573</v>
      </c>
      <c r="D37" s="259" t="s">
        <v>48</v>
      </c>
      <c r="E37" s="240">
        <v>43928</v>
      </c>
      <c r="F37" s="176">
        <v>81421</v>
      </c>
      <c r="H37" s="153">
        <v>43928</v>
      </c>
      <c r="I37" s="244">
        <v>271</v>
      </c>
      <c r="J37" s="228" t="s">
        <v>223</v>
      </c>
      <c r="K37" s="163" t="s">
        <v>233</v>
      </c>
      <c r="L37" s="161">
        <v>942.07</v>
      </c>
      <c r="M37" s="258">
        <v>74845</v>
      </c>
      <c r="N37" s="35">
        <v>2732</v>
      </c>
      <c r="O37" s="256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267">
        <v>43896</v>
      </c>
      <c r="C38" s="268">
        <v>18259.599999999999</v>
      </c>
      <c r="D38" s="259" t="s">
        <v>80</v>
      </c>
      <c r="E38" s="98"/>
      <c r="F38" s="36"/>
      <c r="H38" s="153"/>
      <c r="I38" s="36"/>
      <c r="J38" s="228" t="s">
        <v>223</v>
      </c>
      <c r="K38" s="265" t="s">
        <v>226</v>
      </c>
      <c r="L38" s="77">
        <v>18525</v>
      </c>
      <c r="M38" s="34">
        <v>0</v>
      </c>
      <c r="N38" s="35">
        <v>0</v>
      </c>
      <c r="O38" s="256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/>
      <c r="G39" s="110"/>
      <c r="H39" s="153">
        <v>43907</v>
      </c>
      <c r="I39" s="109"/>
      <c r="J39" s="228"/>
      <c r="K39" s="265"/>
      <c r="L39" s="77"/>
      <c r="M39" s="112">
        <f>SUM(M5:M38)</f>
        <v>2416178</v>
      </c>
      <c r="N39" s="113">
        <f>SUM(N5:N38)</f>
        <v>115565</v>
      </c>
      <c r="O39" s="114"/>
      <c r="P39" s="114">
        <f>SUM(P5:P38)</f>
        <v>2970321.27</v>
      </c>
      <c r="Q39" s="114">
        <f>SUM(Q5:Q38)</f>
        <v>85595.270000000019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20.25" thickTop="1" thickBot="1" x14ac:dyDescent="0.3">
      <c r="C41" s="8" t="s">
        <v>12</v>
      </c>
      <c r="M41" s="455">
        <f>N39+M39</f>
        <v>2531743</v>
      </c>
      <c r="N41" s="456"/>
      <c r="O41" s="124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57" t="s">
        <v>18</v>
      </c>
      <c r="I42" s="458"/>
      <c r="J42" s="232"/>
      <c r="K42" s="459">
        <f>I40+L40</f>
        <v>287087.05100000004</v>
      </c>
      <c r="L42" s="460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5.75" x14ac:dyDescent="0.25">
      <c r="D43" s="461" t="s">
        <v>19</v>
      </c>
      <c r="E43" s="461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443" t="s">
        <v>20</v>
      </c>
      <c r="E44" s="443"/>
      <c r="F44" s="131">
        <v>-2140783.8199999998</v>
      </c>
      <c r="I44" s="444" t="s">
        <v>21</v>
      </c>
      <c r="J44" s="445"/>
      <c r="K44" s="446">
        <f>F49</f>
        <v>471981.31900000025</v>
      </c>
      <c r="L44" s="447"/>
      <c r="P44" s="127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474">
        <f>-C4</f>
        <v>-364365.66</v>
      </c>
      <c r="L46" s="475"/>
      <c r="M46" s="214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1">
        <v>43928</v>
      </c>
      <c r="D48" s="476" t="s">
        <v>26</v>
      </c>
      <c r="E48" s="477"/>
      <c r="F48" s="142">
        <v>242201.9</v>
      </c>
      <c r="I48" s="478" t="s">
        <v>129</v>
      </c>
      <c r="J48" s="479"/>
      <c r="K48" s="480">
        <f>K44+K46</f>
        <v>107615.65900000028</v>
      </c>
      <c r="L48" s="481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482"/>
      <c r="E51" s="482"/>
      <c r="M51" s="147"/>
      <c r="N51" s="59"/>
      <c r="O51" s="59"/>
      <c r="P51" s="128"/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topLeftCell="A37" workbookViewId="0">
      <selection activeCell="D44" sqref="D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43896</v>
      </c>
      <c r="B3" s="172">
        <v>7197</v>
      </c>
      <c r="C3" s="5">
        <v>107476.78</v>
      </c>
      <c r="D3" s="63"/>
      <c r="E3" s="5"/>
      <c r="F3" s="173">
        <f>C3-E3</f>
        <v>107476.78</v>
      </c>
    </row>
    <row r="4" spans="1:6" x14ac:dyDescent="0.25">
      <c r="A4" s="174">
        <v>43896</v>
      </c>
      <c r="B4" s="175">
        <v>7198</v>
      </c>
      <c r="C4" s="176">
        <v>2430</v>
      </c>
      <c r="D4" s="177"/>
      <c r="E4" s="176"/>
      <c r="F4" s="173">
        <f>F3+C4-E4</f>
        <v>109906.78</v>
      </c>
    </row>
    <row r="5" spans="1:6" x14ac:dyDescent="0.25">
      <c r="A5" s="177">
        <v>43897</v>
      </c>
      <c r="B5" s="175">
        <v>7282</v>
      </c>
      <c r="C5" s="176">
        <v>69850.490000000005</v>
      </c>
      <c r="D5" s="177"/>
      <c r="E5" s="176"/>
      <c r="F5" s="173">
        <f t="shared" ref="F5:F50" si="0">F4+C5-E5</f>
        <v>179757.27000000002</v>
      </c>
    </row>
    <row r="6" spans="1:6" x14ac:dyDescent="0.25">
      <c r="A6" s="177">
        <v>43898</v>
      </c>
      <c r="B6" s="175">
        <v>7375</v>
      </c>
      <c r="C6" s="176">
        <v>11373.8</v>
      </c>
      <c r="D6" s="177"/>
      <c r="E6" s="176"/>
      <c r="F6" s="173">
        <f t="shared" si="0"/>
        <v>191131.07</v>
      </c>
    </row>
    <row r="7" spans="1:6" x14ac:dyDescent="0.25">
      <c r="A7" s="177">
        <v>43899</v>
      </c>
      <c r="B7" s="175">
        <v>7452</v>
      </c>
      <c r="C7" s="176">
        <v>48853.36</v>
      </c>
      <c r="D7" s="177">
        <v>43900</v>
      </c>
      <c r="E7" s="176">
        <v>239984.43</v>
      </c>
      <c r="F7" s="173">
        <f t="shared" si="0"/>
        <v>0</v>
      </c>
    </row>
    <row r="8" spans="1:6" x14ac:dyDescent="0.25">
      <c r="A8" s="177">
        <v>43900</v>
      </c>
      <c r="B8" s="175">
        <v>7578</v>
      </c>
      <c r="C8" s="176">
        <v>70534.679999999993</v>
      </c>
      <c r="D8" s="177"/>
      <c r="E8" s="176"/>
      <c r="F8" s="173">
        <f t="shared" si="0"/>
        <v>70534.679999999993</v>
      </c>
    </row>
    <row r="9" spans="1:6" x14ac:dyDescent="0.25">
      <c r="A9" s="177">
        <v>43902</v>
      </c>
      <c r="B9" s="175">
        <v>7837</v>
      </c>
      <c r="C9" s="176">
        <v>122162.05</v>
      </c>
      <c r="D9" s="177"/>
      <c r="E9" s="176"/>
      <c r="F9" s="173">
        <f t="shared" si="0"/>
        <v>192696.72999999998</v>
      </c>
    </row>
    <row r="10" spans="1:6" x14ac:dyDescent="0.25">
      <c r="A10" s="177">
        <v>43902</v>
      </c>
      <c r="B10" s="175">
        <v>7838</v>
      </c>
      <c r="C10" s="176">
        <v>13112</v>
      </c>
      <c r="D10" s="177">
        <v>43904</v>
      </c>
      <c r="E10" s="176">
        <v>205808.73</v>
      </c>
      <c r="F10" s="173">
        <f t="shared" si="0"/>
        <v>0</v>
      </c>
    </row>
    <row r="11" spans="1:6" x14ac:dyDescent="0.25">
      <c r="A11" s="174">
        <v>43904</v>
      </c>
      <c r="B11" s="175">
        <v>8048</v>
      </c>
      <c r="C11" s="176">
        <v>2314.4</v>
      </c>
      <c r="D11" s="177"/>
      <c r="E11" s="176"/>
      <c r="F11" s="173">
        <f t="shared" si="0"/>
        <v>2314.4</v>
      </c>
    </row>
    <row r="12" spans="1:6" x14ac:dyDescent="0.25">
      <c r="A12" s="177">
        <v>43904</v>
      </c>
      <c r="B12" s="175">
        <v>8095</v>
      </c>
      <c r="C12" s="176">
        <v>220621.41</v>
      </c>
      <c r="D12" s="177"/>
      <c r="E12" s="176"/>
      <c r="F12" s="173">
        <f t="shared" si="0"/>
        <v>222935.81</v>
      </c>
    </row>
    <row r="13" spans="1:6" x14ac:dyDescent="0.25">
      <c r="A13" s="177">
        <v>43905</v>
      </c>
      <c r="B13" s="175">
        <v>8140</v>
      </c>
      <c r="C13" s="176">
        <v>48809.4</v>
      </c>
      <c r="D13" s="177"/>
      <c r="E13" s="176"/>
      <c r="F13" s="173">
        <f t="shared" si="0"/>
        <v>271745.21000000002</v>
      </c>
    </row>
    <row r="14" spans="1:6" x14ac:dyDescent="0.25">
      <c r="A14" s="177">
        <v>43905</v>
      </c>
      <c r="B14" s="175">
        <v>8143</v>
      </c>
      <c r="C14" s="176">
        <v>125</v>
      </c>
      <c r="D14" s="177"/>
      <c r="E14" s="176"/>
      <c r="F14" s="173">
        <f t="shared" si="0"/>
        <v>271870.21000000002</v>
      </c>
    </row>
    <row r="15" spans="1:6" x14ac:dyDescent="0.25">
      <c r="A15" s="177">
        <v>43906</v>
      </c>
      <c r="B15" s="175">
        <v>8272</v>
      </c>
      <c r="C15" s="176">
        <v>111259.1</v>
      </c>
      <c r="D15" s="177"/>
      <c r="E15" s="176"/>
      <c r="F15" s="173">
        <f t="shared" si="0"/>
        <v>383129.31000000006</v>
      </c>
    </row>
    <row r="16" spans="1:6" x14ac:dyDescent="0.25">
      <c r="A16" s="177">
        <v>43908</v>
      </c>
      <c r="B16" s="175">
        <v>8463</v>
      </c>
      <c r="C16" s="176">
        <v>64793.22</v>
      </c>
      <c r="D16" s="177"/>
      <c r="E16" s="176"/>
      <c r="F16" s="173">
        <f t="shared" si="0"/>
        <v>447922.53</v>
      </c>
    </row>
    <row r="17" spans="1:6" x14ac:dyDescent="0.25">
      <c r="A17" s="177">
        <v>43909</v>
      </c>
      <c r="B17" s="175">
        <v>8560</v>
      </c>
      <c r="C17" s="176">
        <v>1180</v>
      </c>
      <c r="D17" s="177">
        <v>43909</v>
      </c>
      <c r="E17" s="176">
        <v>449102.53</v>
      </c>
      <c r="F17" s="173">
        <f t="shared" si="0"/>
        <v>0</v>
      </c>
    </row>
    <row r="18" spans="1:6" x14ac:dyDescent="0.25">
      <c r="A18" s="177">
        <v>43910</v>
      </c>
      <c r="B18" s="175">
        <v>8652</v>
      </c>
      <c r="C18" s="176">
        <v>152548.12</v>
      </c>
      <c r="D18" s="177"/>
      <c r="E18" s="176"/>
      <c r="F18" s="173">
        <f t="shared" si="0"/>
        <v>152548.12</v>
      </c>
    </row>
    <row r="19" spans="1:6" x14ac:dyDescent="0.25">
      <c r="A19" s="177">
        <v>43910</v>
      </c>
      <c r="B19" s="175">
        <v>8688</v>
      </c>
      <c r="C19" s="176">
        <v>53618.85</v>
      </c>
      <c r="D19" s="177"/>
      <c r="E19" s="176"/>
      <c r="F19" s="173">
        <f t="shared" si="0"/>
        <v>206166.97</v>
      </c>
    </row>
    <row r="20" spans="1:6" x14ac:dyDescent="0.25">
      <c r="A20" s="177">
        <v>43911</v>
      </c>
      <c r="B20" s="175">
        <v>8793</v>
      </c>
      <c r="C20" s="176">
        <v>1443.3</v>
      </c>
      <c r="D20" s="177"/>
      <c r="E20" s="176"/>
      <c r="F20" s="173">
        <f t="shared" si="0"/>
        <v>207610.27</v>
      </c>
    </row>
    <row r="21" spans="1:6" x14ac:dyDescent="0.25">
      <c r="A21" s="177">
        <v>43911</v>
      </c>
      <c r="B21" s="175">
        <v>8811</v>
      </c>
      <c r="C21" s="176">
        <v>169567.84</v>
      </c>
      <c r="D21" s="177"/>
      <c r="E21" s="176"/>
      <c r="F21" s="173">
        <f t="shared" si="0"/>
        <v>377178.11</v>
      </c>
    </row>
    <row r="22" spans="1:6" x14ac:dyDescent="0.25">
      <c r="A22" s="177">
        <v>43911</v>
      </c>
      <c r="B22" s="175">
        <v>8869</v>
      </c>
      <c r="C22" s="176">
        <v>12504.8</v>
      </c>
      <c r="D22" s="177"/>
      <c r="E22" s="176"/>
      <c r="F22" s="173">
        <f t="shared" si="0"/>
        <v>389682.91</v>
      </c>
    </row>
    <row r="23" spans="1:6" x14ac:dyDescent="0.25">
      <c r="A23" s="177">
        <v>43912</v>
      </c>
      <c r="B23" s="175">
        <v>8926</v>
      </c>
      <c r="C23" s="176">
        <v>5334.5</v>
      </c>
      <c r="D23" s="177"/>
      <c r="E23" s="176"/>
      <c r="F23" s="173">
        <f t="shared" si="0"/>
        <v>395017.41</v>
      </c>
    </row>
    <row r="24" spans="1:6" x14ac:dyDescent="0.25">
      <c r="A24" s="177">
        <v>43913</v>
      </c>
      <c r="B24" s="175">
        <v>8959</v>
      </c>
      <c r="C24" s="176">
        <v>2700</v>
      </c>
      <c r="D24" s="177"/>
      <c r="E24" s="176"/>
      <c r="F24" s="173">
        <f t="shared" si="0"/>
        <v>397717.41</v>
      </c>
    </row>
    <row r="25" spans="1:6" x14ac:dyDescent="0.25">
      <c r="A25" s="177">
        <v>43914</v>
      </c>
      <c r="B25" s="175">
        <v>9087</v>
      </c>
      <c r="C25" s="176">
        <v>98444.92</v>
      </c>
      <c r="D25" s="177"/>
      <c r="E25" s="176"/>
      <c r="F25" s="173">
        <f t="shared" si="0"/>
        <v>496162.32999999996</v>
      </c>
    </row>
    <row r="26" spans="1:6" x14ac:dyDescent="0.25">
      <c r="A26" s="177">
        <v>43914</v>
      </c>
      <c r="B26" s="175">
        <v>9088</v>
      </c>
      <c r="C26" s="176">
        <v>12050.8</v>
      </c>
      <c r="D26" s="177"/>
      <c r="E26" s="176"/>
      <c r="F26" s="173">
        <f t="shared" si="0"/>
        <v>508213.12999999995</v>
      </c>
    </row>
    <row r="27" spans="1:6" x14ac:dyDescent="0.25">
      <c r="A27" s="177">
        <v>43915</v>
      </c>
      <c r="B27" s="175">
        <v>9231</v>
      </c>
      <c r="C27" s="176">
        <v>44204.800000000003</v>
      </c>
      <c r="D27" s="177">
        <v>43916</v>
      </c>
      <c r="E27" s="176">
        <v>552417.93000000005</v>
      </c>
      <c r="F27" s="173">
        <f t="shared" si="0"/>
        <v>0</v>
      </c>
    </row>
    <row r="28" spans="1:6" x14ac:dyDescent="0.25">
      <c r="A28" s="174">
        <v>43916</v>
      </c>
      <c r="B28" s="175">
        <v>9362</v>
      </c>
      <c r="C28" s="176">
        <v>35362.400000000001</v>
      </c>
      <c r="D28" s="177"/>
      <c r="E28" s="176"/>
      <c r="F28" s="173">
        <f t="shared" si="0"/>
        <v>35362.400000000001</v>
      </c>
    </row>
    <row r="29" spans="1:6" x14ac:dyDescent="0.25">
      <c r="A29" s="174">
        <v>43917</v>
      </c>
      <c r="B29" s="175">
        <v>9394</v>
      </c>
      <c r="C29" s="176">
        <v>67145.759999999995</v>
      </c>
      <c r="D29" s="177"/>
      <c r="E29" s="176"/>
      <c r="F29" s="173">
        <f t="shared" si="0"/>
        <v>102508.16</v>
      </c>
    </row>
    <row r="30" spans="1:6" x14ac:dyDescent="0.25">
      <c r="A30" s="174">
        <v>43917</v>
      </c>
      <c r="B30" s="175">
        <v>9407</v>
      </c>
      <c r="C30" s="176">
        <v>37214.74</v>
      </c>
      <c r="D30" s="177"/>
      <c r="E30" s="176"/>
      <c r="F30" s="173">
        <f t="shared" si="0"/>
        <v>139722.9</v>
      </c>
    </row>
    <row r="31" spans="1:6" x14ac:dyDescent="0.25">
      <c r="A31" s="174">
        <v>43918</v>
      </c>
      <c r="B31" s="175">
        <v>9543</v>
      </c>
      <c r="C31" s="176">
        <v>81554.399999999994</v>
      </c>
      <c r="D31" s="177"/>
      <c r="E31" s="176"/>
      <c r="F31" s="173">
        <f t="shared" si="0"/>
        <v>221277.3</v>
      </c>
    </row>
    <row r="32" spans="1:6" x14ac:dyDescent="0.25">
      <c r="A32" s="174">
        <v>43919</v>
      </c>
      <c r="B32" s="175">
        <v>9676</v>
      </c>
      <c r="C32" s="176">
        <v>32493.599999999999</v>
      </c>
      <c r="D32" s="177"/>
      <c r="E32" s="176"/>
      <c r="F32" s="173">
        <f t="shared" si="0"/>
        <v>253770.9</v>
      </c>
    </row>
    <row r="33" spans="1:6" x14ac:dyDescent="0.25">
      <c r="A33" s="174">
        <v>43919</v>
      </c>
      <c r="B33" s="175">
        <v>9687</v>
      </c>
      <c r="C33" s="176">
        <v>3709</v>
      </c>
      <c r="D33" s="177">
        <v>43920</v>
      </c>
      <c r="E33" s="176">
        <v>257479.9</v>
      </c>
      <c r="F33" s="173">
        <f t="shared" si="0"/>
        <v>0</v>
      </c>
    </row>
    <row r="34" spans="1:6" x14ac:dyDescent="0.25">
      <c r="A34" s="174">
        <v>43920</v>
      </c>
      <c r="B34" s="175">
        <v>9804</v>
      </c>
      <c r="C34" s="176">
        <v>37578.6</v>
      </c>
      <c r="D34" s="177"/>
      <c r="E34" s="176"/>
      <c r="F34" s="173">
        <f t="shared" si="0"/>
        <v>37578.6</v>
      </c>
    </row>
    <row r="35" spans="1:6" x14ac:dyDescent="0.25">
      <c r="A35" s="174">
        <v>43921</v>
      </c>
      <c r="B35" s="175">
        <v>9860</v>
      </c>
      <c r="C35" s="176">
        <v>1296</v>
      </c>
      <c r="D35" s="177"/>
      <c r="E35" s="176"/>
      <c r="F35" s="173">
        <f t="shared" si="0"/>
        <v>38874.6</v>
      </c>
    </row>
    <row r="36" spans="1:6" x14ac:dyDescent="0.25">
      <c r="A36" s="174">
        <v>43922</v>
      </c>
      <c r="B36" s="175">
        <v>9932</v>
      </c>
      <c r="C36" s="176">
        <v>77278.850000000006</v>
      </c>
      <c r="D36" s="177"/>
      <c r="E36" s="176"/>
      <c r="F36" s="173">
        <f t="shared" si="0"/>
        <v>116153.45000000001</v>
      </c>
    </row>
    <row r="37" spans="1:6" x14ac:dyDescent="0.25">
      <c r="A37" s="174">
        <v>43923</v>
      </c>
      <c r="B37" s="175">
        <v>10073</v>
      </c>
      <c r="C37" s="176">
        <v>29531.040000000001</v>
      </c>
      <c r="D37" s="177">
        <v>43925</v>
      </c>
      <c r="E37" s="176">
        <v>145684.49</v>
      </c>
      <c r="F37" s="173">
        <f t="shared" si="0"/>
        <v>0</v>
      </c>
    </row>
    <row r="38" spans="1:6" x14ac:dyDescent="0.25">
      <c r="A38" s="174">
        <v>43924</v>
      </c>
      <c r="B38" s="175">
        <v>10262</v>
      </c>
      <c r="C38" s="176">
        <v>152058.71</v>
      </c>
      <c r="D38" s="177"/>
      <c r="E38" s="176"/>
      <c r="F38" s="173">
        <f t="shared" si="0"/>
        <v>152058.71</v>
      </c>
    </row>
    <row r="39" spans="1:6" x14ac:dyDescent="0.25">
      <c r="A39" s="174">
        <v>43925</v>
      </c>
      <c r="B39" s="175">
        <v>10334</v>
      </c>
      <c r="C39" s="176">
        <v>78016.5</v>
      </c>
      <c r="D39" s="177"/>
      <c r="E39" s="176"/>
      <c r="F39" s="173">
        <f t="shared" si="0"/>
        <v>230075.21</v>
      </c>
    </row>
    <row r="40" spans="1:6" x14ac:dyDescent="0.25">
      <c r="A40" s="174">
        <v>43925</v>
      </c>
      <c r="B40" s="175">
        <v>10335</v>
      </c>
      <c r="C40" s="176">
        <v>386.4</v>
      </c>
      <c r="D40" s="177"/>
      <c r="E40" s="176"/>
      <c r="F40" s="173">
        <f t="shared" si="0"/>
        <v>230461.61</v>
      </c>
    </row>
    <row r="41" spans="1:6" x14ac:dyDescent="0.25">
      <c r="A41" s="174">
        <v>43928</v>
      </c>
      <c r="B41" s="175">
        <v>10635</v>
      </c>
      <c r="C41" s="176">
        <v>54300.3</v>
      </c>
      <c r="D41" s="177"/>
      <c r="E41" s="176"/>
      <c r="F41" s="173">
        <f t="shared" si="0"/>
        <v>284761.90999999997</v>
      </c>
    </row>
    <row r="42" spans="1:6" x14ac:dyDescent="0.25">
      <c r="A42" s="174">
        <v>43928</v>
      </c>
      <c r="B42" s="175">
        <v>10638</v>
      </c>
      <c r="C42" s="176">
        <v>5544</v>
      </c>
      <c r="D42" s="177"/>
      <c r="E42" s="176"/>
      <c r="F42" s="173">
        <f t="shared" si="0"/>
        <v>290305.90999999997</v>
      </c>
    </row>
    <row r="43" spans="1:6" x14ac:dyDescent="0.25">
      <c r="A43" s="271"/>
      <c r="B43" s="272"/>
      <c r="C43" s="176"/>
      <c r="D43" s="177">
        <v>43929</v>
      </c>
      <c r="E43" s="176">
        <v>290305.90999999997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2140783.92</v>
      </c>
      <c r="D51" s="1"/>
      <c r="E51" s="4">
        <f>SUM(E3:E50)</f>
        <v>2140783.92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sheetPr>
    <tabColor rgb="FF00B0F0"/>
  </sheetPr>
  <dimension ref="A1:AG78"/>
  <sheetViews>
    <sheetView topLeftCell="A32" workbookViewId="0">
      <selection activeCell="F54" sqref="F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48" t="s">
        <v>236</v>
      </c>
      <c r="D1" s="448"/>
      <c r="E1" s="448"/>
      <c r="F1" s="448"/>
      <c r="G1" s="448"/>
      <c r="H1" s="448"/>
      <c r="I1" s="448"/>
      <c r="J1" s="448"/>
      <c r="K1" s="448"/>
      <c r="L1" s="2"/>
      <c r="M1" s="3"/>
      <c r="AF1" s="462" t="s">
        <v>45</v>
      </c>
      <c r="AG1" s="463"/>
    </row>
    <row r="2" spans="1:33" ht="18" customHeight="1" thickBot="1" x14ac:dyDescent="0.35">
      <c r="C2" s="8"/>
      <c r="E2" s="483" t="s">
        <v>190</v>
      </c>
      <c r="F2" s="483"/>
      <c r="H2" s="233" t="s">
        <v>0</v>
      </c>
      <c r="I2" s="3"/>
      <c r="J2" s="3"/>
      <c r="K2" s="152"/>
      <c r="L2" s="152"/>
      <c r="M2" s="3"/>
      <c r="N2" s="5"/>
      <c r="O2" s="5"/>
      <c r="W2" s="470" t="s">
        <v>4</v>
      </c>
      <c r="X2" s="471"/>
      <c r="AA2" s="467" t="s">
        <v>43</v>
      </c>
      <c r="AB2" s="468"/>
      <c r="AC2" s="469"/>
      <c r="AE2" s="193" t="s">
        <v>44</v>
      </c>
      <c r="AF2" s="464"/>
      <c r="AG2" s="465"/>
    </row>
    <row r="3" spans="1:33" ht="18" customHeight="1" thickBot="1" x14ac:dyDescent="0.35">
      <c r="B3" s="449" t="s">
        <v>1</v>
      </c>
      <c r="C3" s="450"/>
      <c r="D3" s="15"/>
      <c r="E3" s="484"/>
      <c r="F3" s="484"/>
      <c r="I3" s="234" t="s">
        <v>2</v>
      </c>
      <c r="J3" s="235"/>
      <c r="K3" s="236" t="s">
        <v>191</v>
      </c>
      <c r="L3" s="236"/>
      <c r="W3" s="472"/>
      <c r="X3" s="473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242201.9</v>
      </c>
      <c r="D4" s="263">
        <v>43928</v>
      </c>
      <c r="E4" s="451" t="s">
        <v>6</v>
      </c>
      <c r="F4" s="452"/>
      <c r="H4" s="453" t="s">
        <v>7</v>
      </c>
      <c r="I4" s="454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43929</v>
      </c>
      <c r="C5" s="31">
        <v>560</v>
      </c>
      <c r="D5" s="150" t="s">
        <v>77</v>
      </c>
      <c r="E5" s="151">
        <v>43929</v>
      </c>
      <c r="F5" s="32">
        <v>63283</v>
      </c>
      <c r="G5" s="152"/>
      <c r="H5" s="153">
        <v>43929</v>
      </c>
      <c r="I5" s="33">
        <v>0</v>
      </c>
      <c r="M5" s="34">
        <v>57047</v>
      </c>
      <c r="N5" s="35">
        <v>4806</v>
      </c>
      <c r="O5" s="36"/>
      <c r="P5" s="36">
        <f>C5+I5+M5+N5</f>
        <v>62413</v>
      </c>
      <c r="Q5" s="5">
        <f>P5-F5+L20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43930</v>
      </c>
      <c r="C6" s="31">
        <v>31868.65</v>
      </c>
      <c r="D6" s="154" t="s">
        <v>244</v>
      </c>
      <c r="E6" s="151">
        <v>43930</v>
      </c>
      <c r="F6" s="32">
        <v>81621</v>
      </c>
      <c r="G6" s="152"/>
      <c r="H6" s="153">
        <v>43930</v>
      </c>
      <c r="I6" s="39">
        <v>0</v>
      </c>
      <c r="J6" s="40"/>
      <c r="K6" s="41"/>
      <c r="L6" s="42"/>
      <c r="M6" s="258">
        <v>49482</v>
      </c>
      <c r="N6" s="35">
        <v>2357</v>
      </c>
      <c r="O6" s="276" t="s">
        <v>220</v>
      </c>
      <c r="P6" s="36">
        <f>C6+I6+M6+N6</f>
        <v>83707.649999999994</v>
      </c>
      <c r="Q6" s="198">
        <f>P6-F6</f>
        <v>2086.6499999999942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43931</v>
      </c>
      <c r="C7" s="248">
        <v>0</v>
      </c>
      <c r="D7" s="275" t="s">
        <v>245</v>
      </c>
      <c r="E7" s="151">
        <v>43931</v>
      </c>
      <c r="F7" s="249">
        <v>0</v>
      </c>
      <c r="G7" s="152"/>
      <c r="H7" s="153">
        <v>43931</v>
      </c>
      <c r="I7" s="250">
        <v>0</v>
      </c>
      <c r="J7" s="45">
        <v>43938</v>
      </c>
      <c r="K7" s="46" t="s">
        <v>13</v>
      </c>
      <c r="L7" s="47">
        <v>1098</v>
      </c>
      <c r="M7" s="251">
        <v>0</v>
      </c>
      <c r="N7" s="252">
        <v>0</v>
      </c>
      <c r="O7" s="127"/>
      <c r="P7" s="36">
        <f>C7+I7+M7+N7</f>
        <v>0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43932</v>
      </c>
      <c r="C8" s="31">
        <v>3252</v>
      </c>
      <c r="D8" s="156" t="s">
        <v>210</v>
      </c>
      <c r="E8" s="151">
        <v>43932</v>
      </c>
      <c r="F8" s="32">
        <v>153867</v>
      </c>
      <c r="G8" s="152"/>
      <c r="H8" s="153">
        <v>43932</v>
      </c>
      <c r="I8" s="39">
        <v>10194</v>
      </c>
      <c r="J8" s="51"/>
      <c r="K8" s="49" t="s">
        <v>14</v>
      </c>
      <c r="L8" s="50">
        <v>0</v>
      </c>
      <c r="M8" s="258">
        <v>120014</v>
      </c>
      <c r="N8" s="35">
        <v>9501</v>
      </c>
      <c r="O8" s="276" t="s">
        <v>220</v>
      </c>
      <c r="P8" s="36">
        <f>C8+I8+M8+N8+L12+5800</f>
        <v>168545.61</v>
      </c>
      <c r="Q8" s="201">
        <f>P8-F8</f>
        <v>14678.609999999986</v>
      </c>
      <c r="R8" s="247" t="s">
        <v>15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43933</v>
      </c>
      <c r="C9" s="31">
        <v>1818</v>
      </c>
      <c r="D9" s="157" t="s">
        <v>68</v>
      </c>
      <c r="E9" s="151">
        <v>43933</v>
      </c>
      <c r="F9" s="32">
        <v>102527</v>
      </c>
      <c r="G9" s="152"/>
      <c r="H9" s="153">
        <v>43933</v>
      </c>
      <c r="I9" s="39">
        <v>0</v>
      </c>
      <c r="J9" s="51">
        <v>43952</v>
      </c>
      <c r="K9" s="20" t="s">
        <v>15</v>
      </c>
      <c r="L9" s="52">
        <v>20000</v>
      </c>
      <c r="M9" s="258">
        <v>96965</v>
      </c>
      <c r="N9" s="35">
        <v>3744</v>
      </c>
      <c r="O9" s="276" t="s">
        <v>220</v>
      </c>
      <c r="P9" s="36">
        <f>C9+I9+M9+N9</f>
        <v>102527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43934</v>
      </c>
      <c r="C10" s="31">
        <v>12878.68</v>
      </c>
      <c r="D10" s="155" t="s">
        <v>246</v>
      </c>
      <c r="E10" s="151">
        <v>43934</v>
      </c>
      <c r="F10" s="32">
        <v>76290</v>
      </c>
      <c r="G10" s="152"/>
      <c r="H10" s="153">
        <v>43934</v>
      </c>
      <c r="I10" s="39">
        <v>0</v>
      </c>
      <c r="J10" s="53"/>
      <c r="K10" s="54"/>
      <c r="L10" s="55"/>
      <c r="M10" s="34">
        <v>61215</v>
      </c>
      <c r="N10" s="35">
        <v>2196</v>
      </c>
      <c r="O10" s="127"/>
      <c r="P10" s="36">
        <f>C10+I10+M10+N10+L11</f>
        <v>76289.679999999993</v>
      </c>
      <c r="Q10" s="5">
        <f t="shared" si="0"/>
        <v>-0.32000000000698492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43935</v>
      </c>
      <c r="C11" s="31">
        <v>473</v>
      </c>
      <c r="D11" s="154" t="s">
        <v>247</v>
      </c>
      <c r="E11" s="151">
        <v>43935</v>
      </c>
      <c r="F11" s="32">
        <v>63926</v>
      </c>
      <c r="G11" s="152"/>
      <c r="H11" s="153">
        <v>43935</v>
      </c>
      <c r="I11" s="39">
        <v>0</v>
      </c>
      <c r="J11" s="56"/>
      <c r="K11" s="57"/>
      <c r="L11" s="55"/>
      <c r="M11" s="258">
        <v>59392</v>
      </c>
      <c r="N11" s="35">
        <v>4061</v>
      </c>
      <c r="O11" s="276" t="s">
        <v>220</v>
      </c>
      <c r="P11" s="36">
        <f>C11+I11+M11+N11</f>
        <v>63926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43936</v>
      </c>
      <c r="C12" s="31">
        <v>12114.74</v>
      </c>
      <c r="D12" s="154" t="s">
        <v>198</v>
      </c>
      <c r="E12" s="151">
        <v>43936</v>
      </c>
      <c r="F12" s="32">
        <v>126067</v>
      </c>
      <c r="G12" s="152"/>
      <c r="H12" s="153">
        <v>43936</v>
      </c>
      <c r="I12" s="39">
        <v>4000</v>
      </c>
      <c r="J12" s="60">
        <v>43932</v>
      </c>
      <c r="K12" s="20" t="s">
        <v>238</v>
      </c>
      <c r="L12" s="55">
        <f>15384.61+4000+400</f>
        <v>19784.61</v>
      </c>
      <c r="M12" s="258">
        <f>29080+27660+200+49585</f>
        <v>106525</v>
      </c>
      <c r="N12" s="35">
        <v>3423</v>
      </c>
      <c r="O12" s="298" t="s">
        <v>248</v>
      </c>
      <c r="P12" s="36">
        <f>C12+I12+M12+N12</f>
        <v>126062.74</v>
      </c>
      <c r="Q12" s="246">
        <f>P12-F12</f>
        <v>-4.2599999999947613</v>
      </c>
      <c r="S12" s="58">
        <v>8878.61</v>
      </c>
      <c r="T12" s="61" t="s">
        <v>238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43937</v>
      </c>
      <c r="C13" s="31">
        <v>1266</v>
      </c>
      <c r="D13" s="156" t="s">
        <v>72</v>
      </c>
      <c r="E13" s="151">
        <v>43937</v>
      </c>
      <c r="F13" s="32">
        <v>71749</v>
      </c>
      <c r="G13" s="152"/>
      <c r="H13" s="153">
        <v>43937</v>
      </c>
      <c r="I13" s="39">
        <v>0</v>
      </c>
      <c r="J13" s="60">
        <v>43939</v>
      </c>
      <c r="K13" s="20" t="s">
        <v>239</v>
      </c>
      <c r="L13" s="55">
        <f>16815.05+4000+400</f>
        <v>21215.05</v>
      </c>
      <c r="M13" s="258">
        <v>67386</v>
      </c>
      <c r="N13" s="35">
        <v>3097</v>
      </c>
      <c r="O13" s="276" t="s">
        <v>220</v>
      </c>
      <c r="P13" s="36">
        <f>C13+I13+M13+N13</f>
        <v>71749</v>
      </c>
      <c r="Q13" s="5">
        <f>P13-F13</f>
        <v>0</v>
      </c>
      <c r="S13" s="58">
        <v>8845.0499999999993</v>
      </c>
      <c r="T13" s="61" t="s">
        <v>239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43938</v>
      </c>
      <c r="C14" s="31">
        <v>12960</v>
      </c>
      <c r="D14" s="155" t="s">
        <v>205</v>
      </c>
      <c r="E14" s="151">
        <v>43938</v>
      </c>
      <c r="F14" s="32">
        <v>79540</v>
      </c>
      <c r="G14" s="152"/>
      <c r="H14" s="153">
        <v>43938</v>
      </c>
      <c r="I14" s="39">
        <v>10180</v>
      </c>
      <c r="J14" s="60">
        <v>43946</v>
      </c>
      <c r="K14" s="20" t="s">
        <v>240</v>
      </c>
      <c r="L14" s="55">
        <f>15882.05+4000</f>
        <v>19882.05</v>
      </c>
      <c r="M14" s="258">
        <f>47071+16475</f>
        <v>63546</v>
      </c>
      <c r="N14" s="35">
        <v>5594</v>
      </c>
      <c r="O14" s="276" t="s">
        <v>220</v>
      </c>
      <c r="P14" s="36">
        <f>C14+I14+M14+N14+L7</f>
        <v>93378</v>
      </c>
      <c r="Q14" s="198">
        <f>P14-F14</f>
        <v>13838</v>
      </c>
      <c r="S14" s="58">
        <v>8692.85</v>
      </c>
      <c r="T14" s="61" t="s">
        <v>240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43939</v>
      </c>
      <c r="C15" s="31">
        <v>6441</v>
      </c>
      <c r="D15" s="154" t="s">
        <v>249</v>
      </c>
      <c r="E15" s="151">
        <v>43939</v>
      </c>
      <c r="F15" s="32">
        <v>110316</v>
      </c>
      <c r="G15" s="152"/>
      <c r="H15" s="153">
        <v>43939</v>
      </c>
      <c r="I15" s="39">
        <v>0</v>
      </c>
      <c r="J15" s="60">
        <v>43947</v>
      </c>
      <c r="K15" s="20" t="s">
        <v>140</v>
      </c>
      <c r="L15" s="55">
        <v>400</v>
      </c>
      <c r="M15" s="258">
        <v>85248</v>
      </c>
      <c r="N15" s="35">
        <v>6257</v>
      </c>
      <c r="O15" s="276" t="s">
        <v>220</v>
      </c>
      <c r="P15" s="36">
        <f>C15+I15+M15+N15+L13</f>
        <v>119161.05</v>
      </c>
      <c r="Q15" s="201">
        <f t="shared" ref="Q15:Q38" si="1">P15-F15</f>
        <v>8845.0500000000029</v>
      </c>
      <c r="S15" s="58">
        <v>9416.66</v>
      </c>
      <c r="T15" s="61" t="s">
        <v>241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149">
        <v>43940</v>
      </c>
      <c r="C16" s="31">
        <v>8898</v>
      </c>
      <c r="D16" s="154" t="s">
        <v>69</v>
      </c>
      <c r="E16" s="151">
        <v>43940</v>
      </c>
      <c r="F16" s="32">
        <v>97344</v>
      </c>
      <c r="G16" s="152"/>
      <c r="H16" s="153">
        <v>43940</v>
      </c>
      <c r="I16" s="39">
        <v>0</v>
      </c>
      <c r="J16" s="60">
        <v>43953</v>
      </c>
      <c r="K16" s="20" t="s">
        <v>241</v>
      </c>
      <c r="L16" s="5">
        <f>18329.34+4571.44+400</f>
        <v>23300.78</v>
      </c>
      <c r="M16" s="258">
        <v>84540</v>
      </c>
      <c r="N16" s="35">
        <v>3907</v>
      </c>
      <c r="O16" s="276" t="s">
        <v>250</v>
      </c>
      <c r="P16" s="36">
        <f>C16+I16+M16+N16</f>
        <v>97345</v>
      </c>
      <c r="Q16" s="5">
        <f t="shared" si="1"/>
        <v>1</v>
      </c>
      <c r="S16" s="58">
        <v>0</v>
      </c>
      <c r="T16" s="61" t="s">
        <v>242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149">
        <v>43941</v>
      </c>
      <c r="C17" s="31">
        <v>14089.54</v>
      </c>
      <c r="D17" s="156" t="s">
        <v>198</v>
      </c>
      <c r="E17" s="151">
        <v>43941</v>
      </c>
      <c r="F17" s="32">
        <v>64172</v>
      </c>
      <c r="G17" s="152"/>
      <c r="H17" s="153">
        <v>43941</v>
      </c>
      <c r="I17" s="39">
        <v>0</v>
      </c>
      <c r="J17" s="67"/>
      <c r="K17" s="20" t="s">
        <v>254</v>
      </c>
      <c r="L17" s="68">
        <v>0</v>
      </c>
      <c r="M17" s="34">
        <v>47870</v>
      </c>
      <c r="N17" s="35">
        <v>2192</v>
      </c>
      <c r="O17" s="276"/>
      <c r="P17" s="36">
        <f>C17+I17+M17+N17</f>
        <v>64151.54</v>
      </c>
      <c r="Q17" s="280">
        <f t="shared" si="1"/>
        <v>-20.459999999999127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149">
        <v>43942</v>
      </c>
      <c r="C18" s="31">
        <v>635</v>
      </c>
      <c r="D18" s="154" t="s">
        <v>210</v>
      </c>
      <c r="E18" s="151">
        <v>43942</v>
      </c>
      <c r="F18" s="32">
        <v>63892</v>
      </c>
      <c r="G18" s="152"/>
      <c r="H18" s="153">
        <v>43942</v>
      </c>
      <c r="I18" s="39">
        <v>0</v>
      </c>
      <c r="J18" s="67"/>
      <c r="K18" s="71"/>
      <c r="L18" s="55"/>
      <c r="M18" s="258">
        <v>60271</v>
      </c>
      <c r="N18" s="35">
        <v>2985</v>
      </c>
      <c r="O18" s="276" t="s">
        <v>220</v>
      </c>
      <c r="P18" s="36">
        <f>C18+I18+M18+N18</f>
        <v>63891</v>
      </c>
      <c r="Q18" s="246">
        <f t="shared" si="1"/>
        <v>-1</v>
      </c>
      <c r="S18" s="5">
        <f>SUM(S11:S17)</f>
        <v>35833.17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149">
        <v>43943</v>
      </c>
      <c r="C19" s="31">
        <v>2110</v>
      </c>
      <c r="D19" s="154" t="s">
        <v>83</v>
      </c>
      <c r="E19" s="151">
        <v>43943</v>
      </c>
      <c r="F19" s="32">
        <v>58260</v>
      </c>
      <c r="G19" s="152"/>
      <c r="H19" s="153">
        <v>43943</v>
      </c>
      <c r="I19" s="39">
        <v>0</v>
      </c>
      <c r="J19" s="67"/>
      <c r="K19" s="72"/>
      <c r="L19" s="73"/>
      <c r="M19" s="34">
        <v>53161</v>
      </c>
      <c r="N19" s="35">
        <v>2989</v>
      </c>
      <c r="O19" s="276" t="s">
        <v>12</v>
      </c>
      <c r="P19" s="36">
        <f>C19+I19+M19+N19</f>
        <v>58260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149">
        <v>43944</v>
      </c>
      <c r="C20" s="31">
        <v>20535.560000000001</v>
      </c>
      <c r="D20" s="154" t="s">
        <v>251</v>
      </c>
      <c r="E20" s="151">
        <v>43944</v>
      </c>
      <c r="F20" s="32">
        <v>78025</v>
      </c>
      <c r="G20" s="152"/>
      <c r="H20" s="153">
        <v>43944</v>
      </c>
      <c r="I20" s="39">
        <v>0</v>
      </c>
      <c r="J20" s="60">
        <v>43929</v>
      </c>
      <c r="K20" s="220" t="s">
        <v>243</v>
      </c>
      <c r="L20" s="68">
        <v>870</v>
      </c>
      <c r="M20" s="34">
        <v>56258</v>
      </c>
      <c r="N20" s="35">
        <v>1251</v>
      </c>
      <c r="O20" s="276"/>
      <c r="P20" s="36">
        <f>C20+I20+M20+N20</f>
        <v>78044.56</v>
      </c>
      <c r="Q20" s="281">
        <f t="shared" si="1"/>
        <v>19.559999999997672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43945</v>
      </c>
      <c r="C21" s="31">
        <v>4205</v>
      </c>
      <c r="D21" s="154" t="s">
        <v>252</v>
      </c>
      <c r="E21" s="151">
        <v>43945</v>
      </c>
      <c r="F21" s="32">
        <v>82500</v>
      </c>
      <c r="G21" s="152"/>
      <c r="H21" s="153">
        <v>43945</v>
      </c>
      <c r="I21" s="39">
        <v>10020</v>
      </c>
      <c r="J21" s="67"/>
      <c r="K21" s="74"/>
      <c r="L21" s="68"/>
      <c r="M21" s="34">
        <v>65585</v>
      </c>
      <c r="N21" s="35">
        <v>2690</v>
      </c>
      <c r="O21" s="276"/>
      <c r="P21" s="36">
        <f>C21+I21+M21+N21+L21</f>
        <v>82500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43946</v>
      </c>
      <c r="C22" s="31">
        <v>14765.8</v>
      </c>
      <c r="D22" s="154" t="s">
        <v>253</v>
      </c>
      <c r="E22" s="151">
        <v>43946</v>
      </c>
      <c r="F22" s="32">
        <v>124349</v>
      </c>
      <c r="G22" s="152"/>
      <c r="H22" s="153">
        <v>43946</v>
      </c>
      <c r="I22" s="39">
        <v>284</v>
      </c>
      <c r="J22" s="76"/>
      <c r="K22" s="59"/>
      <c r="L22" s="77"/>
      <c r="M22" s="34">
        <v>93933</v>
      </c>
      <c r="N22" s="35">
        <v>4177</v>
      </c>
      <c r="O22" s="276"/>
      <c r="P22" s="36">
        <f>C22+I22+M22+N22+L14</f>
        <v>133041.85</v>
      </c>
      <c r="Q22" s="201">
        <f>P22-F22</f>
        <v>8692.8500000000058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43947</v>
      </c>
      <c r="C23" s="31">
        <v>1278</v>
      </c>
      <c r="D23" s="154" t="s">
        <v>72</v>
      </c>
      <c r="E23" s="151">
        <v>43947</v>
      </c>
      <c r="F23" s="32">
        <v>113957</v>
      </c>
      <c r="G23" s="152"/>
      <c r="H23" s="153">
        <v>43947</v>
      </c>
      <c r="I23" s="39">
        <v>0</v>
      </c>
      <c r="J23" s="284"/>
      <c r="K23" s="289"/>
      <c r="L23" s="285"/>
      <c r="M23" s="258">
        <v>109150</v>
      </c>
      <c r="N23" s="35">
        <v>3132</v>
      </c>
      <c r="O23" s="257" t="s">
        <v>250</v>
      </c>
      <c r="P23" s="36">
        <f>C23+I23+M23+N23+L15</f>
        <v>113960</v>
      </c>
      <c r="Q23" s="5">
        <f t="shared" ref="Q23:Q32" si="2">P23-F23</f>
        <v>3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43948</v>
      </c>
      <c r="C24" s="31">
        <v>1780</v>
      </c>
      <c r="D24" s="154" t="s">
        <v>255</v>
      </c>
      <c r="E24" s="151">
        <v>43948</v>
      </c>
      <c r="F24" s="32">
        <v>106237</v>
      </c>
      <c r="G24" s="152"/>
      <c r="H24" s="153">
        <v>43948</v>
      </c>
      <c r="I24" s="39">
        <v>0</v>
      </c>
      <c r="J24" s="286" t="s">
        <v>264</v>
      </c>
      <c r="K24" s="297" t="s">
        <v>275</v>
      </c>
      <c r="L24" s="291">
        <v>1315.86</v>
      </c>
      <c r="M24" s="34">
        <f>27405+74436</f>
        <v>101841</v>
      </c>
      <c r="N24" s="35">
        <v>2616</v>
      </c>
      <c r="O24" s="276"/>
      <c r="P24" s="36">
        <f>C24+I24+M24+N24</f>
        <v>106237</v>
      </c>
      <c r="Q24" s="5">
        <f t="shared" si="2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43949</v>
      </c>
      <c r="C25" s="31">
        <v>3562</v>
      </c>
      <c r="D25" s="154" t="s">
        <v>210</v>
      </c>
      <c r="E25" s="151">
        <v>43949</v>
      </c>
      <c r="F25" s="32">
        <v>59410</v>
      </c>
      <c r="G25" s="152"/>
      <c r="H25" s="153">
        <v>43949</v>
      </c>
      <c r="I25" s="39">
        <v>76</v>
      </c>
      <c r="J25" s="287" t="s">
        <v>264</v>
      </c>
      <c r="K25" s="163" t="s">
        <v>267</v>
      </c>
      <c r="L25" s="102">
        <v>2207.4</v>
      </c>
      <c r="M25" s="34">
        <v>54725</v>
      </c>
      <c r="N25" s="35">
        <v>1047</v>
      </c>
      <c r="O25" s="276" t="s">
        <v>12</v>
      </c>
      <c r="P25" s="36">
        <f>C25+I25+M25+N25</f>
        <v>59410</v>
      </c>
      <c r="Q25" s="5">
        <f t="shared" si="2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43950</v>
      </c>
      <c r="C26" s="31">
        <v>8748</v>
      </c>
      <c r="D26" s="154" t="s">
        <v>256</v>
      </c>
      <c r="E26" s="151">
        <v>43950</v>
      </c>
      <c r="F26" s="32">
        <v>85109</v>
      </c>
      <c r="G26" s="152"/>
      <c r="H26" s="153">
        <v>43950</v>
      </c>
      <c r="I26" s="39">
        <v>4000</v>
      </c>
      <c r="J26" s="67" t="s">
        <v>264</v>
      </c>
      <c r="K26" s="290" t="s">
        <v>269</v>
      </c>
      <c r="L26" s="285">
        <v>429</v>
      </c>
      <c r="M26" s="34">
        <f>5653+6596+55200</f>
        <v>67449</v>
      </c>
      <c r="N26" s="35">
        <v>4920</v>
      </c>
      <c r="O26" s="276"/>
      <c r="P26" s="36">
        <f>C26+I26+M26+N26++L19</f>
        <v>85117</v>
      </c>
      <c r="Q26" s="5">
        <f t="shared" si="2"/>
        <v>8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43951</v>
      </c>
      <c r="C27" s="31">
        <v>14995</v>
      </c>
      <c r="D27" s="154" t="s">
        <v>257</v>
      </c>
      <c r="E27" s="151">
        <v>43951</v>
      </c>
      <c r="F27" s="32">
        <v>91862</v>
      </c>
      <c r="G27" s="152"/>
      <c r="H27" s="153">
        <v>43951</v>
      </c>
      <c r="I27" s="39">
        <v>450</v>
      </c>
      <c r="J27" s="217" t="s">
        <v>264</v>
      </c>
      <c r="K27" s="295" t="s">
        <v>274</v>
      </c>
      <c r="L27" s="102">
        <v>1703.14</v>
      </c>
      <c r="M27" s="258">
        <v>73112</v>
      </c>
      <c r="N27" s="35">
        <v>3277</v>
      </c>
      <c r="O27" s="276" t="s">
        <v>220</v>
      </c>
      <c r="P27" s="36">
        <f>C27+I27+M27+N27+L16</f>
        <v>115134.78</v>
      </c>
      <c r="Q27" s="246">
        <f t="shared" si="2"/>
        <v>23272.78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149">
        <v>43952</v>
      </c>
      <c r="C28" s="31">
        <v>15811</v>
      </c>
      <c r="D28" s="282" t="s">
        <v>75</v>
      </c>
      <c r="E28" s="151">
        <v>43952</v>
      </c>
      <c r="F28" s="32">
        <v>125150</v>
      </c>
      <c r="G28" s="152"/>
      <c r="H28" s="153">
        <v>43952</v>
      </c>
      <c r="I28" s="39">
        <v>10020</v>
      </c>
      <c r="J28" s="217" t="s">
        <v>264</v>
      </c>
      <c r="K28" s="294" t="s">
        <v>278</v>
      </c>
      <c r="L28" s="102">
        <v>3571.86</v>
      </c>
      <c r="M28" s="258">
        <v>71601</v>
      </c>
      <c r="N28" s="35">
        <v>7718</v>
      </c>
      <c r="O28" s="276" t="s">
        <v>220</v>
      </c>
      <c r="P28" s="253">
        <f>C28+I28+M28+N28+L9</f>
        <v>125150</v>
      </c>
      <c r="Q28" s="5">
        <f t="shared" si="2"/>
        <v>0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43953</v>
      </c>
      <c r="C29" s="31">
        <v>5328</v>
      </c>
      <c r="D29" s="241" t="s">
        <v>258</v>
      </c>
      <c r="E29" s="151">
        <v>43953</v>
      </c>
      <c r="F29" s="32">
        <v>146487</v>
      </c>
      <c r="G29" s="152"/>
      <c r="H29" s="153">
        <v>43953</v>
      </c>
      <c r="I29" s="39">
        <v>0</v>
      </c>
      <c r="J29" s="217" t="s">
        <v>264</v>
      </c>
      <c r="K29" s="163" t="s">
        <v>273</v>
      </c>
      <c r="L29" s="102">
        <v>2296.94</v>
      </c>
      <c r="M29" s="34">
        <v>121500</v>
      </c>
      <c r="N29" s="35">
        <v>5781</v>
      </c>
      <c r="O29" s="276" t="s">
        <v>12</v>
      </c>
      <c r="P29" s="36">
        <f>C29+I29+M29+N29</f>
        <v>132609</v>
      </c>
      <c r="Q29" s="201">
        <f>P29-F29+L16</f>
        <v>9422.7799999999988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43954</v>
      </c>
      <c r="C30" s="242">
        <v>10542</v>
      </c>
      <c r="D30" s="243" t="s">
        <v>259</v>
      </c>
      <c r="E30" s="151">
        <v>43954</v>
      </c>
      <c r="F30" s="32">
        <v>85859</v>
      </c>
      <c r="G30" s="152"/>
      <c r="H30" s="153">
        <v>43954</v>
      </c>
      <c r="I30" s="244">
        <v>0</v>
      </c>
      <c r="J30" s="217" t="s">
        <v>264</v>
      </c>
      <c r="K30" s="296" t="s">
        <v>265</v>
      </c>
      <c r="L30" s="293">
        <v>38875</v>
      </c>
      <c r="M30" s="34">
        <v>73022</v>
      </c>
      <c r="N30" s="35">
        <v>2288</v>
      </c>
      <c r="O30" s="276"/>
      <c r="P30" s="36">
        <f>C30+I30+M30+N30</f>
        <v>85852</v>
      </c>
      <c r="Q30" s="246">
        <f t="shared" si="2"/>
        <v>-7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43955</v>
      </c>
      <c r="C31" s="238">
        <v>14461.73</v>
      </c>
      <c r="D31" s="243" t="s">
        <v>260</v>
      </c>
      <c r="E31" s="151">
        <v>43955</v>
      </c>
      <c r="F31" s="32">
        <v>108521</v>
      </c>
      <c r="G31" s="152"/>
      <c r="H31" s="153">
        <v>43955</v>
      </c>
      <c r="I31" s="244">
        <v>0</v>
      </c>
      <c r="J31" s="217" t="s">
        <v>264</v>
      </c>
      <c r="K31" s="163" t="s">
        <v>279</v>
      </c>
      <c r="L31" s="102">
        <v>8180.79</v>
      </c>
      <c r="M31" s="34">
        <v>91906</v>
      </c>
      <c r="N31" s="35">
        <v>2158</v>
      </c>
      <c r="O31" s="276"/>
      <c r="P31" s="36">
        <f t="shared" ref="P31:P32" si="3">C31+I31+M31+N31+L18</f>
        <v>108525.73</v>
      </c>
      <c r="Q31" s="5">
        <f t="shared" si="2"/>
        <v>4.7299999999959255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43956</v>
      </c>
      <c r="C32" s="238">
        <v>6353.8</v>
      </c>
      <c r="D32" s="243" t="s">
        <v>261</v>
      </c>
      <c r="E32" s="151">
        <v>43956</v>
      </c>
      <c r="F32" s="237">
        <v>64405</v>
      </c>
      <c r="G32" s="152"/>
      <c r="H32" s="153">
        <v>43956</v>
      </c>
      <c r="I32" s="244">
        <v>421</v>
      </c>
      <c r="J32" s="217" t="s">
        <v>264</v>
      </c>
      <c r="K32" s="164" t="s">
        <v>272</v>
      </c>
      <c r="L32" s="102">
        <v>860</v>
      </c>
      <c r="M32" s="34">
        <f>3459+53074</f>
        <v>56533</v>
      </c>
      <c r="N32" s="35">
        <v>1153</v>
      </c>
      <c r="O32" s="276"/>
      <c r="P32" s="36">
        <f t="shared" si="3"/>
        <v>64460.800000000003</v>
      </c>
      <c r="Q32" s="283">
        <f t="shared" si="2"/>
        <v>55.80000000000291</v>
      </c>
      <c r="R32" s="5" t="s">
        <v>262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43957</v>
      </c>
      <c r="C33" s="238">
        <v>2870</v>
      </c>
      <c r="D33" s="255" t="s">
        <v>263</v>
      </c>
      <c r="E33" s="151">
        <v>43957</v>
      </c>
      <c r="F33" s="176">
        <v>58998</v>
      </c>
      <c r="G33" s="152"/>
      <c r="H33" s="153">
        <v>43957</v>
      </c>
      <c r="I33" s="244">
        <v>2039</v>
      </c>
      <c r="J33" s="217" t="s">
        <v>264</v>
      </c>
      <c r="K33" s="164" t="s">
        <v>276</v>
      </c>
      <c r="L33" s="102">
        <v>4862.45</v>
      </c>
      <c r="M33" s="34">
        <v>52365</v>
      </c>
      <c r="N33" s="35">
        <v>1724</v>
      </c>
      <c r="O33" s="276"/>
      <c r="P33" s="36">
        <f>C33+I33+M33+N33</f>
        <v>58998</v>
      </c>
      <c r="Q33" s="5">
        <f t="shared" si="1"/>
        <v>0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/>
      <c r="C34" s="238"/>
      <c r="D34" s="254"/>
      <c r="E34" s="240"/>
      <c r="F34" s="176">
        <v>0</v>
      </c>
      <c r="G34" s="152"/>
      <c r="H34" s="153"/>
      <c r="I34" s="244"/>
      <c r="J34" s="217" t="s">
        <v>264</v>
      </c>
      <c r="K34" s="163" t="s">
        <v>277</v>
      </c>
      <c r="L34" s="102">
        <v>5382.4</v>
      </c>
      <c r="M34" s="34">
        <v>0</v>
      </c>
      <c r="N34" s="35">
        <v>0</v>
      </c>
      <c r="O34" s="276"/>
      <c r="P34" s="36">
        <f>C34+I34+M34+N34+L17</f>
        <v>0</v>
      </c>
      <c r="Q34" s="5">
        <f t="shared" si="1"/>
        <v>0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/>
      <c r="C35" s="238"/>
      <c r="D35" s="259"/>
      <c r="E35" s="240"/>
      <c r="F35" s="176">
        <v>0</v>
      </c>
      <c r="G35" s="152"/>
      <c r="H35" s="153"/>
      <c r="I35" s="244"/>
      <c r="J35" s="217" t="s">
        <v>264</v>
      </c>
      <c r="K35" s="164" t="s">
        <v>268</v>
      </c>
      <c r="L35" s="292">
        <v>772</v>
      </c>
      <c r="M35" s="34">
        <v>0</v>
      </c>
      <c r="N35" s="35">
        <v>0</v>
      </c>
      <c r="O35" s="276"/>
      <c r="P35" s="36">
        <f>C35+I35+M35+N35</f>
        <v>0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/>
      <c r="C36" s="238"/>
      <c r="D36" s="259"/>
      <c r="E36" s="240"/>
      <c r="F36" s="176">
        <v>0</v>
      </c>
      <c r="G36" s="152"/>
      <c r="H36" s="153"/>
      <c r="I36" s="244"/>
      <c r="J36" s="217" t="s">
        <v>264</v>
      </c>
      <c r="K36" s="163" t="s">
        <v>266</v>
      </c>
      <c r="L36" s="102">
        <v>19605</v>
      </c>
      <c r="M36" s="34">
        <v>0</v>
      </c>
      <c r="N36" s="35">
        <v>0</v>
      </c>
      <c r="O36" s="276"/>
      <c r="P36" s="36">
        <f>C36+I36+M36+N36</f>
        <v>0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/>
      <c r="C37" s="238"/>
      <c r="D37" s="259"/>
      <c r="E37" s="240"/>
      <c r="F37" s="176">
        <v>0</v>
      </c>
      <c r="G37" s="152"/>
      <c r="H37" s="153"/>
      <c r="I37" s="244"/>
      <c r="J37" s="217" t="s">
        <v>264</v>
      </c>
      <c r="K37" s="163" t="s">
        <v>270</v>
      </c>
      <c r="L37" s="102">
        <v>538.42999999999995</v>
      </c>
      <c r="M37" s="34">
        <v>0</v>
      </c>
      <c r="N37" s="35">
        <v>0</v>
      </c>
      <c r="O37" s="276"/>
      <c r="P37" s="36">
        <f>C37+I37+M37+N37</f>
        <v>0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149"/>
      <c r="C38" s="274"/>
      <c r="D38" s="259"/>
      <c r="E38" s="240"/>
      <c r="F38" s="176">
        <v>0</v>
      </c>
      <c r="G38" s="152"/>
      <c r="H38" s="153"/>
      <c r="I38" s="244"/>
      <c r="J38" s="217" t="s">
        <v>264</v>
      </c>
      <c r="K38" s="229" t="s">
        <v>271</v>
      </c>
      <c r="L38" s="288">
        <v>19605</v>
      </c>
      <c r="M38" s="34">
        <v>0</v>
      </c>
      <c r="N38" s="35">
        <v>0</v>
      </c>
      <c r="O38" s="276"/>
      <c r="P38" s="104">
        <f>C38+I38+M38+N38</f>
        <v>0</v>
      </c>
      <c r="Q38" s="104">
        <f t="shared" si="1"/>
        <v>0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>
        <v>0</v>
      </c>
      <c r="G39" s="110"/>
      <c r="H39" s="153"/>
      <c r="I39" s="109"/>
      <c r="J39" s="228"/>
      <c r="K39" s="265"/>
      <c r="L39" s="77"/>
      <c r="M39" s="112">
        <f>SUM(M5:M38)</f>
        <v>2101642</v>
      </c>
      <c r="N39" s="113">
        <f>SUM(N5:N38)</f>
        <v>101041</v>
      </c>
      <c r="O39" s="277"/>
      <c r="P39" s="114">
        <f>SUM(P5:P38)</f>
        <v>2600447.9899999998</v>
      </c>
      <c r="Q39" s="114">
        <f>SUM(Q5:Q38)</f>
        <v>80895.76999999999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234600.5</v>
      </c>
      <c r="D40" s="117"/>
      <c r="E40" s="303" t="s">
        <v>16</v>
      </c>
      <c r="F40" s="304">
        <f>SUM(F5:F39)</f>
        <v>2543723</v>
      </c>
      <c r="G40" s="117"/>
      <c r="H40" s="120" t="s">
        <v>16</v>
      </c>
      <c r="I40" s="121">
        <f>SUM(I5:I39)</f>
        <v>51684</v>
      </c>
      <c r="J40" s="93"/>
      <c r="K40" s="122" t="s">
        <v>16</v>
      </c>
      <c r="L40" s="123">
        <f>SUM(L6:L39)</f>
        <v>216755.76</v>
      </c>
      <c r="O40" s="278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7.25" customHeight="1" thickTop="1" thickBot="1" x14ac:dyDescent="0.3">
      <c r="C41" s="8" t="s">
        <v>12</v>
      </c>
      <c r="M41" s="455">
        <f>N39+M39</f>
        <v>2202683</v>
      </c>
      <c r="N41" s="456"/>
      <c r="O41" s="279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57" t="s">
        <v>18</v>
      </c>
      <c r="I42" s="458"/>
      <c r="J42" s="269"/>
      <c r="K42" s="459">
        <f>I40+L40</f>
        <v>268439.76</v>
      </c>
      <c r="L42" s="460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6.5" thickBot="1" x14ac:dyDescent="0.3">
      <c r="D43" s="461" t="s">
        <v>19</v>
      </c>
      <c r="E43" s="461"/>
      <c r="F43" s="129">
        <f>F40-K42-C40</f>
        <v>2040682.7400000002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443" t="s">
        <v>20</v>
      </c>
      <c r="E44" s="443"/>
      <c r="F44" s="131">
        <v>-1908890.86</v>
      </c>
      <c r="I44" s="444" t="s">
        <v>21</v>
      </c>
      <c r="J44" s="445"/>
      <c r="K44" s="446">
        <f>F49</f>
        <v>384003.30000000016</v>
      </c>
      <c r="L44" s="447"/>
      <c r="P44" s="299">
        <v>2202683</v>
      </c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300">
        <v>0</v>
      </c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131791.88000000012</v>
      </c>
      <c r="H46" s="30"/>
      <c r="I46" s="137" t="s">
        <v>23</v>
      </c>
      <c r="J46" s="138"/>
      <c r="K46" s="474">
        <f>-C4</f>
        <v>-242201.9</v>
      </c>
      <c r="L46" s="475"/>
      <c r="M46" s="214"/>
      <c r="P46" s="300">
        <v>51684</v>
      </c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12791</v>
      </c>
      <c r="P47" s="300">
        <v>234600.5</v>
      </c>
      <c r="V47" s="8"/>
    </row>
    <row r="48" spans="1:29" ht="20.25" thickTop="1" thickBot="1" x14ac:dyDescent="0.35">
      <c r="C48" s="231">
        <v>43957</v>
      </c>
      <c r="D48" s="476" t="s">
        <v>26</v>
      </c>
      <c r="E48" s="477"/>
      <c r="F48" s="142">
        <v>239420.42</v>
      </c>
      <c r="I48" s="478" t="s">
        <v>129</v>
      </c>
      <c r="J48" s="479"/>
      <c r="K48" s="480">
        <f>K44+K46</f>
        <v>141801.40000000017</v>
      </c>
      <c r="L48" s="481"/>
      <c r="P48" s="300">
        <v>106550.49</v>
      </c>
    </row>
    <row r="49" spans="2:18" ht="18.75" x14ac:dyDescent="0.3">
      <c r="C49" s="143"/>
      <c r="D49" s="144"/>
      <c r="E49" s="61" t="s">
        <v>27</v>
      </c>
      <c r="F49" s="145">
        <f>F46+F47+F48</f>
        <v>384003.30000000016</v>
      </c>
      <c r="J49" s="9"/>
      <c r="M49" s="146"/>
      <c r="P49" s="301">
        <v>-35833.17</v>
      </c>
    </row>
    <row r="50" spans="2:18" ht="15.75" thickBot="1" x14ac:dyDescent="0.3">
      <c r="P50" s="302">
        <v>-15925</v>
      </c>
    </row>
    <row r="51" spans="2:18" x14ac:dyDescent="0.25">
      <c r="B51"/>
      <c r="C51"/>
      <c r="D51" s="482"/>
      <c r="E51" s="482"/>
      <c r="M51" s="147"/>
      <c r="N51" s="59"/>
      <c r="O51" s="59"/>
      <c r="P51" s="128">
        <f>SUM(P44:P50)</f>
        <v>2543759.8200000003</v>
      </c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23:L38">
    <sortCondition ref="K23:K38"/>
  </sortState>
  <mergeCells count="20"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  <mergeCell ref="D51:E51"/>
    <mergeCell ref="D44:E44"/>
    <mergeCell ref="I44:J44"/>
    <mergeCell ref="K44:L44"/>
    <mergeCell ref="K46:L46"/>
    <mergeCell ref="D48:E48"/>
    <mergeCell ref="I48:J48"/>
    <mergeCell ref="K48:L48"/>
  </mergeCells>
  <pageMargins left="0.23622047244094491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sheetPr>
    <tabColor rgb="FF00B0F0"/>
  </sheetPr>
  <dimension ref="A1:F87"/>
  <sheetViews>
    <sheetView topLeftCell="A22" workbookViewId="0">
      <selection activeCell="D38" sqref="D3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43929</v>
      </c>
      <c r="B3" s="264">
        <v>10758</v>
      </c>
      <c r="C3" s="261">
        <v>147773.48000000001</v>
      </c>
      <c r="D3" s="270">
        <v>43929</v>
      </c>
      <c r="E3" s="5">
        <v>147773.48000000001</v>
      </c>
      <c r="F3" s="173">
        <f>C3-E3</f>
        <v>0</v>
      </c>
    </row>
    <row r="4" spans="1:6" x14ac:dyDescent="0.25">
      <c r="A4" s="271">
        <v>43930</v>
      </c>
      <c r="B4" s="272">
        <v>10898</v>
      </c>
      <c r="C4" s="176">
        <v>122882.46</v>
      </c>
      <c r="D4" s="273"/>
      <c r="E4" s="176"/>
      <c r="F4" s="173">
        <f>F3+C4-E4</f>
        <v>122882.46</v>
      </c>
    </row>
    <row r="5" spans="1:6" x14ac:dyDescent="0.25">
      <c r="A5" s="273">
        <v>43930</v>
      </c>
      <c r="B5" s="272">
        <v>10899</v>
      </c>
      <c r="C5" s="176">
        <v>8589.4</v>
      </c>
      <c r="D5" s="273"/>
      <c r="E5" s="176"/>
      <c r="F5" s="173">
        <f t="shared" ref="F5:F50" si="0">F4+C5-E5</f>
        <v>131471.86000000002</v>
      </c>
    </row>
    <row r="6" spans="1:6" x14ac:dyDescent="0.25">
      <c r="A6" s="273">
        <v>43932</v>
      </c>
      <c r="B6" s="272">
        <v>11052</v>
      </c>
      <c r="C6" s="176">
        <v>28110.28</v>
      </c>
      <c r="D6" s="273"/>
      <c r="E6" s="176"/>
      <c r="F6" s="173">
        <f t="shared" si="0"/>
        <v>159582.14000000001</v>
      </c>
    </row>
    <row r="7" spans="1:6" x14ac:dyDescent="0.25">
      <c r="A7" s="273">
        <v>43933</v>
      </c>
      <c r="B7" s="272">
        <v>11059</v>
      </c>
      <c r="C7" s="176">
        <v>2193.6</v>
      </c>
      <c r="D7" s="273"/>
      <c r="E7" s="176"/>
      <c r="F7" s="173">
        <f t="shared" si="0"/>
        <v>161775.74000000002</v>
      </c>
    </row>
    <row r="8" spans="1:6" x14ac:dyDescent="0.25">
      <c r="A8" s="273">
        <v>43933</v>
      </c>
      <c r="B8" s="272">
        <v>11141</v>
      </c>
      <c r="C8" s="176">
        <v>86400.960000000006</v>
      </c>
      <c r="D8" s="273"/>
      <c r="E8" s="176"/>
      <c r="F8" s="173">
        <f t="shared" si="0"/>
        <v>248176.7</v>
      </c>
    </row>
    <row r="9" spans="1:6" x14ac:dyDescent="0.25">
      <c r="A9" s="273">
        <v>43935</v>
      </c>
      <c r="B9" s="272">
        <v>11384</v>
      </c>
      <c r="C9" s="176">
        <v>4842.8</v>
      </c>
      <c r="D9" s="273"/>
      <c r="E9" s="176"/>
      <c r="F9" s="173">
        <f t="shared" si="0"/>
        <v>253019.5</v>
      </c>
    </row>
    <row r="10" spans="1:6" x14ac:dyDescent="0.25">
      <c r="A10" s="273">
        <v>43935</v>
      </c>
      <c r="B10" s="272">
        <v>11386</v>
      </c>
      <c r="C10" s="176">
        <v>81260.62</v>
      </c>
      <c r="D10" s="273"/>
      <c r="E10" s="176"/>
      <c r="F10" s="173">
        <f t="shared" si="0"/>
        <v>334280.12</v>
      </c>
    </row>
    <row r="11" spans="1:6" x14ac:dyDescent="0.25">
      <c r="A11" s="271">
        <v>43936</v>
      </c>
      <c r="B11" s="272">
        <v>11442</v>
      </c>
      <c r="C11" s="176">
        <v>1470.96</v>
      </c>
      <c r="D11" s="273"/>
      <c r="E11" s="176"/>
      <c r="F11" s="173">
        <f t="shared" si="0"/>
        <v>335751.08</v>
      </c>
    </row>
    <row r="12" spans="1:6" x14ac:dyDescent="0.25">
      <c r="A12" s="273">
        <v>43936</v>
      </c>
      <c r="B12" s="272">
        <v>11508</v>
      </c>
      <c r="C12" s="176">
        <v>159457.22</v>
      </c>
      <c r="D12" s="273">
        <v>43937</v>
      </c>
      <c r="E12" s="176">
        <v>495208.3</v>
      </c>
      <c r="F12" s="173">
        <f t="shared" si="0"/>
        <v>0</v>
      </c>
    </row>
    <row r="13" spans="1:6" x14ac:dyDescent="0.25">
      <c r="A13" s="273">
        <v>43938</v>
      </c>
      <c r="B13" s="272">
        <v>11813</v>
      </c>
      <c r="C13" s="176">
        <v>79313.100000000006</v>
      </c>
      <c r="D13" s="273"/>
      <c r="E13" s="176"/>
      <c r="F13" s="173">
        <f t="shared" si="0"/>
        <v>79313.100000000006</v>
      </c>
    </row>
    <row r="14" spans="1:6" x14ac:dyDescent="0.25">
      <c r="A14" s="273">
        <v>43939</v>
      </c>
      <c r="B14" s="272">
        <v>11943</v>
      </c>
      <c r="C14" s="176">
        <v>67061.34</v>
      </c>
      <c r="D14" s="273"/>
      <c r="E14" s="176"/>
      <c r="F14" s="173">
        <f t="shared" si="0"/>
        <v>146374.44</v>
      </c>
    </row>
    <row r="15" spans="1:6" x14ac:dyDescent="0.25">
      <c r="A15" s="273">
        <v>43940</v>
      </c>
      <c r="B15" s="272">
        <v>12016</v>
      </c>
      <c r="C15" s="176">
        <v>4828</v>
      </c>
      <c r="D15" s="273"/>
      <c r="E15" s="176"/>
      <c r="F15" s="173">
        <f t="shared" si="0"/>
        <v>151202.44</v>
      </c>
    </row>
    <row r="16" spans="1:6" x14ac:dyDescent="0.25">
      <c r="A16" s="273">
        <v>43940</v>
      </c>
      <c r="B16" s="272">
        <v>12043</v>
      </c>
      <c r="C16" s="176">
        <v>17605.8</v>
      </c>
      <c r="D16" s="273"/>
      <c r="E16" s="176"/>
      <c r="F16" s="173">
        <f t="shared" si="0"/>
        <v>168808.24</v>
      </c>
    </row>
    <row r="17" spans="1:6" x14ac:dyDescent="0.25">
      <c r="A17" s="273">
        <v>43941</v>
      </c>
      <c r="B17" s="272">
        <v>12180</v>
      </c>
      <c r="C17" s="176">
        <v>26827.3</v>
      </c>
      <c r="D17" s="273"/>
      <c r="E17" s="176"/>
      <c r="F17" s="173">
        <f t="shared" si="0"/>
        <v>195635.53999999998</v>
      </c>
    </row>
    <row r="18" spans="1:6" x14ac:dyDescent="0.25">
      <c r="A18" s="273">
        <v>43942</v>
      </c>
      <c r="B18" s="272">
        <v>12284</v>
      </c>
      <c r="C18" s="176">
        <v>95758.69</v>
      </c>
      <c r="D18" s="273"/>
      <c r="E18" s="176"/>
      <c r="F18" s="173">
        <f t="shared" si="0"/>
        <v>291394.23</v>
      </c>
    </row>
    <row r="19" spans="1:6" x14ac:dyDescent="0.25">
      <c r="A19" s="273">
        <v>43944</v>
      </c>
      <c r="B19" s="272">
        <v>12467</v>
      </c>
      <c r="C19" s="176">
        <v>94550.7</v>
      </c>
      <c r="D19" s="273"/>
      <c r="E19" s="176"/>
      <c r="F19" s="173">
        <f t="shared" si="0"/>
        <v>385944.93</v>
      </c>
    </row>
    <row r="20" spans="1:6" x14ac:dyDescent="0.25">
      <c r="A20" s="273">
        <v>43945</v>
      </c>
      <c r="B20" s="272">
        <v>12582</v>
      </c>
      <c r="C20" s="176">
        <v>856.8</v>
      </c>
      <c r="D20" s="273"/>
      <c r="E20" s="176"/>
      <c r="F20" s="173">
        <f t="shared" si="0"/>
        <v>386801.73</v>
      </c>
    </row>
    <row r="21" spans="1:6" x14ac:dyDescent="0.25">
      <c r="A21" s="273">
        <v>43946</v>
      </c>
      <c r="B21" s="272">
        <v>12722</v>
      </c>
      <c r="C21" s="176">
        <v>25527.599999999999</v>
      </c>
      <c r="D21" s="273"/>
      <c r="E21" s="176"/>
      <c r="F21" s="173">
        <f t="shared" si="0"/>
        <v>412329.32999999996</v>
      </c>
    </row>
    <row r="22" spans="1:6" x14ac:dyDescent="0.25">
      <c r="A22" s="273">
        <v>43946</v>
      </c>
      <c r="B22" s="272">
        <v>12724</v>
      </c>
      <c r="C22" s="176">
        <v>5544.5</v>
      </c>
      <c r="D22" s="273"/>
      <c r="E22" s="176"/>
      <c r="F22" s="173">
        <f t="shared" si="0"/>
        <v>417873.82999999996</v>
      </c>
    </row>
    <row r="23" spans="1:6" x14ac:dyDescent="0.25">
      <c r="A23" s="273">
        <v>43946</v>
      </c>
      <c r="B23" s="272">
        <v>12813</v>
      </c>
      <c r="C23" s="176">
        <v>104867.7</v>
      </c>
      <c r="D23" s="273"/>
      <c r="E23" s="176"/>
      <c r="F23" s="173">
        <f t="shared" si="0"/>
        <v>522741.52999999997</v>
      </c>
    </row>
    <row r="24" spans="1:6" x14ac:dyDescent="0.25">
      <c r="A24" s="273">
        <v>43946</v>
      </c>
      <c r="B24" s="272">
        <v>12836</v>
      </c>
      <c r="C24" s="176">
        <v>46384.56</v>
      </c>
      <c r="D24" s="273"/>
      <c r="E24" s="176"/>
      <c r="F24" s="173">
        <f t="shared" si="0"/>
        <v>569126.09</v>
      </c>
    </row>
    <row r="25" spans="1:6" x14ac:dyDescent="0.25">
      <c r="A25" s="273">
        <v>43947</v>
      </c>
      <c r="B25" s="272">
        <v>12857</v>
      </c>
      <c r="C25" s="176">
        <v>26491.5</v>
      </c>
      <c r="D25" s="273"/>
      <c r="E25" s="176"/>
      <c r="F25" s="173">
        <f t="shared" si="0"/>
        <v>595617.59</v>
      </c>
    </row>
    <row r="26" spans="1:6" x14ac:dyDescent="0.25">
      <c r="A26" s="273">
        <v>43948</v>
      </c>
      <c r="B26" s="272">
        <v>12950</v>
      </c>
      <c r="C26" s="176">
        <v>9954.25</v>
      </c>
      <c r="D26" s="273"/>
      <c r="E26" s="176"/>
      <c r="F26" s="173">
        <f t="shared" si="0"/>
        <v>605571.83999999997</v>
      </c>
    </row>
    <row r="27" spans="1:6" x14ac:dyDescent="0.25">
      <c r="A27" s="273">
        <v>43948</v>
      </c>
      <c r="B27" s="272">
        <v>13009</v>
      </c>
      <c r="C27" s="176">
        <v>109570.43</v>
      </c>
      <c r="D27" s="273"/>
      <c r="E27" s="176"/>
      <c r="F27" s="173">
        <f t="shared" si="0"/>
        <v>715142.27</v>
      </c>
    </row>
    <row r="28" spans="1:6" x14ac:dyDescent="0.25">
      <c r="A28" s="271">
        <v>43949</v>
      </c>
      <c r="B28" s="272">
        <v>13139</v>
      </c>
      <c r="C28" s="176">
        <v>116538.9</v>
      </c>
      <c r="D28" s="273"/>
      <c r="E28" s="176"/>
      <c r="F28" s="173">
        <f t="shared" si="0"/>
        <v>831681.17</v>
      </c>
    </row>
    <row r="29" spans="1:6" x14ac:dyDescent="0.25">
      <c r="A29" s="271">
        <v>43951</v>
      </c>
      <c r="B29" s="272">
        <v>13281</v>
      </c>
      <c r="C29" s="176">
        <v>91567.52</v>
      </c>
      <c r="D29" s="273"/>
      <c r="E29" s="176"/>
      <c r="F29" s="173">
        <f t="shared" si="0"/>
        <v>923248.69000000006</v>
      </c>
    </row>
    <row r="30" spans="1:6" x14ac:dyDescent="0.25">
      <c r="A30" s="271">
        <v>43951</v>
      </c>
      <c r="B30" s="272">
        <v>13309</v>
      </c>
      <c r="C30" s="176">
        <v>3642</v>
      </c>
      <c r="D30" s="273"/>
      <c r="E30" s="176"/>
      <c r="F30" s="173">
        <f t="shared" si="0"/>
        <v>926890.69000000006</v>
      </c>
    </row>
    <row r="31" spans="1:6" x14ac:dyDescent="0.25">
      <c r="A31" s="271">
        <v>43951</v>
      </c>
      <c r="B31" s="272">
        <v>13312</v>
      </c>
      <c r="C31" s="176">
        <v>6496.75</v>
      </c>
      <c r="D31" s="273"/>
      <c r="E31" s="176"/>
      <c r="F31" s="173">
        <f t="shared" si="0"/>
        <v>933387.44000000006</v>
      </c>
    </row>
    <row r="32" spans="1:6" x14ac:dyDescent="0.25">
      <c r="A32" s="271">
        <v>43951</v>
      </c>
      <c r="B32" s="272">
        <v>13376</v>
      </c>
      <c r="C32" s="176">
        <v>2304</v>
      </c>
      <c r="D32" s="273"/>
      <c r="E32" s="176"/>
      <c r="F32" s="173">
        <f t="shared" si="0"/>
        <v>935691.44000000006</v>
      </c>
    </row>
    <row r="33" spans="1:6" x14ac:dyDescent="0.25">
      <c r="A33" s="271">
        <v>43952</v>
      </c>
      <c r="B33" s="272">
        <v>13518</v>
      </c>
      <c r="C33" s="176">
        <v>48057.9</v>
      </c>
      <c r="D33" s="273"/>
      <c r="E33" s="176"/>
      <c r="F33" s="173">
        <f t="shared" si="0"/>
        <v>983749.34000000008</v>
      </c>
    </row>
    <row r="34" spans="1:6" x14ac:dyDescent="0.25">
      <c r="A34" s="271">
        <v>43953</v>
      </c>
      <c r="B34" s="272">
        <v>13565</v>
      </c>
      <c r="C34" s="176">
        <v>3217.5</v>
      </c>
      <c r="D34" s="273"/>
      <c r="E34" s="176"/>
      <c r="F34" s="173">
        <f t="shared" si="0"/>
        <v>986966.84000000008</v>
      </c>
    </row>
    <row r="35" spans="1:6" x14ac:dyDescent="0.25">
      <c r="A35" s="271">
        <v>43953</v>
      </c>
      <c r="B35" s="272">
        <v>13603</v>
      </c>
      <c r="C35" s="176">
        <v>178494.54</v>
      </c>
      <c r="D35" s="273"/>
      <c r="E35" s="176"/>
      <c r="F35" s="173">
        <f t="shared" si="0"/>
        <v>1165461.3800000001</v>
      </c>
    </row>
    <row r="36" spans="1:6" x14ac:dyDescent="0.25">
      <c r="A36" s="271">
        <v>43954</v>
      </c>
      <c r="B36" s="272">
        <v>13673</v>
      </c>
      <c r="C36" s="176">
        <v>4277</v>
      </c>
      <c r="D36" s="273"/>
      <c r="E36" s="176"/>
      <c r="F36" s="173">
        <f t="shared" si="0"/>
        <v>1169738.3800000001</v>
      </c>
    </row>
    <row r="37" spans="1:6" x14ac:dyDescent="0.25">
      <c r="A37" s="271">
        <v>43955</v>
      </c>
      <c r="B37" s="272">
        <v>13809</v>
      </c>
      <c r="C37" s="176">
        <v>96170.7</v>
      </c>
      <c r="D37" s="273">
        <v>43955</v>
      </c>
      <c r="E37" s="176">
        <v>1265909.08</v>
      </c>
      <c r="F37" s="173">
        <f t="shared" si="0"/>
        <v>0</v>
      </c>
    </row>
    <row r="38" spans="1:6" x14ac:dyDescent="0.25">
      <c r="A38" s="271"/>
      <c r="B38" s="272"/>
      <c r="C38" s="176">
        <v>0</v>
      </c>
      <c r="D38" s="273"/>
      <c r="E38" s="176"/>
      <c r="F38" s="173">
        <f t="shared" si="0"/>
        <v>0</v>
      </c>
    </row>
    <row r="39" spans="1:6" x14ac:dyDescent="0.25">
      <c r="A39" s="271"/>
      <c r="B39" s="272"/>
      <c r="C39" s="176">
        <v>0</v>
      </c>
      <c r="D39" s="273"/>
      <c r="E39" s="176"/>
      <c r="F39" s="173">
        <f t="shared" si="0"/>
        <v>0</v>
      </c>
    </row>
    <row r="40" spans="1:6" x14ac:dyDescent="0.25">
      <c r="A40" s="271"/>
      <c r="B40" s="272"/>
      <c r="C40" s="176">
        <v>0</v>
      </c>
      <c r="D40" s="273"/>
      <c r="E40" s="176"/>
      <c r="F40" s="173">
        <f t="shared" si="0"/>
        <v>0</v>
      </c>
    </row>
    <row r="41" spans="1:6" x14ac:dyDescent="0.25">
      <c r="A41" s="271"/>
      <c r="B41" s="272"/>
      <c r="C41" s="176">
        <v>0</v>
      </c>
      <c r="D41" s="273"/>
      <c r="E41" s="176"/>
      <c r="F41" s="173">
        <f t="shared" si="0"/>
        <v>0</v>
      </c>
    </row>
    <row r="42" spans="1:6" x14ac:dyDescent="0.25">
      <c r="A42" s="271"/>
      <c r="B42" s="272"/>
      <c r="C42" s="176">
        <v>0</v>
      </c>
      <c r="D42" s="273"/>
      <c r="E42" s="176"/>
      <c r="F42" s="173">
        <f t="shared" si="0"/>
        <v>0</v>
      </c>
    </row>
    <row r="43" spans="1:6" x14ac:dyDescent="0.25">
      <c r="A43" s="271"/>
      <c r="B43" s="272"/>
      <c r="C43" s="176">
        <v>0</v>
      </c>
      <c r="D43" s="273"/>
      <c r="E43" s="176"/>
      <c r="F43" s="173">
        <f t="shared" si="0"/>
        <v>0</v>
      </c>
    </row>
    <row r="44" spans="1:6" x14ac:dyDescent="0.25">
      <c r="A44" s="271"/>
      <c r="B44" s="272"/>
      <c r="C44" s="176">
        <v>0</v>
      </c>
      <c r="D44" s="273"/>
      <c r="E44" s="176"/>
      <c r="F44" s="173">
        <f>F43+C44-E44</f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1908890.8599999999</v>
      </c>
      <c r="D51" s="1"/>
      <c r="E51" s="4">
        <f>SUM(E3:E50)</f>
        <v>1908890.86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A3AF-F161-456D-829E-06C6D8B90962}">
  <sheetPr>
    <tabColor rgb="FF7030A0"/>
  </sheetPr>
  <dimension ref="A1:AG80"/>
  <sheetViews>
    <sheetView topLeftCell="A33" workbookViewId="0">
      <selection activeCell="H53" sqref="H5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48" t="s">
        <v>280</v>
      </c>
      <c r="D1" s="448"/>
      <c r="E1" s="448"/>
      <c r="F1" s="448"/>
      <c r="G1" s="448"/>
      <c r="H1" s="448"/>
      <c r="I1" s="448"/>
      <c r="J1" s="448"/>
      <c r="K1" s="448"/>
      <c r="L1" s="2"/>
      <c r="M1" s="3"/>
      <c r="AF1" s="462" t="s">
        <v>45</v>
      </c>
      <c r="AG1" s="463"/>
    </row>
    <row r="2" spans="1:33" ht="18" customHeight="1" thickBot="1" x14ac:dyDescent="0.35">
      <c r="C2" s="8"/>
      <c r="E2" s="483" t="s">
        <v>190</v>
      </c>
      <c r="F2" s="483"/>
      <c r="H2" s="233" t="s">
        <v>0</v>
      </c>
      <c r="I2" s="3"/>
      <c r="J2" s="324"/>
      <c r="K2" s="152"/>
      <c r="L2" s="152"/>
      <c r="M2" s="3"/>
      <c r="N2" s="5"/>
      <c r="O2" s="5"/>
      <c r="W2" s="470" t="s">
        <v>4</v>
      </c>
      <c r="X2" s="471"/>
      <c r="AA2" s="467" t="s">
        <v>43</v>
      </c>
      <c r="AB2" s="468"/>
      <c r="AC2" s="469"/>
      <c r="AE2" s="193" t="s">
        <v>44</v>
      </c>
      <c r="AF2" s="464"/>
      <c r="AG2" s="465"/>
    </row>
    <row r="3" spans="1:33" ht="18" customHeight="1" thickBot="1" x14ac:dyDescent="0.35">
      <c r="B3" s="449" t="s">
        <v>1</v>
      </c>
      <c r="C3" s="450"/>
      <c r="D3" s="15"/>
      <c r="E3" s="484"/>
      <c r="F3" s="484"/>
      <c r="I3" s="234" t="s">
        <v>2</v>
      </c>
      <c r="J3" s="325"/>
      <c r="K3" s="236" t="s">
        <v>191</v>
      </c>
      <c r="L3" s="236"/>
      <c r="W3" s="472"/>
      <c r="X3" s="473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307">
        <v>239420.42</v>
      </c>
      <c r="D4" s="308">
        <v>43957</v>
      </c>
      <c r="E4" s="451" t="s">
        <v>6</v>
      </c>
      <c r="F4" s="452"/>
      <c r="H4" s="453" t="s">
        <v>7</v>
      </c>
      <c r="I4" s="454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319">
        <v>43958</v>
      </c>
      <c r="C5" s="320">
        <v>16258.95</v>
      </c>
      <c r="D5" s="309" t="s">
        <v>260</v>
      </c>
      <c r="E5" s="151">
        <v>43958</v>
      </c>
      <c r="F5" s="32">
        <v>58566</v>
      </c>
      <c r="G5" s="152"/>
      <c r="H5" s="153">
        <v>43958</v>
      </c>
      <c r="I5" s="33">
        <v>144.5</v>
      </c>
      <c r="M5" s="34">
        <v>52888</v>
      </c>
      <c r="N5" s="35">
        <v>1155</v>
      </c>
      <c r="O5" s="36"/>
      <c r="P5" s="36">
        <f>C5+I5+M5+N5</f>
        <v>70446.45</v>
      </c>
      <c r="Q5" s="198">
        <f>P5-F5</f>
        <v>11880.449999999997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319">
        <v>43959</v>
      </c>
      <c r="C6" s="320">
        <v>16160</v>
      </c>
      <c r="D6" s="310" t="s">
        <v>205</v>
      </c>
      <c r="E6" s="151">
        <v>43959</v>
      </c>
      <c r="F6" s="32">
        <v>99175</v>
      </c>
      <c r="G6" s="152"/>
      <c r="H6" s="153">
        <v>43959</v>
      </c>
      <c r="I6" s="39">
        <v>10020</v>
      </c>
      <c r="J6" s="60">
        <v>43959</v>
      </c>
      <c r="K6" s="342" t="s">
        <v>287</v>
      </c>
      <c r="L6" s="55">
        <v>6055</v>
      </c>
      <c r="M6" s="34">
        <v>62290</v>
      </c>
      <c r="N6" s="35">
        <v>4650</v>
      </c>
      <c r="O6" s="276"/>
      <c r="P6" s="36">
        <f>C6+I6+M6+N6+L6</f>
        <v>99175</v>
      </c>
      <c r="Q6" s="5">
        <f>P6-F6</f>
        <v>0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319">
        <v>43960</v>
      </c>
      <c r="C7" s="320">
        <v>7496</v>
      </c>
      <c r="D7" s="311" t="s">
        <v>75</v>
      </c>
      <c r="E7" s="151">
        <v>43960</v>
      </c>
      <c r="F7" s="32">
        <v>131687</v>
      </c>
      <c r="G7" s="152"/>
      <c r="H7" s="153">
        <v>43960</v>
      </c>
      <c r="I7" s="39">
        <v>280</v>
      </c>
      <c r="J7" s="328"/>
      <c r="K7" s="46" t="s">
        <v>13</v>
      </c>
      <c r="L7" s="47">
        <v>0</v>
      </c>
      <c r="M7" s="34">
        <v>105580</v>
      </c>
      <c r="N7" s="35">
        <v>6514</v>
      </c>
      <c r="O7" s="127" t="s">
        <v>12</v>
      </c>
      <c r="P7" s="36">
        <f>C7+I7+M7+N7+L12</f>
        <v>140332.88</v>
      </c>
      <c r="Q7" s="201">
        <f>P7-F7</f>
        <v>8645.8800000000047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319">
        <v>43961</v>
      </c>
      <c r="C8" s="320">
        <v>3967</v>
      </c>
      <c r="D8" s="312" t="s">
        <v>69</v>
      </c>
      <c r="E8" s="151">
        <v>43961</v>
      </c>
      <c r="F8" s="32">
        <v>137302</v>
      </c>
      <c r="G8" s="152"/>
      <c r="H8" s="153">
        <v>43961</v>
      </c>
      <c r="I8" s="39">
        <v>0</v>
      </c>
      <c r="J8" s="329">
        <v>43982</v>
      </c>
      <c r="K8" s="49" t="s">
        <v>14</v>
      </c>
      <c r="L8" s="50">
        <v>27661</v>
      </c>
      <c r="M8" s="258">
        <v>126950</v>
      </c>
      <c r="N8" s="35">
        <v>6386</v>
      </c>
      <c r="O8" s="276" t="s">
        <v>220</v>
      </c>
      <c r="P8" s="36">
        <f>C8+I8+M8+N8</f>
        <v>137303</v>
      </c>
      <c r="Q8" s="5">
        <f>P8-F8</f>
        <v>1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319">
        <v>43962</v>
      </c>
      <c r="C9" s="320">
        <v>0</v>
      </c>
      <c r="D9" s="313"/>
      <c r="E9" s="151">
        <v>43962</v>
      </c>
      <c r="F9" s="32">
        <v>68101</v>
      </c>
      <c r="G9" s="152"/>
      <c r="H9" s="153">
        <v>43962</v>
      </c>
      <c r="I9" s="39">
        <v>180</v>
      </c>
      <c r="J9" s="329">
        <v>43981</v>
      </c>
      <c r="K9" s="20" t="s">
        <v>15</v>
      </c>
      <c r="L9" s="52">
        <v>20000</v>
      </c>
      <c r="M9" s="34">
        <v>66800</v>
      </c>
      <c r="N9" s="35">
        <v>1124</v>
      </c>
      <c r="O9" s="276"/>
      <c r="P9" s="36">
        <f>C9+I9+M9+N9</f>
        <v>68104</v>
      </c>
      <c r="Q9" s="5">
        <f t="shared" ref="Q9:Q11" si="0">P9-F9</f>
        <v>3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319">
        <v>43963</v>
      </c>
      <c r="C10" s="320">
        <v>1684</v>
      </c>
      <c r="D10" s="311" t="s">
        <v>48</v>
      </c>
      <c r="E10" s="151">
        <v>43963</v>
      </c>
      <c r="F10" s="32">
        <v>55590</v>
      </c>
      <c r="G10" s="152"/>
      <c r="H10" s="153">
        <v>43963</v>
      </c>
      <c r="I10" s="39">
        <v>76</v>
      </c>
      <c r="J10" s="330"/>
      <c r="K10" s="54"/>
      <c r="L10" s="55"/>
      <c r="M10" s="34">
        <v>48306</v>
      </c>
      <c r="N10" s="35">
        <v>5524</v>
      </c>
      <c r="O10" s="127"/>
      <c r="P10" s="36">
        <f>C10+I10+M10+N10+L11</f>
        <v>55590</v>
      </c>
      <c r="Q10" s="5">
        <f t="shared" si="0"/>
        <v>0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319">
        <v>43964</v>
      </c>
      <c r="C11" s="320">
        <v>1691</v>
      </c>
      <c r="D11" s="310" t="s">
        <v>288</v>
      </c>
      <c r="E11" s="151">
        <v>43964</v>
      </c>
      <c r="F11" s="32">
        <v>81336</v>
      </c>
      <c r="G11" s="152"/>
      <c r="H11" s="153">
        <v>43964</v>
      </c>
      <c r="I11" s="39">
        <v>0</v>
      </c>
      <c r="J11" s="331"/>
      <c r="K11" s="57"/>
      <c r="L11" s="55"/>
      <c r="M11" s="34">
        <v>77190</v>
      </c>
      <c r="N11" s="35">
        <v>2455</v>
      </c>
      <c r="O11" s="276"/>
      <c r="P11" s="36">
        <f>C11+I11+M11+N11</f>
        <v>81336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319">
        <v>43965</v>
      </c>
      <c r="C12" s="320">
        <v>5660</v>
      </c>
      <c r="D12" s="310" t="s">
        <v>289</v>
      </c>
      <c r="E12" s="151">
        <v>43965</v>
      </c>
      <c r="F12" s="32">
        <v>60000</v>
      </c>
      <c r="G12" s="152"/>
      <c r="H12" s="153">
        <v>43965</v>
      </c>
      <c r="I12" s="39">
        <v>0</v>
      </c>
      <c r="J12" s="60">
        <v>43960</v>
      </c>
      <c r="K12" s="20" t="s">
        <v>242</v>
      </c>
      <c r="L12" s="55">
        <f>16062.88+4000+400</f>
        <v>20462.879999999997</v>
      </c>
      <c r="M12" s="34">
        <v>50100</v>
      </c>
      <c r="N12" s="35">
        <v>4244</v>
      </c>
      <c r="O12" s="298"/>
      <c r="P12" s="36">
        <f>C12+I12+M12+N12</f>
        <v>60004</v>
      </c>
      <c r="Q12" s="5">
        <f>P12-F12</f>
        <v>4</v>
      </c>
      <c r="S12" s="58">
        <v>8645.8799999999992</v>
      </c>
      <c r="T12" s="61" t="s">
        <v>242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319">
        <v>43966</v>
      </c>
      <c r="C13" s="320">
        <v>1749</v>
      </c>
      <c r="D13" s="312" t="s">
        <v>73</v>
      </c>
      <c r="E13" s="151">
        <v>43966</v>
      </c>
      <c r="F13" s="32">
        <v>97199</v>
      </c>
      <c r="G13" s="152"/>
      <c r="H13" s="153">
        <v>43966</v>
      </c>
      <c r="I13" s="39">
        <v>12090</v>
      </c>
      <c r="J13" s="60">
        <v>43967</v>
      </c>
      <c r="K13" s="20" t="s">
        <v>281</v>
      </c>
      <c r="L13" s="55">
        <f>400+14894.75+4000</f>
        <v>19294.75</v>
      </c>
      <c r="M13" s="34">
        <v>77194</v>
      </c>
      <c r="N13" s="35">
        <v>5499</v>
      </c>
      <c r="O13" s="276"/>
      <c r="P13" s="36">
        <f>C13+I13+M13+N13+L19</f>
        <v>97199</v>
      </c>
      <c r="Q13" s="5">
        <f>P13-F13</f>
        <v>0</v>
      </c>
      <c r="S13" s="58">
        <v>8844.75</v>
      </c>
      <c r="T13" s="61" t="s">
        <v>281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319">
        <v>43967</v>
      </c>
      <c r="C14" s="320">
        <v>1884</v>
      </c>
      <c r="D14" s="311" t="s">
        <v>83</v>
      </c>
      <c r="E14" s="151">
        <v>43967</v>
      </c>
      <c r="F14" s="32">
        <v>97099</v>
      </c>
      <c r="G14" s="152"/>
      <c r="H14" s="153">
        <v>43967</v>
      </c>
      <c r="I14" s="39">
        <v>650</v>
      </c>
      <c r="J14" s="60">
        <v>43974</v>
      </c>
      <c r="K14" s="20" t="s">
        <v>282</v>
      </c>
      <c r="L14" s="55">
        <f>13733.35+400+4000</f>
        <v>18133.349999999999</v>
      </c>
      <c r="M14" s="258">
        <v>79236</v>
      </c>
      <c r="N14" s="35">
        <v>4879</v>
      </c>
      <c r="O14" s="276" t="s">
        <v>220</v>
      </c>
      <c r="P14" s="36">
        <f>C14+I14+M14+N14+L7+L13</f>
        <v>105943.75</v>
      </c>
      <c r="Q14" s="201">
        <f>P14-F14</f>
        <v>8844.75</v>
      </c>
      <c r="S14" s="58">
        <v>8693.35</v>
      </c>
      <c r="T14" s="61" t="s">
        <v>282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319">
        <v>43968</v>
      </c>
      <c r="C15" s="320">
        <v>7269</v>
      </c>
      <c r="D15" s="310" t="s">
        <v>291</v>
      </c>
      <c r="E15" s="151">
        <v>43968</v>
      </c>
      <c r="F15" s="32">
        <v>68209</v>
      </c>
      <c r="G15" s="152"/>
      <c r="H15" s="153">
        <v>43968</v>
      </c>
      <c r="I15" s="39">
        <v>66</v>
      </c>
      <c r="J15" s="60">
        <v>43981</v>
      </c>
      <c r="K15" s="20" t="s">
        <v>283</v>
      </c>
      <c r="L15" s="55">
        <f>13951.89+4000+400</f>
        <v>18351.89</v>
      </c>
      <c r="M15" s="34">
        <v>56511</v>
      </c>
      <c r="N15" s="35">
        <v>4363</v>
      </c>
      <c r="O15" s="276"/>
      <c r="P15" s="36">
        <f t="shared" ref="P15:P18" si="1">C15+I15+M15+N15</f>
        <v>68209</v>
      </c>
      <c r="Q15" s="5">
        <f t="shared" ref="Q15:Q38" si="2">P15-F15</f>
        <v>0</v>
      </c>
      <c r="S15" s="58">
        <v>8844.89</v>
      </c>
      <c r="T15" s="61" t="s">
        <v>285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319">
        <v>43969</v>
      </c>
      <c r="C16" s="320">
        <v>1337</v>
      </c>
      <c r="D16" s="310" t="s">
        <v>72</v>
      </c>
      <c r="E16" s="151">
        <v>43969</v>
      </c>
      <c r="F16" s="32">
        <v>63425</v>
      </c>
      <c r="G16" s="152"/>
      <c r="H16" s="153">
        <v>43969</v>
      </c>
      <c r="I16" s="39">
        <v>0</v>
      </c>
      <c r="J16" s="60"/>
      <c r="K16" s="20" t="s">
        <v>140</v>
      </c>
      <c r="L16" s="5">
        <v>0</v>
      </c>
      <c r="M16" s="34">
        <v>59802</v>
      </c>
      <c r="N16" s="35">
        <v>2286</v>
      </c>
      <c r="O16" s="276"/>
      <c r="P16" s="36">
        <f t="shared" si="1"/>
        <v>63425</v>
      </c>
      <c r="Q16" s="5">
        <f t="shared" si="2"/>
        <v>0</v>
      </c>
      <c r="S16" s="58">
        <v>0</v>
      </c>
      <c r="T16" s="61" t="s">
        <v>140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319">
        <v>43970</v>
      </c>
      <c r="C17" s="320">
        <v>3783</v>
      </c>
      <c r="D17" s="312" t="s">
        <v>69</v>
      </c>
      <c r="E17" s="151">
        <v>43970</v>
      </c>
      <c r="F17" s="32">
        <v>66017</v>
      </c>
      <c r="G17" s="152"/>
      <c r="H17" s="153">
        <v>43970</v>
      </c>
      <c r="I17" s="39">
        <v>326</v>
      </c>
      <c r="J17" s="67"/>
      <c r="K17" s="20" t="s">
        <v>284</v>
      </c>
      <c r="L17" s="68">
        <v>0</v>
      </c>
      <c r="M17" s="258">
        <v>58260</v>
      </c>
      <c r="N17" s="35">
        <v>3648</v>
      </c>
      <c r="O17" s="276" t="s">
        <v>220</v>
      </c>
      <c r="P17" s="36">
        <f t="shared" si="1"/>
        <v>66017</v>
      </c>
      <c r="Q17" s="5">
        <f t="shared" si="2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319">
        <v>43971</v>
      </c>
      <c r="C18" s="320">
        <v>1352</v>
      </c>
      <c r="D18" s="310" t="s">
        <v>83</v>
      </c>
      <c r="E18" s="151">
        <v>43971</v>
      </c>
      <c r="F18" s="32">
        <v>54970</v>
      </c>
      <c r="G18" s="152"/>
      <c r="H18" s="153">
        <v>43971</v>
      </c>
      <c r="I18" s="39">
        <v>0</v>
      </c>
      <c r="J18" s="67"/>
      <c r="K18" s="71"/>
      <c r="L18" s="55"/>
      <c r="M18" s="258">
        <v>51082</v>
      </c>
      <c r="N18" s="35">
        <v>2536</v>
      </c>
      <c r="O18" s="276" t="s">
        <v>220</v>
      </c>
      <c r="P18" s="36">
        <f t="shared" si="1"/>
        <v>54970</v>
      </c>
      <c r="Q18" s="5">
        <f t="shared" si="2"/>
        <v>0</v>
      </c>
      <c r="S18" s="5">
        <f>SUM(S11:S17)</f>
        <v>35028.869999999995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319">
        <v>43972</v>
      </c>
      <c r="C19" s="320">
        <v>2429</v>
      </c>
      <c r="D19" s="310" t="s">
        <v>172</v>
      </c>
      <c r="E19" s="151">
        <v>43972</v>
      </c>
      <c r="F19" s="32">
        <v>54820</v>
      </c>
      <c r="G19" s="152"/>
      <c r="H19" s="153">
        <v>43972</v>
      </c>
      <c r="I19" s="39">
        <v>0</v>
      </c>
      <c r="J19" s="67">
        <v>43966</v>
      </c>
      <c r="K19" s="72" t="s">
        <v>290</v>
      </c>
      <c r="L19" s="73">
        <v>667</v>
      </c>
      <c r="M19" s="34">
        <f>48971+3198</f>
        <v>52169</v>
      </c>
      <c r="N19" s="35">
        <v>1077</v>
      </c>
      <c r="O19" s="276"/>
      <c r="P19" s="36">
        <f>C19+I19+M19+N19</f>
        <v>55675</v>
      </c>
      <c r="Q19" s="198">
        <f t="shared" si="2"/>
        <v>855</v>
      </c>
      <c r="R19" s="5" t="s">
        <v>292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319">
        <v>43973</v>
      </c>
      <c r="C20" s="320">
        <v>1037</v>
      </c>
      <c r="D20" s="310" t="s">
        <v>72</v>
      </c>
      <c r="E20" s="151">
        <v>43973</v>
      </c>
      <c r="F20" s="32">
        <v>91118</v>
      </c>
      <c r="G20" s="152"/>
      <c r="H20" s="153">
        <v>43973</v>
      </c>
      <c r="I20" s="39">
        <v>12020</v>
      </c>
      <c r="J20" s="60">
        <v>43973</v>
      </c>
      <c r="K20" s="220" t="s">
        <v>293</v>
      </c>
      <c r="L20" s="68">
        <v>10000</v>
      </c>
      <c r="M20" s="34">
        <v>62807</v>
      </c>
      <c r="N20" s="35">
        <v>5254</v>
      </c>
      <c r="O20" s="276"/>
      <c r="P20" s="36">
        <f>C20+I20+M20+N20+L20</f>
        <v>91118</v>
      </c>
      <c r="Q20" s="5">
        <f t="shared" si="2"/>
        <v>0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>
        <v>43966</v>
      </c>
      <c r="AC20" s="21">
        <v>2000</v>
      </c>
    </row>
    <row r="21" spans="1:29" ht="16.5" thickBot="1" x14ac:dyDescent="0.3">
      <c r="A21" s="30"/>
      <c r="B21" s="319">
        <v>43974</v>
      </c>
      <c r="C21" s="320">
        <v>4845</v>
      </c>
      <c r="D21" s="310" t="s">
        <v>294</v>
      </c>
      <c r="E21" s="151">
        <v>43974</v>
      </c>
      <c r="F21" s="32">
        <v>94169</v>
      </c>
      <c r="G21" s="152"/>
      <c r="H21" s="153">
        <v>43974</v>
      </c>
      <c r="I21" s="39">
        <v>0</v>
      </c>
      <c r="J21" s="67"/>
      <c r="K21" s="74"/>
      <c r="L21" s="68"/>
      <c r="M21" s="34">
        <v>76741</v>
      </c>
      <c r="N21" s="35">
        <v>3143</v>
      </c>
      <c r="O21" s="276"/>
      <c r="P21" s="36">
        <f>C21+I21+M21+N21+L21+L14</f>
        <v>102862.35</v>
      </c>
      <c r="Q21" s="201">
        <f t="shared" si="2"/>
        <v>8693.3500000000058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>
        <v>43973</v>
      </c>
      <c r="AC21" s="21">
        <v>2000</v>
      </c>
    </row>
    <row r="22" spans="1:29" ht="15.75" thickBot="1" x14ac:dyDescent="0.3">
      <c r="A22" s="30"/>
      <c r="B22" s="319">
        <v>43975</v>
      </c>
      <c r="C22" s="320">
        <v>1004</v>
      </c>
      <c r="D22" s="310" t="s">
        <v>72</v>
      </c>
      <c r="E22" s="151">
        <v>43975</v>
      </c>
      <c r="F22" s="32">
        <v>103977</v>
      </c>
      <c r="G22" s="152"/>
      <c r="H22" s="153">
        <v>43975</v>
      </c>
      <c r="I22" s="39">
        <v>1240</v>
      </c>
      <c r="J22" s="76"/>
      <c r="K22" s="59"/>
      <c r="L22" s="77"/>
      <c r="M22" s="258">
        <v>97737</v>
      </c>
      <c r="N22" s="35">
        <v>3996</v>
      </c>
      <c r="O22" s="276" t="s">
        <v>220</v>
      </c>
      <c r="P22" s="36">
        <f>C22+I22+M22+N22</f>
        <v>103977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>
        <v>43978</v>
      </c>
      <c r="AC22" s="21">
        <v>2000</v>
      </c>
    </row>
    <row r="23" spans="1:29" ht="15.75" thickBot="1" x14ac:dyDescent="0.3">
      <c r="A23" s="30"/>
      <c r="B23" s="319">
        <v>43976</v>
      </c>
      <c r="C23" s="320">
        <v>1195</v>
      </c>
      <c r="D23" s="310" t="s">
        <v>72</v>
      </c>
      <c r="E23" s="151">
        <v>43976</v>
      </c>
      <c r="F23" s="32">
        <v>57229</v>
      </c>
      <c r="G23" s="152"/>
      <c r="H23" s="153">
        <v>43976</v>
      </c>
      <c r="I23" s="39">
        <v>0</v>
      </c>
      <c r="J23" s="284"/>
      <c r="K23" s="289"/>
      <c r="L23" s="285"/>
      <c r="M23" s="34">
        <v>54097</v>
      </c>
      <c r="N23" s="35">
        <v>1937</v>
      </c>
      <c r="O23" s="257"/>
      <c r="P23" s="36">
        <f>C23+I23+M23+N23</f>
        <v>57229</v>
      </c>
      <c r="Q23" s="5">
        <f>P23-F23</f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>
        <v>43985</v>
      </c>
      <c r="AC23" s="21">
        <v>2000</v>
      </c>
    </row>
    <row r="24" spans="1:29" ht="15.75" thickBot="1" x14ac:dyDescent="0.3">
      <c r="A24" s="30"/>
      <c r="B24" s="319">
        <v>43977</v>
      </c>
      <c r="C24" s="320">
        <v>3689.5</v>
      </c>
      <c r="D24" s="310" t="s">
        <v>48</v>
      </c>
      <c r="E24" s="151">
        <v>43977</v>
      </c>
      <c r="F24" s="32">
        <v>51348</v>
      </c>
      <c r="G24" s="152"/>
      <c r="H24" s="153">
        <v>43977</v>
      </c>
      <c r="I24" s="39">
        <v>76</v>
      </c>
      <c r="J24" s="286"/>
      <c r="K24" s="297"/>
      <c r="L24" s="291"/>
      <c r="M24" s="34">
        <v>46226.5</v>
      </c>
      <c r="N24" s="35">
        <v>1356</v>
      </c>
      <c r="O24" s="276"/>
      <c r="P24" s="36">
        <f>C24+I24+M24+N24</f>
        <v>51348</v>
      </c>
      <c r="Q24" s="5">
        <f t="shared" ref="Q24:Q32" si="3">P24-F24</f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319">
        <v>43978</v>
      </c>
      <c r="C25" s="320">
        <v>3928</v>
      </c>
      <c r="D25" s="310" t="s">
        <v>295</v>
      </c>
      <c r="E25" s="151">
        <v>43978</v>
      </c>
      <c r="F25" s="32">
        <v>52888</v>
      </c>
      <c r="G25" s="152"/>
      <c r="H25" s="153">
        <v>43978</v>
      </c>
      <c r="I25" s="39">
        <v>2000</v>
      </c>
      <c r="J25" s="287"/>
      <c r="K25" s="163"/>
      <c r="L25" s="102" t="s">
        <v>12</v>
      </c>
      <c r="M25" s="34">
        <v>44791</v>
      </c>
      <c r="N25" s="35">
        <v>2169</v>
      </c>
      <c r="O25" s="276"/>
      <c r="P25" s="36">
        <f>C25+I25+M25+N25</f>
        <v>52888</v>
      </c>
      <c r="Q25" s="5">
        <f t="shared" si="3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319">
        <v>43979</v>
      </c>
      <c r="C26" s="320">
        <v>1214</v>
      </c>
      <c r="D26" s="310" t="s">
        <v>72</v>
      </c>
      <c r="E26" s="151">
        <v>43979</v>
      </c>
      <c r="F26" s="32">
        <v>69439</v>
      </c>
      <c r="G26" s="152"/>
      <c r="H26" s="153">
        <v>43979</v>
      </c>
      <c r="I26" s="39">
        <v>0</v>
      </c>
      <c r="J26" s="67"/>
      <c r="K26" s="290"/>
      <c r="L26" s="285"/>
      <c r="M26" s="34">
        <v>65617</v>
      </c>
      <c r="N26" s="35">
        <v>2608</v>
      </c>
      <c r="O26" s="276"/>
      <c r="P26" s="36">
        <f>C26+I26+M26+N26</f>
        <v>69439</v>
      </c>
      <c r="Q26" s="5">
        <f t="shared" si="3"/>
        <v>0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319">
        <v>43980</v>
      </c>
      <c r="C27" s="320">
        <v>1249</v>
      </c>
      <c r="D27" s="310" t="s">
        <v>72</v>
      </c>
      <c r="E27" s="151">
        <v>43980</v>
      </c>
      <c r="F27" s="32">
        <v>88939</v>
      </c>
      <c r="G27" s="152"/>
      <c r="H27" s="153">
        <v>43980</v>
      </c>
      <c r="I27" s="39">
        <v>10020</v>
      </c>
      <c r="J27" s="217" t="s">
        <v>306</v>
      </c>
      <c r="K27" s="295" t="s">
        <v>224</v>
      </c>
      <c r="L27" s="102">
        <v>10000</v>
      </c>
      <c r="M27" s="34">
        <v>73096</v>
      </c>
      <c r="N27" s="35">
        <v>4574</v>
      </c>
      <c r="O27" s="276"/>
      <c r="P27" s="36">
        <f>C27+I27+M27+N27+L16</f>
        <v>88939</v>
      </c>
      <c r="Q27" s="5">
        <f t="shared" si="3"/>
        <v>0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319">
        <v>43981</v>
      </c>
      <c r="C28" s="320">
        <v>3526</v>
      </c>
      <c r="D28" s="314" t="s">
        <v>296</v>
      </c>
      <c r="E28" s="151">
        <v>43981</v>
      </c>
      <c r="F28" s="32">
        <v>104048</v>
      </c>
      <c r="G28" s="152"/>
      <c r="H28" s="153">
        <v>43981</v>
      </c>
      <c r="I28" s="39">
        <v>0</v>
      </c>
      <c r="J28" s="217" t="s">
        <v>306</v>
      </c>
      <c r="K28" s="294" t="s">
        <v>307</v>
      </c>
      <c r="L28" s="102">
        <f>9345+10260</f>
        <v>19605</v>
      </c>
      <c r="M28" s="258">
        <v>64686</v>
      </c>
      <c r="N28" s="35">
        <v>6329</v>
      </c>
      <c r="O28" s="276" t="s">
        <v>220</v>
      </c>
      <c r="P28" s="36">
        <f>C28+I28+M28+N28+L9+L15</f>
        <v>112892.89</v>
      </c>
      <c r="Q28" s="201">
        <f t="shared" si="3"/>
        <v>8844.89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319">
        <v>43982</v>
      </c>
      <c r="C29" s="320">
        <v>10272</v>
      </c>
      <c r="D29" s="315" t="s">
        <v>297</v>
      </c>
      <c r="E29" s="151">
        <v>43982</v>
      </c>
      <c r="F29" s="32">
        <v>79829</v>
      </c>
      <c r="G29" s="152"/>
      <c r="H29" s="153">
        <v>43982</v>
      </c>
      <c r="I29" s="39">
        <v>0</v>
      </c>
      <c r="J29" s="217" t="s">
        <v>306</v>
      </c>
      <c r="K29" s="163" t="s">
        <v>243</v>
      </c>
      <c r="L29" s="102">
        <v>1856</v>
      </c>
      <c r="M29" s="34">
        <v>65660</v>
      </c>
      <c r="N29" s="35">
        <v>3897</v>
      </c>
      <c r="O29" s="276"/>
      <c r="P29" s="36">
        <f>C29+I29+M29+N29</f>
        <v>79829</v>
      </c>
      <c r="Q29" s="5">
        <f>P29-F29+L16</f>
        <v>0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319">
        <v>43983</v>
      </c>
      <c r="C30" s="320">
        <v>2838</v>
      </c>
      <c r="D30" s="315" t="s">
        <v>298</v>
      </c>
      <c r="E30" s="151">
        <v>43983</v>
      </c>
      <c r="F30" s="32">
        <v>64377</v>
      </c>
      <c r="G30" s="152"/>
      <c r="H30" s="153">
        <v>43983</v>
      </c>
      <c r="I30" s="244">
        <v>0</v>
      </c>
      <c r="J30" s="217" t="s">
        <v>306</v>
      </c>
      <c r="K30" s="296" t="s">
        <v>310</v>
      </c>
      <c r="L30" s="293">
        <v>4162.8999999999996</v>
      </c>
      <c r="M30" s="34">
        <v>56729</v>
      </c>
      <c r="N30" s="35">
        <v>4810</v>
      </c>
      <c r="O30" s="276"/>
      <c r="P30" s="36">
        <f>C30+I30+M30+N30</f>
        <v>64377</v>
      </c>
      <c r="Q30" s="5">
        <f t="shared" si="3"/>
        <v>0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319">
        <v>43984</v>
      </c>
      <c r="C31" s="321">
        <v>1475.5</v>
      </c>
      <c r="D31" s="315" t="s">
        <v>210</v>
      </c>
      <c r="E31" s="151">
        <v>43984</v>
      </c>
      <c r="F31" s="32">
        <v>96728</v>
      </c>
      <c r="G31" s="152"/>
      <c r="H31" s="153">
        <v>43984</v>
      </c>
      <c r="I31" s="244">
        <v>38</v>
      </c>
      <c r="J31" s="217" t="s">
        <v>306</v>
      </c>
      <c r="K31" s="163" t="s">
        <v>311</v>
      </c>
      <c r="L31" s="102">
        <v>21723.21</v>
      </c>
      <c r="M31" s="34">
        <f>66872+25735.5</f>
        <v>92607.5</v>
      </c>
      <c r="N31" s="35">
        <v>2608</v>
      </c>
      <c r="O31" s="276" t="s">
        <v>220</v>
      </c>
      <c r="P31" s="36">
        <f t="shared" ref="P31" si="4">C31+I31+M31+N31+L18</f>
        <v>96729</v>
      </c>
      <c r="Q31" s="5">
        <f t="shared" si="3"/>
        <v>1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319">
        <v>43985</v>
      </c>
      <c r="C32" s="321">
        <v>4914</v>
      </c>
      <c r="D32" s="315" t="s">
        <v>299</v>
      </c>
      <c r="E32" s="151">
        <v>43985</v>
      </c>
      <c r="F32" s="237">
        <v>62983</v>
      </c>
      <c r="G32" s="152"/>
      <c r="H32" s="153">
        <v>43985</v>
      </c>
      <c r="I32" s="244">
        <v>2140</v>
      </c>
      <c r="J32" s="217" t="s">
        <v>306</v>
      </c>
      <c r="K32" s="164" t="s">
        <v>312</v>
      </c>
      <c r="L32" s="102">
        <v>1276</v>
      </c>
      <c r="M32" s="34">
        <v>53120</v>
      </c>
      <c r="N32" s="35">
        <v>2809</v>
      </c>
      <c r="O32" s="276"/>
      <c r="P32" s="36">
        <f>C32+I32+M32+N32</f>
        <v>62983</v>
      </c>
      <c r="Q32" s="5">
        <f t="shared" si="3"/>
        <v>0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380">
        <v>43962</v>
      </c>
      <c r="C33" s="348">
        <v>4427.3599999999997</v>
      </c>
      <c r="D33" s="345" t="s">
        <v>321</v>
      </c>
      <c r="E33" s="151"/>
      <c r="F33" s="176"/>
      <c r="G33" s="152"/>
      <c r="H33" s="153"/>
      <c r="I33" s="244"/>
      <c r="J33" s="217" t="s">
        <v>306</v>
      </c>
      <c r="K33" s="164" t="s">
        <v>313</v>
      </c>
      <c r="L33" s="102">
        <v>49250</v>
      </c>
      <c r="M33" s="34">
        <v>0</v>
      </c>
      <c r="N33" s="35">
        <v>0</v>
      </c>
      <c r="O33" s="276"/>
      <c r="P33" s="36">
        <f>C33+I33+M33+N33</f>
        <v>4427.3599999999997</v>
      </c>
      <c r="Q33" s="5">
        <f t="shared" si="2"/>
        <v>4427.3599999999997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380">
        <v>43964</v>
      </c>
      <c r="C34" s="348">
        <v>14185.64</v>
      </c>
      <c r="D34" s="346" t="s">
        <v>321</v>
      </c>
      <c r="E34" s="151"/>
      <c r="F34" s="176"/>
      <c r="G34" s="152"/>
      <c r="H34" s="153"/>
      <c r="I34" s="244"/>
      <c r="J34" s="217" t="s">
        <v>306</v>
      </c>
      <c r="K34" s="163" t="s">
        <v>135</v>
      </c>
      <c r="L34" s="102">
        <v>1315.86</v>
      </c>
      <c r="M34" s="34">
        <v>0</v>
      </c>
      <c r="N34" s="35">
        <v>0</v>
      </c>
      <c r="O34" s="276"/>
      <c r="P34" s="36">
        <f>C34+I34+M34+N34+L17</f>
        <v>14185.64</v>
      </c>
      <c r="Q34" s="5">
        <f t="shared" si="2"/>
        <v>14185.64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380">
        <v>43967</v>
      </c>
      <c r="C35" s="348">
        <v>19476.66</v>
      </c>
      <c r="D35" s="346" t="s">
        <v>321</v>
      </c>
      <c r="E35" s="151"/>
      <c r="F35" s="176"/>
      <c r="G35" s="152"/>
      <c r="H35" s="153"/>
      <c r="I35" s="244"/>
      <c r="J35" s="217" t="s">
        <v>306</v>
      </c>
      <c r="K35" s="164" t="s">
        <v>308</v>
      </c>
      <c r="L35" s="292">
        <v>1700.75</v>
      </c>
      <c r="M35" s="34">
        <v>0</v>
      </c>
      <c r="N35" s="35">
        <v>0</v>
      </c>
      <c r="O35" s="276"/>
      <c r="P35" s="36">
        <f>C35+I35+M35+N35</f>
        <v>19476.66</v>
      </c>
      <c r="Q35" s="5">
        <f t="shared" si="2"/>
        <v>19476.66</v>
      </c>
      <c r="R35" s="36"/>
      <c r="V35" s="29">
        <v>43959</v>
      </c>
      <c r="W35" s="44" t="s">
        <v>11</v>
      </c>
      <c r="X35" s="196">
        <v>5010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381">
        <v>43973</v>
      </c>
      <c r="C36" s="348">
        <v>12944.75</v>
      </c>
      <c r="D36" s="346" t="s">
        <v>321</v>
      </c>
      <c r="E36" s="151"/>
      <c r="F36" s="176"/>
      <c r="G36" s="152"/>
      <c r="H36" s="153"/>
      <c r="I36" s="244"/>
      <c r="J36" s="217" t="s">
        <v>306</v>
      </c>
      <c r="K36" s="163" t="s">
        <v>309</v>
      </c>
      <c r="L36" s="102">
        <v>3432.6</v>
      </c>
      <c r="M36" s="34">
        <v>0</v>
      </c>
      <c r="N36" s="35">
        <v>0</v>
      </c>
      <c r="O36" s="276"/>
      <c r="P36" s="36">
        <f>C36+I36+M36+N36</f>
        <v>12944.75</v>
      </c>
      <c r="Q36" s="5">
        <f t="shared" si="2"/>
        <v>12944.75</v>
      </c>
      <c r="R36" s="36"/>
      <c r="V36" s="29">
        <v>43959</v>
      </c>
      <c r="W36" s="38" t="s">
        <v>10</v>
      </c>
      <c r="X36" s="196">
        <v>5010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381">
        <v>43974</v>
      </c>
      <c r="C37" s="349">
        <v>10687.84</v>
      </c>
      <c r="D37" s="346" t="s">
        <v>321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f>C37+I37+M37+N37</f>
        <v>10687.84</v>
      </c>
      <c r="Q37" s="5">
        <f t="shared" si="2"/>
        <v>10687.84</v>
      </c>
      <c r="R37" s="36"/>
      <c r="V37" s="29">
        <v>43966</v>
      </c>
      <c r="W37" s="44" t="s">
        <v>11</v>
      </c>
      <c r="X37" s="196">
        <v>5010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381">
        <v>43977</v>
      </c>
      <c r="C38" s="350">
        <v>14173.83</v>
      </c>
      <c r="D38" s="346" t="s">
        <v>321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104">
        <f>C38+I38+M38+N38</f>
        <v>14173.83</v>
      </c>
      <c r="Q38" s="104">
        <f t="shared" si="2"/>
        <v>14173.83</v>
      </c>
      <c r="R38" s="36"/>
      <c r="V38" s="29">
        <v>43966</v>
      </c>
      <c r="W38" s="38" t="s">
        <v>10</v>
      </c>
      <c r="X38" s="196">
        <v>5010</v>
      </c>
      <c r="Y38" s="41"/>
      <c r="AA38" s="19" t="s">
        <v>157</v>
      </c>
      <c r="AB38" s="167"/>
      <c r="AC38" s="21">
        <v>0</v>
      </c>
    </row>
    <row r="39" spans="1:29" ht="15.75" thickBot="1" x14ac:dyDescent="0.3">
      <c r="A39" s="30"/>
      <c r="B39" s="390">
        <v>43979</v>
      </c>
      <c r="C39" s="350">
        <v>18454.64</v>
      </c>
      <c r="D39" s="346" t="s">
        <v>321</v>
      </c>
      <c r="E39" s="151"/>
      <c r="F39" s="36"/>
      <c r="G39" s="152"/>
      <c r="H39" s="153"/>
      <c r="I39" s="344"/>
      <c r="J39" s="217"/>
      <c r="K39" s="229"/>
      <c r="L39" s="288"/>
      <c r="M39" s="34"/>
      <c r="N39" s="35"/>
      <c r="O39" s="276"/>
      <c r="P39" s="36"/>
      <c r="Q39" s="36"/>
      <c r="R39" s="36"/>
      <c r="V39" s="29"/>
      <c r="W39" s="38"/>
      <c r="X39" s="196"/>
      <c r="Y39" s="41"/>
      <c r="AA39" s="19"/>
      <c r="AB39" s="167"/>
      <c r="AC39" s="21"/>
    </row>
    <row r="40" spans="1:29" ht="15.75" thickBot="1" x14ac:dyDescent="0.3">
      <c r="A40" s="30"/>
      <c r="B40" s="347">
        <v>43981</v>
      </c>
      <c r="C40" s="350">
        <v>11653.98</v>
      </c>
      <c r="D40" s="346" t="s">
        <v>321</v>
      </c>
      <c r="E40" s="151"/>
      <c r="F40" s="36"/>
      <c r="G40" s="152"/>
      <c r="H40" s="153"/>
      <c r="I40" s="344"/>
      <c r="J40" s="217"/>
      <c r="K40" s="229"/>
      <c r="L40" s="288"/>
      <c r="M40" s="34"/>
      <c r="N40" s="35"/>
      <c r="O40" s="276"/>
      <c r="P40" s="36"/>
      <c r="Q40" s="36"/>
      <c r="R40" s="36"/>
      <c r="V40" s="29"/>
      <c r="W40" s="38"/>
      <c r="X40" s="196"/>
      <c r="Y40" s="41"/>
      <c r="AA40" s="19"/>
      <c r="AB40" s="167"/>
      <c r="AC40" s="21"/>
    </row>
    <row r="41" spans="1:29" ht="16.5" thickBot="1" x14ac:dyDescent="0.3">
      <c r="A41" s="105"/>
      <c r="B41" s="319"/>
      <c r="C41" s="323"/>
      <c r="D41" s="204"/>
      <c r="E41" s="151"/>
      <c r="F41" s="109"/>
      <c r="G41" s="110"/>
      <c r="H41" s="153"/>
      <c r="I41" s="109"/>
      <c r="J41" s="228"/>
      <c r="K41" s="265"/>
      <c r="L41" s="77"/>
      <c r="M41" s="34">
        <f>SUM(M5:M38)</f>
        <v>1878273</v>
      </c>
      <c r="N41" s="35">
        <f>SUM(N5:N38)</f>
        <v>101830</v>
      </c>
      <c r="O41" s="277"/>
      <c r="P41" s="114">
        <f>SUM(P5:P38)</f>
        <v>2334237.4000000004</v>
      </c>
      <c r="Q41" s="114">
        <f>SUM(Q5:Q38)</f>
        <v>123669.40000000001</v>
      </c>
      <c r="R41" s="114"/>
      <c r="V41" s="29">
        <v>43973</v>
      </c>
      <c r="W41" s="44" t="s">
        <v>11</v>
      </c>
      <c r="X41" s="196">
        <v>5010</v>
      </c>
      <c r="Y41" s="41"/>
      <c r="AA41" s="19" t="s">
        <v>160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219911.65</v>
      </c>
      <c r="D42" s="117"/>
      <c r="E42" s="303" t="s">
        <v>16</v>
      </c>
      <c r="F42" s="304">
        <f>SUM(F5:F41)</f>
        <v>2210568</v>
      </c>
      <c r="G42" s="117"/>
      <c r="H42" s="120" t="s">
        <v>303</v>
      </c>
      <c r="I42" s="121">
        <f>SUM(I5:I41)</f>
        <v>51366.5</v>
      </c>
      <c r="J42" s="332"/>
      <c r="K42" s="122" t="s">
        <v>304</v>
      </c>
      <c r="L42" s="123">
        <f>SUM(L6:L41)</f>
        <v>254948.18999999997</v>
      </c>
      <c r="O42" s="278"/>
      <c r="P42" s="36"/>
      <c r="Q42" s="36"/>
      <c r="R42" s="36"/>
      <c r="V42" s="29">
        <v>43973</v>
      </c>
      <c r="W42" s="38" t="s">
        <v>10</v>
      </c>
      <c r="X42" s="196">
        <v>5010</v>
      </c>
      <c r="Y42" s="41"/>
      <c r="AA42" s="19" t="s">
        <v>161</v>
      </c>
      <c r="AB42" s="167"/>
      <c r="AC42" s="21">
        <v>0</v>
      </c>
    </row>
    <row r="43" spans="1:29" ht="17.25" customHeight="1" thickTop="1" thickBot="1" x14ac:dyDescent="0.3">
      <c r="C43" s="8" t="s">
        <v>12</v>
      </c>
      <c r="M43" s="455">
        <f>N41+M41</f>
        <v>1980103</v>
      </c>
      <c r="N43" s="456"/>
      <c r="O43" s="279"/>
      <c r="P43" s="124"/>
      <c r="V43" s="29">
        <v>43980</v>
      </c>
      <c r="W43" s="44" t="s">
        <v>11</v>
      </c>
      <c r="X43" s="196">
        <v>5010</v>
      </c>
      <c r="Y43" s="41"/>
      <c r="AA43" s="19" t="s">
        <v>162</v>
      </c>
      <c r="AB43" s="167"/>
      <c r="AC43" s="21">
        <v>0</v>
      </c>
    </row>
    <row r="44" spans="1:29" ht="15.75" x14ac:dyDescent="0.25">
      <c r="A44" s="59"/>
      <c r="B44" s="125"/>
      <c r="C44" s="4"/>
      <c r="H44" s="457" t="s">
        <v>18</v>
      </c>
      <c r="I44" s="458"/>
      <c r="J44" s="333"/>
      <c r="K44" s="459">
        <f>I42+L42</f>
        <v>306314.68999999994</v>
      </c>
      <c r="L44" s="460"/>
      <c r="P44" s="127"/>
      <c r="S44" s="5"/>
      <c r="T44" s="128"/>
      <c r="U44" s="128"/>
      <c r="V44" s="29">
        <v>43980</v>
      </c>
      <c r="W44" s="38" t="s">
        <v>10</v>
      </c>
      <c r="X44" s="196">
        <v>5010</v>
      </c>
      <c r="Y44" s="41"/>
      <c r="AA44" s="19" t="s">
        <v>163</v>
      </c>
      <c r="AB44" s="167"/>
      <c r="AC44" s="21">
        <v>0</v>
      </c>
    </row>
    <row r="45" spans="1:29" ht="16.5" thickBot="1" x14ac:dyDescent="0.3">
      <c r="D45" s="461" t="s">
        <v>19</v>
      </c>
      <c r="E45" s="461"/>
      <c r="F45" s="129">
        <f>F42-K44-C42</f>
        <v>1684341.6600000001</v>
      </c>
      <c r="I45" s="130"/>
      <c r="J45" s="334"/>
      <c r="P45" s="127"/>
      <c r="V45" s="29"/>
      <c r="W45" s="44" t="s">
        <v>11</v>
      </c>
      <c r="X45" s="196">
        <v>0</v>
      </c>
      <c r="Y45" s="41"/>
      <c r="AA45" s="19" t="s">
        <v>164</v>
      </c>
      <c r="AB45" s="167"/>
      <c r="AC45" s="21">
        <v>0</v>
      </c>
    </row>
    <row r="46" spans="1:29" ht="18.75" x14ac:dyDescent="0.3">
      <c r="D46" s="443" t="s">
        <v>20</v>
      </c>
      <c r="E46" s="443"/>
      <c r="F46" s="131">
        <v>-1590870.08</v>
      </c>
      <c r="I46" s="444" t="s">
        <v>21</v>
      </c>
      <c r="J46" s="445"/>
      <c r="K46" s="446">
        <f>F51</f>
        <v>357966.56000000006</v>
      </c>
      <c r="L46" s="447"/>
      <c r="P46" s="305">
        <f>M43</f>
        <v>1980103</v>
      </c>
      <c r="Q46" s="5" t="s">
        <v>305</v>
      </c>
      <c r="V46" s="29"/>
      <c r="W46" s="38" t="s">
        <v>10</v>
      </c>
      <c r="X46" s="196">
        <v>0</v>
      </c>
      <c r="Y46" s="41"/>
      <c r="AA46" s="19" t="s">
        <v>165</v>
      </c>
      <c r="AB46" s="167"/>
      <c r="AC46" s="21">
        <v>0</v>
      </c>
    </row>
    <row r="47" spans="1:29" ht="4.5" customHeight="1" thickBot="1" x14ac:dyDescent="0.35">
      <c r="D47" s="132"/>
      <c r="E47" s="133"/>
      <c r="F47" s="134">
        <v>0</v>
      </c>
      <c r="I47" s="135"/>
      <c r="J47" s="335"/>
      <c r="K47" s="136"/>
      <c r="L47" s="136"/>
      <c r="P47" s="300">
        <v>0</v>
      </c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93471.580000000075</v>
      </c>
      <c r="H48" s="30"/>
      <c r="I48" s="137" t="s">
        <v>23</v>
      </c>
      <c r="J48" s="336"/>
      <c r="K48" s="474">
        <f>-C4</f>
        <v>-239420.42</v>
      </c>
      <c r="L48" s="475"/>
      <c r="M48" s="214"/>
      <c r="P48" s="300">
        <f>I42</f>
        <v>51366.5</v>
      </c>
      <c r="Q48" s="5" t="s">
        <v>302</v>
      </c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5592</v>
      </c>
      <c r="P49" s="300">
        <f>C42</f>
        <v>219911.65</v>
      </c>
      <c r="Q49" s="5" t="s">
        <v>301</v>
      </c>
      <c r="V49" s="8"/>
    </row>
    <row r="50" spans="2:22" ht="20.25" thickTop="1" thickBot="1" x14ac:dyDescent="0.35">
      <c r="C50" s="231">
        <v>43985</v>
      </c>
      <c r="D50" s="476" t="s">
        <v>26</v>
      </c>
      <c r="E50" s="477"/>
      <c r="F50" s="142">
        <v>258902.98</v>
      </c>
      <c r="I50" s="478" t="s">
        <v>129</v>
      </c>
      <c r="J50" s="479"/>
      <c r="K50" s="480">
        <f>K46+K48</f>
        <v>118546.14000000004</v>
      </c>
      <c r="L50" s="481"/>
      <c r="P50" s="306">
        <f>140625.87-27661</f>
        <v>112964.87</v>
      </c>
      <c r="Q50" s="5" t="s">
        <v>300</v>
      </c>
    </row>
    <row r="51" spans="2:22" ht="18.75" x14ac:dyDescent="0.3">
      <c r="C51" s="143"/>
      <c r="D51" s="144"/>
      <c r="E51" s="61" t="s">
        <v>27</v>
      </c>
      <c r="F51" s="145">
        <f>F48+F49+F50</f>
        <v>357966.56000000006</v>
      </c>
      <c r="J51" s="337"/>
      <c r="M51" s="146"/>
      <c r="P51" s="301">
        <f>-S18</f>
        <v>-35028.869999999995</v>
      </c>
    </row>
    <row r="52" spans="2:22" ht="15.75" thickBot="1" x14ac:dyDescent="0.3">
      <c r="P52" s="302">
        <v>-12735.45</v>
      </c>
      <c r="Q52" s="5" t="s">
        <v>286</v>
      </c>
    </row>
    <row r="53" spans="2:22" x14ac:dyDescent="0.25">
      <c r="B53"/>
      <c r="C53"/>
      <c r="D53" s="482"/>
      <c r="E53" s="482"/>
      <c r="M53" s="147"/>
      <c r="N53" s="59"/>
      <c r="O53" s="59"/>
      <c r="P53" s="128">
        <f>SUM(P46:P52)</f>
        <v>2316581.6999999997</v>
      </c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 s="222"/>
      <c r="L56" s="102">
        <v>10000</v>
      </c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L57" s="102">
        <f>9345+10260</f>
        <v>19605</v>
      </c>
      <c r="N57" s="59"/>
      <c r="O57" s="59"/>
      <c r="P57" s="59"/>
      <c r="Q57" s="186"/>
      <c r="R57" s="186"/>
    </row>
    <row r="58" spans="2:22" x14ac:dyDescent="0.25">
      <c r="F58" s="36"/>
      <c r="L58" s="102">
        <v>1856</v>
      </c>
      <c r="M58" s="4"/>
      <c r="N58" s="59"/>
      <c r="O58" s="59"/>
      <c r="P58" s="59"/>
      <c r="Q58" s="186"/>
      <c r="R58" s="186"/>
    </row>
    <row r="59" spans="2:22" x14ac:dyDescent="0.25">
      <c r="F59" s="36"/>
      <c r="L59" s="293">
        <v>4162.8999999999996</v>
      </c>
      <c r="M59" s="4"/>
      <c r="N59" s="59"/>
      <c r="O59" s="59"/>
      <c r="P59" s="59"/>
      <c r="Q59" s="186"/>
      <c r="R59" s="186"/>
    </row>
    <row r="60" spans="2:22" x14ac:dyDescent="0.25">
      <c r="F60" s="36"/>
      <c r="L60" s="102">
        <v>21723.21</v>
      </c>
      <c r="M60" s="4"/>
      <c r="N60" s="59"/>
      <c r="O60" s="59"/>
      <c r="P60" s="59"/>
      <c r="Q60" s="186"/>
      <c r="R60" s="186"/>
    </row>
    <row r="61" spans="2:22" x14ac:dyDescent="0.25">
      <c r="F61" s="36"/>
      <c r="L61" s="102">
        <v>1276</v>
      </c>
      <c r="M61" s="4"/>
      <c r="N61" s="59"/>
      <c r="O61" s="59"/>
      <c r="P61" s="59"/>
      <c r="Q61" s="186"/>
      <c r="R61" s="186"/>
    </row>
    <row r="62" spans="2:22" x14ac:dyDescent="0.25">
      <c r="F62" s="36"/>
      <c r="L62" s="102">
        <v>49250</v>
      </c>
      <c r="M62" s="4"/>
    </row>
    <row r="63" spans="2:22" x14ac:dyDescent="0.25">
      <c r="F63" s="36"/>
      <c r="L63" s="102">
        <v>1315.86</v>
      </c>
      <c r="M63" s="4"/>
    </row>
    <row r="64" spans="2:22" x14ac:dyDescent="0.25">
      <c r="F64" s="36"/>
      <c r="L64" s="292">
        <v>1700.75</v>
      </c>
      <c r="M64" s="4"/>
    </row>
    <row r="65" spans="6:13" x14ac:dyDescent="0.25">
      <c r="F65" s="36"/>
      <c r="L65" s="102">
        <v>3432.6</v>
      </c>
      <c r="M65" s="4"/>
    </row>
    <row r="66" spans="6:13" x14ac:dyDescent="0.25">
      <c r="F66" s="36"/>
      <c r="L66" s="37">
        <f>SUM(L56:L65)</f>
        <v>114322.32</v>
      </c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D45:E45"/>
    <mergeCell ref="C1:K1"/>
    <mergeCell ref="AF1:AG2"/>
    <mergeCell ref="E2:F3"/>
    <mergeCell ref="W2:X3"/>
    <mergeCell ref="AA2:AC2"/>
    <mergeCell ref="B3:C3"/>
    <mergeCell ref="E4:F4"/>
    <mergeCell ref="H4:I4"/>
    <mergeCell ref="M43:N43"/>
    <mergeCell ref="H44:I44"/>
    <mergeCell ref="K44:L44"/>
    <mergeCell ref="D53:E53"/>
    <mergeCell ref="D46:E46"/>
    <mergeCell ref="I46:J46"/>
    <mergeCell ref="K46:L46"/>
    <mergeCell ref="K48:L48"/>
    <mergeCell ref="D50:E50"/>
    <mergeCell ref="I50:J50"/>
    <mergeCell ref="K50:L50"/>
  </mergeCells>
  <pageMargins left="0.2362204724409449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4 CARNES   ABRIL   2020   </vt:lpstr>
      <vt:lpstr>REMISIONES   ABRIL   2020  </vt:lpstr>
      <vt:lpstr>4  CARNES   MAYO   2020    </vt:lpstr>
      <vt:lpstr>REMISIONES    MAYO   2020   </vt:lpstr>
      <vt:lpstr>4 CARNES   JUNIO   2020   </vt:lpstr>
      <vt:lpstr>REMISIONES  JUNIO  2020</vt:lpstr>
      <vt:lpstr>4 CARNES  J U L I O   2020  </vt:lpstr>
      <vt:lpstr>REMISIONES  J U L I O    2020  </vt:lpstr>
      <vt:lpstr>Hoja1</vt:lpstr>
      <vt:lpstr>Hoja2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2020-08-11T17:34:40Z</cp:lastPrinted>
  <dcterms:created xsi:type="dcterms:W3CDTF">2020-01-17T15:55:16Z</dcterms:created>
  <dcterms:modified xsi:type="dcterms:W3CDTF">2020-08-11T17:35:26Z</dcterms:modified>
</cp:coreProperties>
</file>