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1 DOCUEMENTOS\CENTRAL  # 07  JULIO 2020\"/>
    </mc:Choice>
  </mc:AlternateContent>
  <xr:revisionPtr revIDLastSave="0" documentId="13_ncr:1_{57435C9B-9561-4975-9350-5E8DB321C2ED}" xr6:coauthVersionLast="45" xr6:coauthVersionMax="45" xr10:uidLastSave="{00000000-0000-0000-0000-000000000000}"/>
  <bookViews>
    <workbookView xWindow="-120" yWindow="-120" windowWidth="24240" windowHeight="13140" firstSheet="10" activeTab="13" xr2:uid="{B851DD0B-0650-4905-8FE5-BDBD7DE8D83E}"/>
  </bookViews>
  <sheets>
    <sheet name="E N E R O    2 0 2 0        " sheetId="4" r:id="rId1"/>
    <sheet name="Hoja1" sheetId="7" r:id="rId2"/>
    <sheet name="REMISIONES  ENERO  2020  " sheetId="3" r:id="rId3"/>
    <sheet name="FEBRERO  2020 " sheetId="1" r:id="rId4"/>
    <sheet name="REMISIONES  FEBRERO 2020" sheetId="2" r:id="rId5"/>
    <sheet name="  M A R Z O     2 0 2 0        " sheetId="5" r:id="rId6"/>
    <sheet name="REMISIONES  MARZO  2020    " sheetId="6" r:id="rId7"/>
    <sheet name="    A B R I L       2020       " sheetId="8" r:id="rId8"/>
    <sheet name="  REMISIONES   ABRIL    2020   " sheetId="9" r:id="rId9"/>
    <sheet name="M A Y O     2 0 2 0        " sheetId="10" r:id="rId10"/>
    <sheet name="REMISIONES  MAYO  2020    " sheetId="11" r:id="rId11"/>
    <sheet name=" J U N I O     2020   " sheetId="12" r:id="rId12"/>
    <sheet name="REMISIONES  J U N I O     2020 " sheetId="13" r:id="rId13"/>
    <sheet name="J U L I O    2020      " sheetId="14" r:id="rId14"/>
    <sheet name="REMISIONES   J U L I O   2020  " sheetId="15" r:id="rId1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5" l="1"/>
  <c r="C35" i="15"/>
  <c r="F3" i="15"/>
  <c r="F4" i="15" s="1"/>
  <c r="F5" i="15" s="1"/>
  <c r="F6" i="15" s="1"/>
  <c r="F7" i="15" s="1"/>
  <c r="F8" i="15" s="1"/>
  <c r="F9" i="15" s="1"/>
  <c r="F10" i="15" s="1"/>
  <c r="F11" i="15" s="1"/>
  <c r="F12" i="15" s="1"/>
  <c r="F13" i="15" s="1"/>
  <c r="F14" i="15" s="1"/>
  <c r="F15" i="15" s="1"/>
  <c r="F16" i="15" s="1"/>
  <c r="F17" i="15" s="1"/>
  <c r="F18" i="15" s="1"/>
  <c r="F19" i="15" s="1"/>
  <c r="F20" i="15" s="1"/>
  <c r="F21" i="15" s="1"/>
  <c r="F22" i="15" s="1"/>
  <c r="F23" i="15" s="1"/>
  <c r="F24" i="15" s="1"/>
  <c r="F25" i="15" s="1"/>
  <c r="F26" i="15" s="1"/>
  <c r="F27" i="15" s="1"/>
  <c r="F28" i="15" s="1"/>
  <c r="F29" i="15" s="1"/>
  <c r="F30" i="15" s="1"/>
  <c r="F31" i="15" s="1"/>
  <c r="F32" i="15" s="1"/>
  <c r="F33" i="15" s="1"/>
  <c r="F34" i="15" s="1"/>
  <c r="F35" i="15" s="1"/>
  <c r="K46" i="14" l="1"/>
  <c r="N40" i="14"/>
  <c r="I40" i="14"/>
  <c r="F40" i="14"/>
  <c r="C40" i="14"/>
  <c r="M19" i="14"/>
  <c r="L15" i="14"/>
  <c r="L14" i="14"/>
  <c r="M13" i="14"/>
  <c r="L12" i="14"/>
  <c r="L40" i="14" s="1"/>
  <c r="M8" i="14"/>
  <c r="M40" i="14" s="1"/>
  <c r="M42" i="14" s="1"/>
  <c r="K42" i="14" l="1"/>
  <c r="F43" i="14" s="1"/>
  <c r="F46" i="14" s="1"/>
  <c r="F49" i="14" s="1"/>
  <c r="K44" i="14" s="1"/>
  <c r="K48" i="14" s="1"/>
  <c r="E53" i="13"/>
  <c r="C53" i="13"/>
  <c r="F4" i="13"/>
  <c r="F5" i="13" s="1"/>
  <c r="F6" i="13" s="1"/>
  <c r="F7" i="13" s="1"/>
  <c r="F8" i="13" s="1"/>
  <c r="F9" i="13" s="1"/>
  <c r="F10" i="13" s="1"/>
  <c r="F11" i="13" s="1"/>
  <c r="F12" i="13" s="1"/>
  <c r="F13" i="13" s="1"/>
  <c r="F14" i="13" s="1"/>
  <c r="F15" i="13" s="1"/>
  <c r="F16" i="13" s="1"/>
  <c r="F17" i="13" s="1"/>
  <c r="F18" i="13" s="1"/>
  <c r="F19" i="13" s="1"/>
  <c r="F20" i="13" s="1"/>
  <c r="F21" i="13" s="1"/>
  <c r="F22" i="13" s="1"/>
  <c r="F23" i="13" s="1"/>
  <c r="F24" i="13" s="1"/>
  <c r="F25" i="13" s="1"/>
  <c r="F26" i="13" s="1"/>
  <c r="F27" i="13" s="1"/>
  <c r="F28" i="13" s="1"/>
  <c r="F29" i="13" s="1"/>
  <c r="F30" i="13" s="1"/>
  <c r="F31" i="13" s="1"/>
  <c r="F32" i="13" s="1"/>
  <c r="F33" i="13" s="1"/>
  <c r="F34" i="13" s="1"/>
  <c r="F35" i="13" s="1"/>
  <c r="F36" i="13" s="1"/>
  <c r="F37" i="13" s="1"/>
  <c r="F38" i="13" s="1"/>
  <c r="F39" i="13" s="1"/>
  <c r="F40" i="13" s="1"/>
  <c r="F41" i="13" s="1"/>
  <c r="F42" i="13" s="1"/>
  <c r="F43" i="13" s="1"/>
  <c r="F44" i="13" s="1"/>
  <c r="F45" i="13" s="1"/>
  <c r="F46" i="13" s="1"/>
  <c r="F47" i="13" s="1"/>
  <c r="F48" i="13" s="1"/>
  <c r="F49" i="13" s="1"/>
  <c r="F50" i="13" s="1"/>
  <c r="F51" i="13" s="1"/>
  <c r="F52" i="13" s="1"/>
  <c r="F53" i="13" s="1"/>
  <c r="F3" i="13"/>
  <c r="F66" i="12"/>
  <c r="I66" i="12"/>
  <c r="L66" i="12"/>
  <c r="K72" i="12"/>
  <c r="N66" i="12"/>
  <c r="C66" i="12"/>
  <c r="I40" i="12"/>
  <c r="M35" i="12"/>
  <c r="M27" i="12"/>
  <c r="L25" i="12"/>
  <c r="M21" i="12"/>
  <c r="L19" i="12"/>
  <c r="L18" i="12"/>
  <c r="L16" i="12"/>
  <c r="L15" i="12"/>
  <c r="L13" i="12"/>
  <c r="L12" i="12"/>
  <c r="M8" i="12"/>
  <c r="M66" i="12" s="1"/>
  <c r="M68" i="12" s="1"/>
  <c r="I8" i="12"/>
  <c r="K68" i="12" l="1"/>
  <c r="F69" i="12" s="1"/>
  <c r="F72" i="12" s="1"/>
  <c r="F75" i="12" s="1"/>
  <c r="K70" i="12" s="1"/>
  <c r="K74" i="12" s="1"/>
  <c r="E51" i="11"/>
  <c r="C51" i="11"/>
  <c r="F3" i="11"/>
  <c r="F4" i="11" s="1"/>
  <c r="F5" i="11" s="1"/>
  <c r="F6" i="11" s="1"/>
  <c r="F7" i="11" s="1"/>
  <c r="F8" i="11" s="1"/>
  <c r="F9" i="11" s="1"/>
  <c r="F10" i="11" s="1"/>
  <c r="F11" i="11" s="1"/>
  <c r="F12" i="11" s="1"/>
  <c r="F13" i="11" s="1"/>
  <c r="F14" i="11" s="1"/>
  <c r="F15" i="11" s="1"/>
  <c r="F16" i="11" s="1"/>
  <c r="F17" i="11" s="1"/>
  <c r="F18" i="11" s="1"/>
  <c r="F19" i="11" s="1"/>
  <c r="F20" i="11" s="1"/>
  <c r="F21" i="11" s="1"/>
  <c r="F22" i="11" s="1"/>
  <c r="F23" i="11" s="1"/>
  <c r="F24" i="11" s="1"/>
  <c r="F25" i="11" s="1"/>
  <c r="F26" i="11" s="1"/>
  <c r="F27" i="11" s="1"/>
  <c r="F28" i="11" s="1"/>
  <c r="F29" i="11" s="1"/>
  <c r="F30" i="11" s="1"/>
  <c r="F31" i="11" s="1"/>
  <c r="F32" i="11" s="1"/>
  <c r="F33" i="11" s="1"/>
  <c r="F34" i="11" s="1"/>
  <c r="F35" i="11" s="1"/>
  <c r="F36" i="11" s="1"/>
  <c r="F37" i="11" s="1"/>
  <c r="F38" i="11" s="1"/>
  <c r="F39" i="11" s="1"/>
  <c r="F40" i="11" s="1"/>
  <c r="F41" i="11" s="1"/>
  <c r="F42" i="11" s="1"/>
  <c r="F43" i="11" s="1"/>
  <c r="F44" i="11" s="1"/>
  <c r="F45" i="11" s="1"/>
  <c r="F46" i="11" s="1"/>
  <c r="F47" i="11" s="1"/>
  <c r="F48" i="11" s="1"/>
  <c r="F49" i="11" s="1"/>
  <c r="F50" i="11" s="1"/>
  <c r="F51" i="11" s="1"/>
  <c r="K49" i="10"/>
  <c r="I43" i="10"/>
  <c r="K45" i="10" s="1"/>
  <c r="F43" i="10"/>
  <c r="C43" i="10"/>
  <c r="N42" i="10"/>
  <c r="M44" i="10" s="1"/>
  <c r="M31" i="10"/>
  <c r="L28" i="10"/>
  <c r="M19" i="10"/>
  <c r="M42" i="10" s="1"/>
  <c r="L15" i="10"/>
  <c r="L14" i="10"/>
  <c r="L13" i="10"/>
  <c r="L12" i="10"/>
  <c r="L43" i="10" s="1"/>
  <c r="F46" i="10" l="1"/>
  <c r="F49" i="10" s="1"/>
  <c r="F52" i="10" s="1"/>
  <c r="K47" i="10" s="1"/>
  <c r="K51" i="10" s="1"/>
  <c r="F39" i="9"/>
  <c r="F40" i="9" s="1"/>
  <c r="F37" i="9"/>
  <c r="F38" i="9" s="1"/>
  <c r="E41" i="9"/>
  <c r="C41" i="9"/>
  <c r="F3" i="9"/>
  <c r="F4" i="9" s="1"/>
  <c r="F5" i="9" s="1"/>
  <c r="F6" i="9" s="1"/>
  <c r="F7" i="9" s="1"/>
  <c r="F8" i="9" s="1"/>
  <c r="F9" i="9" s="1"/>
  <c r="F10" i="9" s="1"/>
  <c r="F11" i="9" s="1"/>
  <c r="F12" i="9" s="1"/>
  <c r="F13" i="9" s="1"/>
  <c r="F14" i="9" s="1"/>
  <c r="F15" i="9" s="1"/>
  <c r="F16" i="9" s="1"/>
  <c r="F17" i="9" s="1"/>
  <c r="F18" i="9" s="1"/>
  <c r="F19" i="9" s="1"/>
  <c r="F20" i="9" s="1"/>
  <c r="F21" i="9" s="1"/>
  <c r="F22" i="9" s="1"/>
  <c r="F23" i="9" s="1"/>
  <c r="F24" i="9" s="1"/>
  <c r="F25" i="9" s="1"/>
  <c r="F26" i="9" s="1"/>
  <c r="F27" i="9" s="1"/>
  <c r="F28" i="9" s="1"/>
  <c r="F29" i="9" s="1"/>
  <c r="F30" i="9" s="1"/>
  <c r="F31" i="9" s="1"/>
  <c r="F32" i="9" s="1"/>
  <c r="F33" i="9" s="1"/>
  <c r="F34" i="9" s="1"/>
  <c r="F35" i="9" s="1"/>
  <c r="F36" i="9" s="1"/>
  <c r="K46" i="8"/>
  <c r="I40" i="8"/>
  <c r="F40" i="8"/>
  <c r="C40" i="8"/>
  <c r="N39" i="8"/>
  <c r="M32" i="8"/>
  <c r="M26" i="8"/>
  <c r="M24" i="8"/>
  <c r="L16" i="8"/>
  <c r="M14" i="8"/>
  <c r="L14" i="8"/>
  <c r="L13" i="8"/>
  <c r="L40" i="8" s="1"/>
  <c r="M12" i="8"/>
  <c r="M39" i="8" s="1"/>
  <c r="L12" i="8"/>
  <c r="F41" i="9" l="1"/>
  <c r="F43" i="8"/>
  <c r="F46" i="8" s="1"/>
  <c r="F49" i="8" s="1"/>
  <c r="K44" i="8" s="1"/>
  <c r="K48" i="8" s="1"/>
  <c r="K42" i="8"/>
  <c r="M41" i="8"/>
  <c r="E51" i="6"/>
  <c r="C51" i="6"/>
  <c r="F3" i="6"/>
  <c r="F4" i="6" s="1"/>
  <c r="F5" i="6" s="1"/>
  <c r="F6" i="6" s="1"/>
  <c r="F7" i="6" s="1"/>
  <c r="F8" i="6" s="1"/>
  <c r="F9" i="6" s="1"/>
  <c r="F10" i="6" s="1"/>
  <c r="F11" i="6" s="1"/>
  <c r="F12" i="6" s="1"/>
  <c r="F13" i="6" s="1"/>
  <c r="F14" i="6" s="1"/>
  <c r="F15" i="6" s="1"/>
  <c r="F16" i="6" s="1"/>
  <c r="F17" i="6" s="1"/>
  <c r="F18" i="6" s="1"/>
  <c r="F19" i="6" s="1"/>
  <c r="F20" i="6" s="1"/>
  <c r="F21" i="6" s="1"/>
  <c r="F22" i="6" s="1"/>
  <c r="F23" i="6" s="1"/>
  <c r="F24" i="6" s="1"/>
  <c r="F25" i="6" s="1"/>
  <c r="F26" i="6" s="1"/>
  <c r="F27" i="6" s="1"/>
  <c r="F28" i="6" s="1"/>
  <c r="F29" i="6" s="1"/>
  <c r="F30" i="6" s="1"/>
  <c r="F31" i="6" s="1"/>
  <c r="F32" i="6" s="1"/>
  <c r="F33" i="6" s="1"/>
  <c r="F34" i="6" s="1"/>
  <c r="F35" i="6" s="1"/>
  <c r="F36" i="6" s="1"/>
  <c r="F37" i="6" s="1"/>
  <c r="F38" i="6" s="1"/>
  <c r="F39" i="6" s="1"/>
  <c r="F40" i="6" s="1"/>
  <c r="F41" i="6" s="1"/>
  <c r="F42" i="6" s="1"/>
  <c r="F43" i="6" s="1"/>
  <c r="F44" i="6" s="1"/>
  <c r="F45" i="6" s="1"/>
  <c r="F46" i="6" s="1"/>
  <c r="F47" i="6" s="1"/>
  <c r="F48" i="6" s="1"/>
  <c r="F49" i="6" s="1"/>
  <c r="F50" i="6" s="1"/>
  <c r="F51" i="6" s="1"/>
  <c r="K46" i="5"/>
  <c r="I40" i="5"/>
  <c r="F40" i="5"/>
  <c r="C40" i="5"/>
  <c r="N39" i="5"/>
  <c r="M26" i="5"/>
  <c r="M25" i="5"/>
  <c r="L17" i="5"/>
  <c r="L16" i="5"/>
  <c r="L15" i="5"/>
  <c r="L14" i="5"/>
  <c r="L13" i="5"/>
  <c r="L40" i="5" s="1"/>
  <c r="M10" i="5"/>
  <c r="M39" i="5" s="1"/>
  <c r="E51" i="3"/>
  <c r="C51" i="3"/>
  <c r="F3" i="3"/>
  <c r="F4" i="3" s="1"/>
  <c r="F5" i="3" s="1"/>
  <c r="F6" i="3" s="1"/>
  <c r="F7" i="3" s="1"/>
  <c r="F8" i="3" s="1"/>
  <c r="F9" i="3" s="1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F26" i="3" s="1"/>
  <c r="F27" i="3" s="1"/>
  <c r="F28" i="3" s="1"/>
  <c r="F29" i="3" s="1"/>
  <c r="F30" i="3" s="1"/>
  <c r="F31" i="3" s="1"/>
  <c r="F32" i="3" s="1"/>
  <c r="F33" i="3" s="1"/>
  <c r="F34" i="3" s="1"/>
  <c r="F35" i="3" s="1"/>
  <c r="F36" i="3" s="1"/>
  <c r="F37" i="3" s="1"/>
  <c r="F38" i="3" s="1"/>
  <c r="F39" i="3" s="1"/>
  <c r="F40" i="3" s="1"/>
  <c r="F41" i="3" s="1"/>
  <c r="F42" i="3" s="1"/>
  <c r="F43" i="3" s="1"/>
  <c r="F44" i="3" s="1"/>
  <c r="F45" i="3" s="1"/>
  <c r="F46" i="3" s="1"/>
  <c r="F47" i="3" s="1"/>
  <c r="F48" i="3" s="1"/>
  <c r="F49" i="3" s="1"/>
  <c r="F50" i="3" s="1"/>
  <c r="F51" i="3" s="1"/>
  <c r="K51" i="4"/>
  <c r="I45" i="4"/>
  <c r="F45" i="4"/>
  <c r="C45" i="4"/>
  <c r="N44" i="4"/>
  <c r="M46" i="4" s="1"/>
  <c r="M29" i="4"/>
  <c r="M26" i="4"/>
  <c r="M22" i="4"/>
  <c r="M21" i="4"/>
  <c r="M18" i="4"/>
  <c r="M16" i="4"/>
  <c r="L16" i="4"/>
  <c r="L15" i="4"/>
  <c r="M14" i="4"/>
  <c r="M13" i="4"/>
  <c r="L13" i="4"/>
  <c r="L45" i="4" s="1"/>
  <c r="M12" i="4"/>
  <c r="L12" i="4"/>
  <c r="M11" i="4"/>
  <c r="M10" i="4"/>
  <c r="M8" i="4"/>
  <c r="M7" i="4"/>
  <c r="M6" i="4"/>
  <c r="M44" i="4" s="1"/>
  <c r="M41" i="5" l="1"/>
  <c r="K42" i="5"/>
  <c r="F43" i="5" s="1"/>
  <c r="F46" i="5" s="1"/>
  <c r="F49" i="5" s="1"/>
  <c r="K44" i="5" s="1"/>
  <c r="K48" i="5" s="1"/>
  <c r="F48" i="4"/>
  <c r="F51" i="4" s="1"/>
  <c r="F54" i="4" s="1"/>
  <c r="K49" i="4" s="1"/>
  <c r="K53" i="4" s="1"/>
  <c r="K47" i="4"/>
  <c r="E51" i="2" l="1"/>
  <c r="C51" i="2"/>
  <c r="F3" i="2"/>
  <c r="F4" i="2" s="1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K48" i="1"/>
  <c r="I42" i="1"/>
  <c r="F42" i="1"/>
  <c r="C42" i="1"/>
  <c r="N41" i="1"/>
  <c r="M27" i="1"/>
  <c r="M24" i="1"/>
  <c r="M18" i="1"/>
  <c r="L15" i="1"/>
  <c r="L14" i="1"/>
  <c r="M13" i="1"/>
  <c r="L13" i="1"/>
  <c r="L42" i="1" s="1"/>
  <c r="L12" i="1"/>
  <c r="M10" i="1"/>
  <c r="M8" i="1"/>
  <c r="M41" i="1" s="1"/>
  <c r="K44" i="1" l="1"/>
  <c r="F45" i="1" s="1"/>
  <c r="F48" i="1" s="1"/>
  <c r="F51" i="1" s="1"/>
  <c r="K46" i="1" s="1"/>
  <c r="K50" i="1" s="1"/>
  <c r="M4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ROUSS</author>
  </authors>
  <commentList>
    <comment ref="J23" authorId="0" shapeId="0" xr:uid="{56691371-43AA-4EE8-9B99-A320D85F3F55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 xr:uid="{0ABC3947-A6C1-4A39-B655-1D27FFFED589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ROUSS</author>
  </authors>
  <commentList>
    <comment ref="J23" authorId="0" shapeId="0" xr:uid="{287CF205-6D33-479E-8F87-0E57CBD8EC82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 xr:uid="{7728C02F-F9D1-48DE-B297-1A6A552A193B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ROUSS</author>
  </authors>
  <commentList>
    <comment ref="J23" authorId="0" shapeId="0" xr:uid="{43E22CA0-053C-4EE5-95E1-50FE4C76E5BF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 xr:uid="{4B6C1968-68FE-444F-9364-D36FF73F1A19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ROUSS</author>
  </authors>
  <commentList>
    <comment ref="J23" authorId="0" shapeId="0" xr:uid="{0D9A8617-ACDB-4D2D-B292-E0D6D84CD4C4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 xr:uid="{426D2E87-30A1-48E3-B065-18D5D547018B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ROUSS</author>
  </authors>
  <commentList>
    <comment ref="J23" authorId="0" shapeId="0" xr:uid="{F227091E-4333-4FFF-A61F-E730F64E7E69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 xr:uid="{CEAE1921-E59F-4AF7-A1B3-CED2CCE0B6AB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ROUSS</author>
  </authors>
  <commentList>
    <comment ref="J23" authorId="0" shapeId="0" xr:uid="{A00D9767-AEA7-47BF-9917-323864D9BA17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 xr:uid="{7519BB26-F2F2-4782-A1FA-0CF31D11955B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ROUSS</author>
  </authors>
  <commentList>
    <comment ref="J23" authorId="0" shapeId="0" xr:uid="{B68B7386-FBB3-409E-9293-1BEAC98CECDF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 xr:uid="{92CE9BCC-A5F7-4EAB-AC61-C2151FEDCEC0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<sst xmlns="http://schemas.openxmlformats.org/spreadsheetml/2006/main" count="821" uniqueCount="335">
  <si>
    <t>BALANCE      ABASTO 4 CARNES   FEBRERO      2 0 2 0</t>
  </si>
  <si>
    <t>MORRALLA EN CAJA DE 11 SUR   2,800.00  +  $ 1,200.00 Total    $  4,000.00</t>
  </si>
  <si>
    <t>COMPRAS</t>
  </si>
  <si>
    <t>REPOSICION</t>
  </si>
  <si>
    <r>
      <t xml:space="preserve">con fecha 07 Enero  </t>
    </r>
    <r>
      <rPr>
        <b/>
        <sz val="12"/>
        <color rgb="FF0000FF"/>
        <rFont val="Calibri"/>
        <family val="2"/>
        <scheme val="minor"/>
      </rPr>
      <t xml:space="preserve"> de  2019</t>
    </r>
  </si>
  <si>
    <t>INVENTARIO INICIAL</t>
  </si>
  <si>
    <t xml:space="preserve">VENTAS  </t>
  </si>
  <si>
    <t>GASTOS</t>
  </si>
  <si>
    <t>BANCO</t>
  </si>
  <si>
    <t>TARJETAS</t>
  </si>
  <si>
    <t xml:space="preserve"> </t>
  </si>
  <si>
    <t>QUESOS</t>
  </si>
  <si>
    <t>POLLO-MAIZ</t>
  </si>
  <si>
    <t>TELMEX</t>
  </si>
  <si>
    <t>POLLO--ZASONADOR</t>
  </si>
  <si>
    <t xml:space="preserve">LUZ  </t>
  </si>
  <si>
    <t>POLLO-QUESOS-CHORIZO-SALSAS</t>
  </si>
  <si>
    <t>RENTA</t>
  </si>
  <si>
    <t>POLLO-TOSTADAS</t>
  </si>
  <si>
    <t>POLLO</t>
  </si>
  <si>
    <t>NOMINA 06</t>
  </si>
  <si>
    <t>NOMINA 07</t>
  </si>
  <si>
    <t xml:space="preserve">POLLO-QUESOS  </t>
  </si>
  <si>
    <t>NOMINA 08</t>
  </si>
  <si>
    <t>POLLO-CHORIZOS</t>
  </si>
  <si>
    <t>NOMINA 09</t>
  </si>
  <si>
    <t>NOMINA 10</t>
  </si>
  <si>
    <t>POLLO-QUESOS--MAIZ</t>
  </si>
  <si>
    <t xml:space="preserve">NOMINA </t>
  </si>
  <si>
    <t>POLLO--MAIZ</t>
  </si>
  <si>
    <t>POLLO-QUESOS</t>
  </si>
  <si>
    <t>POLLO--TOCINETA-QUESOS</t>
  </si>
  <si>
    <t>POLLO--CHORIZO-BONAFINA</t>
  </si>
  <si>
    <t>POLLO-TOSTADAS---QUESOS</t>
  </si>
  <si>
    <t>POLLO-SALSAS, JUGO</t>
  </si>
  <si>
    <t>POLLO-CHORIZOS-QUESOS-</t>
  </si>
  <si>
    <t>FEBRE.,2020</t>
  </si>
  <si>
    <t>IMSS --FINANZAS</t>
  </si>
  <si>
    <t>tablas para carne</t>
  </si>
  <si>
    <t>POLLO-JUGO</t>
  </si>
  <si>
    <t>FAMSA  Delantales</t>
  </si>
  <si>
    <t>RES</t>
  </si>
  <si>
    <t xml:space="preserve">COMISIONES BANCARIAS </t>
  </si>
  <si>
    <t xml:space="preserve">CELULARES  </t>
  </si>
  <si>
    <t>GASOLINERA</t>
  </si>
  <si>
    <t>Impuestos Federales</t>
  </si>
  <si>
    <t>ADT</t>
  </si>
  <si>
    <t xml:space="preserve">CAMARAS </t>
  </si>
  <si>
    <t>REFRIGERACION</t>
  </si>
  <si>
    <t>Vigilancia</t>
  </si>
  <si>
    <t>Prod de limpieza</t>
  </si>
  <si>
    <t>TOTAL</t>
  </si>
  <si>
    <t>GRAN TOTAL GASTOS</t>
  </si>
  <si>
    <t>VENTAS NETAS</t>
  </si>
  <si>
    <t>PROVEEDOREES</t>
  </si>
  <si>
    <t>SUB TOTAL</t>
  </si>
  <si>
    <t>Sub Total 1</t>
  </si>
  <si>
    <t>INVENTARIO  INICIAL</t>
  </si>
  <si>
    <t>MAS</t>
  </si>
  <si>
    <t>CREDITOS</t>
  </si>
  <si>
    <t>INVENTARIO FINAL</t>
  </si>
  <si>
    <t xml:space="preserve">GANANCIA </t>
  </si>
  <si>
    <t xml:space="preserve">Sub Total 2 </t>
  </si>
  <si>
    <t>REMISIONES  ABASTO 4 CARNES       2 0 1 9</t>
  </si>
  <si>
    <t>FECHA</t>
  </si>
  <si>
    <t>#</t>
  </si>
  <si>
    <t>IMPORTE</t>
  </si>
  <si>
    <t xml:space="preserve">Fecha </t>
  </si>
  <si>
    <t>PAGOS</t>
  </si>
  <si>
    <t>BALANCE      ABASTO 4 CARNES   E N E R O     2 0 2 0</t>
  </si>
  <si>
    <t>QUESO-CHORIZO-TOSTADAS</t>
  </si>
  <si>
    <t>RES-POLLO</t>
  </si>
  <si>
    <t>POLLO-CHORIZO</t>
  </si>
  <si>
    <t xml:space="preserve">POLLO  </t>
  </si>
  <si>
    <t>RES-POLLO-TOCINETA-QUESOS</t>
  </si>
  <si>
    <t>POLLO-CHORIZO--</t>
  </si>
  <si>
    <t>NOMINA 02</t>
  </si>
  <si>
    <t>NOMINA 03</t>
  </si>
  <si>
    <t>NOMINA 04</t>
  </si>
  <si>
    <t>RES-POLLO-MAIZ</t>
  </si>
  <si>
    <t>POLLO-CHORIZO-QUESOS</t>
  </si>
  <si>
    <t>NOMINA 05</t>
  </si>
  <si>
    <t>MAIZ</t>
  </si>
  <si>
    <t>POLLO-QUESOS-SALSAS</t>
  </si>
  <si>
    <t>Multas Moto</t>
  </si>
  <si>
    <t>SAT  S.H.C.P</t>
  </si>
  <si>
    <t>POLLO-QUESOS-TOCINETA</t>
  </si>
  <si>
    <t>CHORIZO</t>
  </si>
  <si>
    <t>POLLO-CHORIZO-TOSTADAS-SALSAS</t>
  </si>
  <si>
    <t>POLLO-QUESOS-CHORIZO</t>
  </si>
  <si>
    <t>POLLO-VERDURAS</t>
  </si>
  <si>
    <t>POLLO-MAIZ-TOSTADAS</t>
  </si>
  <si>
    <t>ENERO.,2020</t>
  </si>
  <si>
    <t>CELULARES  5</t>
  </si>
  <si>
    <t>,00564</t>
  </si>
  <si>
    <t>,00675</t>
  </si>
  <si>
    <t>,00783</t>
  </si>
  <si>
    <t>,00879</t>
  </si>
  <si>
    <t>,01025</t>
  </si>
  <si>
    <t>,01027</t>
  </si>
  <si>
    <t>,01125</t>
  </si>
  <si>
    <t>,01145</t>
  </si>
  <si>
    <t>,01175</t>
  </si>
  <si>
    <t>,01316</t>
  </si>
  <si>
    <t>,01402</t>
  </si>
  <si>
    <t>,01538</t>
  </si>
  <si>
    <t>,01540</t>
  </si>
  <si>
    <t>,01561</t>
  </si>
  <si>
    <t>,01630</t>
  </si>
  <si>
    <t>,01700</t>
  </si>
  <si>
    <t>,01773</t>
  </si>
  <si>
    <t>,01839</t>
  </si>
  <si>
    <t>,01936</t>
  </si>
  <si>
    <t>,01941</t>
  </si>
  <si>
    <t>,01979</t>
  </si>
  <si>
    <t>,02167</t>
  </si>
  <si>
    <t>,02190</t>
  </si>
  <si>
    <t>,02046</t>
  </si>
  <si>
    <t>,02375</t>
  </si>
  <si>
    <t>,02497</t>
  </si>
  <si>
    <t>,02611</t>
  </si>
  <si>
    <t>,02678</t>
  </si>
  <si>
    <t>,02709</t>
  </si>
  <si>
    <t>,02829</t>
  </si>
  <si>
    <t>,02899</t>
  </si>
  <si>
    <t>,03037</t>
  </si>
  <si>
    <t>,03240</t>
  </si>
  <si>
    <t>,03241</t>
  </si>
  <si>
    <t>,03285</t>
  </si>
  <si>
    <t>,03378</t>
  </si>
  <si>
    <t>,03459</t>
  </si>
  <si>
    <t>,03548</t>
  </si>
  <si>
    <t>,03813</t>
  </si>
  <si>
    <t>,03877</t>
  </si>
  <si>
    <t>,03878</t>
  </si>
  <si>
    <t>MANUEL ATLATENCO</t>
  </si>
  <si>
    <t>con fecha 07 Enero   de  2019</t>
  </si>
  <si>
    <t>RES--POLLO</t>
  </si>
  <si>
    <t>RES-POLLO-SALSAS-CHORIZO</t>
  </si>
  <si>
    <t>CHORIZO--MAIZ</t>
  </si>
  <si>
    <t>POLLO-QUESO-</t>
  </si>
  <si>
    <t>RES-POLLO-VINAGRE</t>
  </si>
  <si>
    <t>POLLO--QUESOS-TOCINETA</t>
  </si>
  <si>
    <t>NOMINA 11</t>
  </si>
  <si>
    <t>NOMINA 12</t>
  </si>
  <si>
    <t>NOMINA 13</t>
  </si>
  <si>
    <t>POLLO-MAIZ-CHORIZO</t>
  </si>
  <si>
    <t>NOMINA  14</t>
  </si>
  <si>
    <t>RES-POLLO-CHORIZO</t>
  </si>
  <si>
    <t xml:space="preserve">POLLO-MAIZ   </t>
  </si>
  <si>
    <t>POLLO-QUESOS-</t>
  </si>
  <si>
    <t>RES-QUESOS-VERDURAS</t>
  </si>
  <si>
    <t>SAT</t>
  </si>
  <si>
    <t>POLLO--TOSTADAS</t>
  </si>
  <si>
    <t>POLLO--CHORIZO</t>
  </si>
  <si>
    <t>POLLO-QUESOS CONDIMENTOS</t>
  </si>
  <si>
    <t>MARZO.,2020</t>
  </si>
  <si>
    <t>SIN LUZ</t>
  </si>
  <si>
    <t>Bolsas y desechables</t>
  </si>
  <si>
    <t>CHISTORRA-QUESO -POLLO</t>
  </si>
  <si>
    <t>CAMARAS Tienda</t>
  </si>
  <si>
    <t>CELULARES 4  equipos</t>
  </si>
  <si>
    <t>POLLO-MAIZ-QUESOS VERDURA</t>
  </si>
  <si>
    <t>COMISIONES BANCARIAS</t>
  </si>
  <si>
    <t>RES-POLLO--CHORIZO</t>
  </si>
  <si>
    <t>GASOLINA</t>
  </si>
  <si>
    <t>Transfer</t>
  </si>
  <si>
    <t>RES-POLLO-TOSTADAS</t>
  </si>
  <si>
    <t>IMSS--INFONAVIT-</t>
  </si>
  <si>
    <t>QUESOS--POLLO-MAIZ</t>
  </si>
  <si>
    <t>MATERIAL LIMPIEZA</t>
  </si>
  <si>
    <t>OFFICE DEPOT cintas</t>
  </si>
  <si>
    <t>.</t>
  </si>
  <si>
    <t>RES-SALSAS</t>
  </si>
  <si>
    <t>Seguro Anual  Moto</t>
  </si>
  <si>
    <t>Seguro Resp civil</t>
  </si>
  <si>
    <t>VIGILANTE</t>
  </si>
  <si>
    <t>REMISIONES  ABASTO 4 CARNES       2 0 2 0</t>
  </si>
  <si>
    <t>BALANCE      ABASTO 4 CARNES   ABRIL       2 0 2 0</t>
  </si>
  <si>
    <t>RES-QUESOS-CHISTORRA-SALSAS-POLLO-TOSTADAS</t>
  </si>
  <si>
    <t>NO ABRIO</t>
  </si>
  <si>
    <t>POLLO--RES</t>
  </si>
  <si>
    <t>CHORIZO-JUGO</t>
  </si>
  <si>
    <t>NOMINA 15</t>
  </si>
  <si>
    <t>Tranfer y Dep</t>
  </si>
  <si>
    <t>NOMINA 16</t>
  </si>
  <si>
    <t>NOMINA 17</t>
  </si>
  <si>
    <t>POLLO--MAIZ-QUESO</t>
  </si>
  <si>
    <t>NOMINA 18</t>
  </si>
  <si>
    <t xml:space="preserve">Transfer </t>
  </si>
  <si>
    <t>NOMINA  19</t>
  </si>
  <si>
    <t>RES-POLLO-CHORIZO-JUGO</t>
  </si>
  <si>
    <t>FUMIGACION</t>
  </si>
  <si>
    <t>POLLO-QUESOS-VERDURA</t>
  </si>
  <si>
    <t>RES-MAIZ</t>
  </si>
  <si>
    <t>TOSTADAS--SALSAS</t>
  </si>
  <si>
    <t>ABRIL.,2020</t>
  </si>
  <si>
    <t>ADT-SECURITY</t>
  </si>
  <si>
    <t>Art de limpieza</t>
  </si>
  <si>
    <t>PATA-POLLO</t>
  </si>
  <si>
    <t>BOMBA P/Fumigar</t>
  </si>
  <si>
    <t>RES-QUESOS-POLLO</t>
  </si>
  <si>
    <t>CELULARES-INTERNET</t>
  </si>
  <si>
    <t>COMISIONES BANCO</t>
  </si>
  <si>
    <t>RES-VERDURAS</t>
  </si>
  <si>
    <t>FONACOT</t>
  </si>
  <si>
    <t>TOCINETA-QUESOS-POLLO-TOSTADAS-CHORIZO</t>
  </si>
  <si>
    <t>IMPUESTOS FED</t>
  </si>
  <si>
    <t>RES-POLLO-SALSAS</t>
  </si>
  <si>
    <t>I.M.S.S  MARZO</t>
  </si>
  <si>
    <t>RES--POLLO--VINAGRE</t>
  </si>
  <si>
    <t>LLANTA MOTO</t>
  </si>
  <si>
    <t>QUESOS-MAIZ</t>
  </si>
  <si>
    <t>Material empaques</t>
  </si>
  <si>
    <t>Motores Vitrinas</t>
  </si>
  <si>
    <t xml:space="preserve">PAPELERIA </t>
  </si>
  <si>
    <t>POLICIA AUX</t>
  </si>
  <si>
    <t>Tenencia MOTO</t>
  </si>
  <si>
    <t xml:space="preserve">VIGILANCIA </t>
  </si>
  <si>
    <t>BALANCE      ABASTO 4 CARNES   MAYO       2 0 2 0</t>
  </si>
  <si>
    <t>Caja de Rollos</t>
  </si>
  <si>
    <t>MAIZ-POLLO-JUGO</t>
  </si>
  <si>
    <t>POLLO-QUESOS-CHORIZO-VERDURAS</t>
  </si>
  <si>
    <t>NOMINA 19</t>
  </si>
  <si>
    <t>NOMINA 20</t>
  </si>
  <si>
    <t>NOMINA 21</t>
  </si>
  <si>
    <t>TOCINETA</t>
  </si>
  <si>
    <t>NOMINA  22</t>
  </si>
  <si>
    <t xml:space="preserve">NOMINA  </t>
  </si>
  <si>
    <t>SAT--S.H.C.P</t>
  </si>
  <si>
    <t>PROTECCION CIVIL</t>
  </si>
  <si>
    <t>QUESOS --POLLO-MAIZ-TOSTADAS</t>
  </si>
  <si>
    <t>POLLO-QUESOS-MAIZ-TOSTADAS</t>
  </si>
  <si>
    <t>May.,2020</t>
  </si>
  <si>
    <t>MAIZ-QUESO-JUGO</t>
  </si>
  <si>
    <t>VIGILANCIA</t>
  </si>
  <si>
    <t>QUESOS--POLLO</t>
  </si>
  <si>
    <t>POLLO-SALSAS-TOSTADAS</t>
  </si>
  <si>
    <t>DESECHABLES</t>
  </si>
  <si>
    <t>IMSS-INFONAVIT</t>
  </si>
  <si>
    <t>POLLO-CHORIZO-SAZONADOR</t>
  </si>
  <si>
    <t>Manto BASCULA Torrey</t>
  </si>
  <si>
    <t>ARQUITECTO Pisos</t>
  </si>
  <si>
    <t>CELULARES</t>
  </si>
  <si>
    <t>COMISIONES</t>
  </si>
  <si>
    <t>TOTAL 1</t>
  </si>
  <si>
    <t>TOTAL  2</t>
  </si>
  <si>
    <t>RES  Facturado</t>
  </si>
  <si>
    <t>BALANCE      ABASTO 4 CARNES   JUNIO        2 0 2 0</t>
  </si>
  <si>
    <t>MAIZ-POLLO-ARABE</t>
  </si>
  <si>
    <t>Marco Nuevo</t>
  </si>
  <si>
    <t>RENTA  3-Jul-2020</t>
  </si>
  <si>
    <t>sin sistema</t>
  </si>
  <si>
    <t>POLLO-QUESOS-ARABE</t>
  </si>
  <si>
    <t>NOMINA 23</t>
  </si>
  <si>
    <t>POLLO-PAPAS</t>
  </si>
  <si>
    <t>NOMINA 24</t>
  </si>
  <si>
    <t>MAIZ-TOSTADAS</t>
  </si>
  <si>
    <t>QUESO-SALCHICHA-TOCINETA-POLLO</t>
  </si>
  <si>
    <t>NOMINA  25</t>
  </si>
  <si>
    <t>NOMINA 26</t>
  </si>
  <si>
    <t>JAMON-MAIZ-POLLO</t>
  </si>
  <si>
    <t>NOMINA 27</t>
  </si>
  <si>
    <t>NOMINA 28</t>
  </si>
  <si>
    <t>QUESOS-POLLO-CHORIZO-PAPAS</t>
  </si>
  <si>
    <t>POLLO-MAIZ-QUESOS-ARABE</t>
  </si>
  <si>
    <t>SALCHICHA, CHISTORRA</t>
  </si>
  <si>
    <t>POLLO-LONGANIZA-CHORIZO</t>
  </si>
  <si>
    <t>Junio.,2020</t>
  </si>
  <si>
    <t>Licencia de facturacion</t>
  </si>
  <si>
    <t>QUESO-POLLO-PAPAS</t>
  </si>
  <si>
    <t>POLLO-SALSAS-CECINA</t>
  </si>
  <si>
    <t xml:space="preserve">POLLO-LONGANIZA  </t>
  </si>
  <si>
    <t>TOSTADAS-MAIZ-VINAGRE</t>
  </si>
  <si>
    <t>CAMARAS</t>
  </si>
  <si>
    <t>QUESOS-POLLO-SABROSITO</t>
  </si>
  <si>
    <t>COMISIONES BANC</t>
  </si>
  <si>
    <t>SALSAS</t>
  </si>
  <si>
    <t>LONGANIZAS-TOSTADAS</t>
  </si>
  <si>
    <t>SANITIZACION</t>
  </si>
  <si>
    <t xml:space="preserve">POLLO-MAIZ </t>
  </si>
  <si>
    <t>URSULA MATADAMAS</t>
  </si>
  <si>
    <t>Mandiles</t>
  </si>
  <si>
    <t>QUESOS-POLLO</t>
  </si>
  <si>
    <t>LONGANIZAS--MAIZ</t>
  </si>
  <si>
    <t>RENTAS JUNIO,JULIO</t>
  </si>
  <si>
    <t>QUESO-TOCINETA-VERDURA</t>
  </si>
  <si>
    <t>AMAZON</t>
  </si>
  <si>
    <t>QUESOS -POLLO</t>
  </si>
  <si>
    <t xml:space="preserve"> I M S S </t>
  </si>
  <si>
    <t>pollo-chorizo</t>
  </si>
  <si>
    <t>pollo-tostadas</t>
  </si>
  <si>
    <t>TELCEL  Celular</t>
  </si>
  <si>
    <t>Quesos</t>
  </si>
  <si>
    <t>Rem-ASO</t>
  </si>
  <si>
    <t>QUESOS POLLO</t>
  </si>
  <si>
    <t>Julio.,2020</t>
  </si>
  <si>
    <t>AFORES</t>
  </si>
  <si>
    <t>PAPAS</t>
  </si>
  <si>
    <t>quesos,jamon-pollo-salsas-</t>
  </si>
  <si>
    <t>LONGANIZAS</t>
  </si>
  <si>
    <t>RES  f</t>
  </si>
  <si>
    <t>RES f--133</t>
  </si>
  <si>
    <t>RES f-132</t>
  </si>
  <si>
    <t>RES f-141</t>
  </si>
  <si>
    <t>RES f-144</t>
  </si>
  <si>
    <t>RES f-150</t>
  </si>
  <si>
    <t>RES f-159</t>
  </si>
  <si>
    <t>RES f-163</t>
  </si>
  <si>
    <t>SUKARNE</t>
  </si>
  <si>
    <t>CONTRAS RES</t>
  </si>
  <si>
    <t>POLLO-LONGANIZAS-QUESOS</t>
  </si>
  <si>
    <t>Longaniza-pollo-maiz</t>
  </si>
  <si>
    <t xml:space="preserve">RENTA </t>
  </si>
  <si>
    <t>SALCHICHA</t>
  </si>
  <si>
    <t>LONGANIZA-PAPA-POLLO</t>
  </si>
  <si>
    <t>QUESOS-CHORIZOS-CECINA-LONGANIZA</t>
  </si>
  <si>
    <t>NOMINA 29</t>
  </si>
  <si>
    <t>PAPAS-POLLO</t>
  </si>
  <si>
    <t>NOMINA 30</t>
  </si>
  <si>
    <t>NOMINA  31</t>
  </si>
  <si>
    <t>POLLO--CREMA-QUESOS</t>
  </si>
  <si>
    <t>MAIZ--POLLO</t>
  </si>
  <si>
    <t>POLLO-CONDIMENTOS</t>
  </si>
  <si>
    <t>POLLO-CHORIZO-TOSTADAS</t>
  </si>
  <si>
    <t>POLLO-CECINA-LONGANIZAS-QUESOS</t>
  </si>
  <si>
    <t>NLP</t>
  </si>
  <si>
    <t>POLLO-SALCHICHA-QUESOS-MAIZ</t>
  </si>
  <si>
    <t>POLLO-QUESOS VERDURA</t>
  </si>
  <si>
    <t>julio.,2020</t>
  </si>
  <si>
    <t>VIGILANTES</t>
  </si>
  <si>
    <t>POLLO-ENCHILADA-CHORIZO-</t>
  </si>
  <si>
    <t>RES--f</t>
  </si>
  <si>
    <t>RES f</t>
  </si>
  <si>
    <t xml:space="preserve">RES--f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</si>
</sst>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4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8"/>
      <color rgb="FF0000FF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4"/>
      <color rgb="FF00B0F0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6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sz val="11"/>
      <color rgb="FF0000FF"/>
      <name val="Calibri Light"/>
      <family val="1"/>
      <scheme val="major"/>
    </font>
    <font>
      <b/>
      <sz val="11"/>
      <color indexed="8"/>
      <name val="Calibri"/>
      <family val="2"/>
    </font>
    <font>
      <b/>
      <sz val="14"/>
      <color indexed="8"/>
      <name val="Calibri"/>
      <family val="2"/>
    </font>
    <font>
      <b/>
      <sz val="16"/>
      <color theme="5" tint="-0.499984740745262"/>
      <name val="Calibri"/>
      <family val="2"/>
      <scheme val="minor"/>
    </font>
    <font>
      <b/>
      <sz val="11"/>
      <color rgb="FF990099"/>
      <name val="Calibri"/>
      <family val="2"/>
      <scheme val="minor"/>
    </font>
    <font>
      <b/>
      <sz val="8"/>
      <color rgb="FF990099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rgb="FF0000FF"/>
      <name val="Calibri"/>
      <family val="2"/>
      <scheme val="minor"/>
    </font>
    <font>
      <b/>
      <sz val="12"/>
      <color rgb="FF990099"/>
      <name val="Calibri"/>
      <family val="2"/>
      <scheme val="minor"/>
    </font>
    <font>
      <b/>
      <sz val="14"/>
      <color rgb="FF990099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12"/>
      <color theme="5" tint="-0.499984740745262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66CCFF"/>
        <bgColor indexed="64"/>
      </patternFill>
    </fill>
  </fills>
  <borders count="85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mediumDashed">
        <color indexed="64"/>
      </left>
      <right/>
      <top/>
      <bottom/>
      <diagonal/>
    </border>
    <border>
      <left style="double">
        <color indexed="64"/>
      </left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Dashed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double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mediumDashed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84">
    <xf numFmtId="0" fontId="0" fillId="0" borderId="0" xfId="0"/>
    <xf numFmtId="164" fontId="0" fillId="0" borderId="0" xfId="0" applyNumberFormat="1" applyAlignment="1">
      <alignment horizontal="center"/>
    </xf>
    <xf numFmtId="0" fontId="4" fillId="0" borderId="0" xfId="0" applyFont="1"/>
    <xf numFmtId="44" fontId="1" fillId="0" borderId="0" xfId="1" applyFill="1"/>
    <xf numFmtId="44" fontId="2" fillId="0" borderId="0" xfId="1" applyFont="1"/>
    <xf numFmtId="44" fontId="0" fillId="0" borderId="0" xfId="1" applyFont="1"/>
    <xf numFmtId="0" fontId="2" fillId="0" borderId="0" xfId="0" applyFont="1" applyAlignment="1">
      <alignment horizontal="center"/>
    </xf>
    <xf numFmtId="44" fontId="2" fillId="0" borderId="0" xfId="1" applyFont="1" applyAlignment="1">
      <alignment horizontal="center"/>
    </xf>
    <xf numFmtId="0" fontId="5" fillId="2" borderId="0" xfId="0" applyFont="1" applyFill="1"/>
    <xf numFmtId="44" fontId="1" fillId="2" borderId="0" xfId="1" applyFill="1"/>
    <xf numFmtId="0" fontId="0" fillId="2" borderId="0" xfId="0" applyFill="1"/>
    <xf numFmtId="44" fontId="2" fillId="2" borderId="0" xfId="1" applyFont="1" applyFill="1"/>
    <xf numFmtId="0" fontId="7" fillId="0" borderId="0" xfId="0" applyFont="1" applyAlignment="1">
      <alignment horizontal="center"/>
    </xf>
    <xf numFmtId="44" fontId="1" fillId="0" borderId="0" xfId="1"/>
    <xf numFmtId="44" fontId="8" fillId="2" borderId="0" xfId="1" applyFont="1" applyFill="1"/>
    <xf numFmtId="0" fontId="8" fillId="2" borderId="0" xfId="0" applyFont="1" applyFill="1"/>
    <xf numFmtId="0" fontId="10" fillId="0" borderId="2" xfId="0" applyFont="1" applyBorder="1"/>
    <xf numFmtId="164" fontId="11" fillId="0" borderId="3" xfId="0" applyNumberFormat="1" applyFont="1" applyBorder="1" applyAlignment="1">
      <alignment horizontal="center"/>
    </xf>
    <xf numFmtId="44" fontId="9" fillId="0" borderId="4" xfId="1" applyFont="1" applyBorder="1"/>
    <xf numFmtId="165" fontId="2" fillId="3" borderId="0" xfId="0" applyNumberFormat="1" applyFont="1" applyFill="1" applyAlignment="1">
      <alignment horizontal="left"/>
    </xf>
    <xf numFmtId="0" fontId="12" fillId="0" borderId="9" xfId="0" applyFont="1" applyBorder="1"/>
    <xf numFmtId="44" fontId="13" fillId="4" borderId="0" xfId="1" applyFont="1" applyFill="1" applyAlignment="1">
      <alignment horizontal="center"/>
    </xf>
    <xf numFmtId="44" fontId="13" fillId="4" borderId="10" xfId="1" applyFont="1" applyFill="1" applyBorder="1" applyAlignment="1">
      <alignment horizontal="center"/>
    </xf>
    <xf numFmtId="16" fontId="0" fillId="0" borderId="0" xfId="0" applyNumberFormat="1"/>
    <xf numFmtId="164" fontId="2" fillId="0" borderId="11" xfId="0" applyNumberFormat="1" applyFont="1" applyBorder="1" applyAlignment="1">
      <alignment horizontal="center"/>
    </xf>
    <xf numFmtId="44" fontId="2" fillId="0" borderId="12" xfId="1" applyFont="1" applyFill="1" applyBorder="1"/>
    <xf numFmtId="166" fontId="14" fillId="0" borderId="0" xfId="0" applyNumberFormat="1" applyFont="1" applyAlignment="1">
      <alignment horizontal="left"/>
    </xf>
    <xf numFmtId="15" fontId="2" fillId="0" borderId="13" xfId="0" applyNumberFormat="1" applyFont="1" applyBorder="1"/>
    <xf numFmtId="44" fontId="2" fillId="0" borderId="14" xfId="1" applyFont="1" applyFill="1" applyBorder="1"/>
    <xf numFmtId="15" fontId="2" fillId="0" borderId="15" xfId="0" applyNumberFormat="1" applyFont="1" applyBorder="1"/>
    <xf numFmtId="44" fontId="2" fillId="0" borderId="16" xfId="1" applyFont="1" applyFill="1" applyBorder="1"/>
    <xf numFmtId="44" fontId="2" fillId="0" borderId="17" xfId="1" applyFont="1" applyFill="1" applyBorder="1"/>
    <xf numFmtId="44" fontId="2" fillId="0" borderId="18" xfId="1" applyFont="1" applyFill="1" applyBorder="1"/>
    <xf numFmtId="166" fontId="15" fillId="0" borderId="0" xfId="0" applyNumberFormat="1" applyFont="1"/>
    <xf numFmtId="44" fontId="2" fillId="0" borderId="19" xfId="1" applyFont="1" applyFill="1" applyBorder="1"/>
    <xf numFmtId="16" fontId="16" fillId="0" borderId="0" xfId="1" applyNumberFormat="1" applyFont="1" applyFill="1" applyAlignment="1">
      <alignment horizontal="center"/>
    </xf>
    <xf numFmtId="0" fontId="0" fillId="0" borderId="20" xfId="0" applyBorder="1"/>
    <xf numFmtId="44" fontId="2" fillId="0" borderId="21" xfId="1" applyFont="1" applyBorder="1"/>
    <xf numFmtId="166" fontId="17" fillId="0" borderId="0" xfId="0" applyNumberFormat="1" applyFont="1"/>
    <xf numFmtId="15" fontId="2" fillId="0" borderId="0" xfId="1" applyNumberFormat="1" applyFont="1" applyFill="1"/>
    <xf numFmtId="0" fontId="8" fillId="0" borderId="20" xfId="0" applyFont="1" applyBorder="1" applyAlignment="1">
      <alignment horizontal="center"/>
    </xf>
    <xf numFmtId="166" fontId="2" fillId="0" borderId="21" xfId="0" applyNumberFormat="1" applyFont="1" applyBorder="1"/>
    <xf numFmtId="166" fontId="14" fillId="0" borderId="0" xfId="0" applyNumberFormat="1" applyFont="1"/>
    <xf numFmtId="16" fontId="8" fillId="0" borderId="0" xfId="1" applyNumberFormat="1" applyFont="1" applyFill="1" applyAlignment="1">
      <alignment horizontal="center"/>
    </xf>
    <xf numFmtId="0" fontId="2" fillId="5" borderId="0" xfId="0" applyFont="1" applyFill="1"/>
    <xf numFmtId="166" fontId="2" fillId="0" borderId="0" xfId="0" applyNumberFormat="1" applyFont="1"/>
    <xf numFmtId="166" fontId="18" fillId="0" borderId="0" xfId="0" applyNumberFormat="1" applyFont="1"/>
    <xf numFmtId="15" fontId="9" fillId="0" borderId="0" xfId="1" applyNumberFormat="1" applyFont="1" applyFill="1"/>
    <xf numFmtId="0" fontId="2" fillId="0" borderId="20" xfId="0" applyFont="1" applyBorder="1"/>
    <xf numFmtId="166" fontId="2" fillId="6" borderId="21" xfId="0" applyNumberFormat="1" applyFont="1" applyFill="1" applyBorder="1"/>
    <xf numFmtId="16" fontId="19" fillId="0" borderId="0" xfId="1" applyNumberFormat="1" applyFont="1" applyFill="1" applyAlignment="1">
      <alignment horizontal="left"/>
    </xf>
    <xf numFmtId="0" fontId="8" fillId="0" borderId="20" xfId="0" applyFont="1" applyBorder="1"/>
    <xf numFmtId="44" fontId="2" fillId="0" borderId="21" xfId="1" applyFont="1" applyFill="1" applyBorder="1"/>
    <xf numFmtId="16" fontId="17" fillId="0" borderId="0" xfId="1" applyNumberFormat="1" applyFont="1" applyFill="1" applyAlignment="1">
      <alignment horizontal="center"/>
    </xf>
    <xf numFmtId="16" fontId="19" fillId="0" borderId="20" xfId="0" applyNumberFormat="1" applyFont="1" applyBorder="1"/>
    <xf numFmtId="165" fontId="18" fillId="0" borderId="0" xfId="1" applyNumberFormat="1" applyFont="1" applyFill="1" applyAlignment="1">
      <alignment horizontal="center"/>
    </xf>
    <xf numFmtId="44" fontId="2" fillId="0" borderId="0" xfId="1" applyFont="1" applyFill="1"/>
    <xf numFmtId="165" fontId="18" fillId="0" borderId="0" xfId="1" applyNumberFormat="1" applyFont="1" applyAlignment="1">
      <alignment horizontal="center"/>
    </xf>
    <xf numFmtId="44" fontId="2" fillId="0" borderId="21" xfId="1" applyFont="1" applyFill="1" applyBorder="1" applyAlignment="1">
      <alignment horizontal="right"/>
    </xf>
    <xf numFmtId="16" fontId="2" fillId="0" borderId="11" xfId="0" applyNumberFormat="1" applyFont="1" applyBorder="1"/>
    <xf numFmtId="0" fontId="2" fillId="0" borderId="22" xfId="0" applyFont="1" applyBorder="1"/>
    <xf numFmtId="44" fontId="2" fillId="0" borderId="23" xfId="1" applyFont="1" applyFill="1" applyBorder="1"/>
    <xf numFmtId="165" fontId="2" fillId="0" borderId="11" xfId="0" applyNumberFormat="1" applyFont="1" applyBorder="1" applyAlignment="1">
      <alignment horizontal="left"/>
    </xf>
    <xf numFmtId="16" fontId="8" fillId="0" borderId="11" xfId="0" applyNumberFormat="1" applyFont="1" applyBorder="1"/>
    <xf numFmtId="165" fontId="2" fillId="0" borderId="0" xfId="1" applyNumberFormat="1" applyFont="1" applyAlignment="1">
      <alignment horizontal="center"/>
    </xf>
    <xf numFmtId="0" fontId="2" fillId="0" borderId="0" xfId="0" applyFont="1"/>
    <xf numFmtId="44" fontId="2" fillId="0" borderId="23" xfId="1" applyFont="1" applyFill="1" applyBorder="1" applyAlignment="1">
      <alignment horizontal="right"/>
    </xf>
    <xf numFmtId="165" fontId="2" fillId="0" borderId="15" xfId="1" applyNumberFormat="1" applyFont="1" applyBorder="1" applyAlignment="1">
      <alignment horizontal="center"/>
    </xf>
    <xf numFmtId="44" fontId="16" fillId="0" borderId="11" xfId="1" applyFont="1" applyFill="1" applyBorder="1" applyAlignment="1">
      <alignment horizontal="left"/>
    </xf>
    <xf numFmtId="165" fontId="2" fillId="0" borderId="2" xfId="0" applyNumberFormat="1" applyFont="1" applyBorder="1" applyAlignment="1">
      <alignment horizontal="center"/>
    </xf>
    <xf numFmtId="0" fontId="18" fillId="0" borderId="11" xfId="0" applyFont="1" applyBorder="1"/>
    <xf numFmtId="44" fontId="2" fillId="0" borderId="24" xfId="1" applyFont="1" applyFill="1" applyBorder="1" applyAlignment="1">
      <alignment horizontal="right"/>
    </xf>
    <xf numFmtId="165" fontId="19" fillId="0" borderId="15" xfId="1" applyNumberFormat="1" applyFont="1" applyBorder="1" applyAlignment="1">
      <alignment horizontal="left"/>
    </xf>
    <xf numFmtId="0" fontId="14" fillId="0" borderId="20" xfId="0" applyFont="1" applyBorder="1"/>
    <xf numFmtId="44" fontId="2" fillId="0" borderId="20" xfId="1" applyFont="1" applyBorder="1" applyAlignment="1">
      <alignment horizontal="right"/>
    </xf>
    <xf numFmtId="16" fontId="2" fillId="0" borderId="11" xfId="0" applyNumberFormat="1" applyFont="1" applyBorder="1" applyAlignment="1">
      <alignment horizontal="center"/>
    </xf>
    <xf numFmtId="165" fontId="19" fillId="0" borderId="0" xfId="1" applyNumberFormat="1" applyFont="1" applyBorder="1" applyAlignment="1">
      <alignment horizontal="left"/>
    </xf>
    <xf numFmtId="0" fontId="14" fillId="0" borderId="25" xfId="0" applyFont="1" applyBorder="1"/>
    <xf numFmtId="0" fontId="14" fillId="0" borderId="20" xfId="0" applyFont="1" applyBorder="1" applyAlignment="1">
      <alignment horizontal="right"/>
    </xf>
    <xf numFmtId="44" fontId="2" fillId="0" borderId="26" xfId="1" applyFont="1" applyFill="1" applyBorder="1"/>
    <xf numFmtId="165" fontId="8" fillId="0" borderId="20" xfId="1" applyNumberFormat="1" applyFont="1" applyFill="1" applyBorder="1" applyAlignment="1">
      <alignment horizontal="left"/>
    </xf>
    <xf numFmtId="0" fontId="18" fillId="0" borderId="20" xfId="0" applyFont="1" applyBorder="1" applyAlignment="1">
      <alignment horizontal="center"/>
    </xf>
    <xf numFmtId="44" fontId="2" fillId="0" borderId="20" xfId="1" applyFont="1" applyFill="1" applyBorder="1" applyAlignment="1">
      <alignment horizontal="right"/>
    </xf>
    <xf numFmtId="44" fontId="2" fillId="0" borderId="27" xfId="1" applyFont="1" applyFill="1" applyBorder="1"/>
    <xf numFmtId="44" fontId="2" fillId="0" borderId="3" xfId="1" applyFont="1" applyFill="1" applyBorder="1"/>
    <xf numFmtId="165" fontId="19" fillId="0" borderId="20" xfId="1" applyNumberFormat="1" applyFont="1" applyFill="1" applyBorder="1" applyAlignment="1">
      <alignment horizontal="left"/>
    </xf>
    <xf numFmtId="0" fontId="18" fillId="0" borderId="20" xfId="0" applyFont="1" applyBorder="1" applyAlignment="1">
      <alignment horizontal="left"/>
    </xf>
    <xf numFmtId="164" fontId="2" fillId="0" borderId="28" xfId="0" applyNumberFormat="1" applyFont="1" applyBorder="1" applyAlignment="1">
      <alignment horizontal="center"/>
    </xf>
    <xf numFmtId="44" fontId="2" fillId="3" borderId="29" xfId="1" applyFont="1" applyFill="1" applyBorder="1"/>
    <xf numFmtId="166" fontId="9" fillId="0" borderId="12" xfId="0" applyNumberFormat="1" applyFont="1" applyBorder="1"/>
    <xf numFmtId="15" fontId="2" fillId="0" borderId="0" xfId="0" applyNumberFormat="1" applyFont="1"/>
    <xf numFmtId="44" fontId="2" fillId="0" borderId="0" xfId="1" applyFont="1" applyFill="1" applyBorder="1"/>
    <xf numFmtId="44" fontId="2" fillId="0" borderId="30" xfId="1" applyFont="1" applyFill="1" applyBorder="1"/>
    <xf numFmtId="0" fontId="15" fillId="0" borderId="31" xfId="0" applyFont="1" applyBorder="1" applyAlignment="1">
      <alignment horizontal="left"/>
    </xf>
    <xf numFmtId="44" fontId="2" fillId="3" borderId="20" xfId="1" applyFont="1" applyFill="1" applyBorder="1"/>
    <xf numFmtId="166" fontId="9" fillId="0" borderId="32" xfId="0" applyNumberFormat="1" applyFont="1" applyBorder="1"/>
    <xf numFmtId="0" fontId="17" fillId="0" borderId="20" xfId="0" applyFont="1" applyBorder="1" applyAlignment="1">
      <alignment horizontal="left"/>
    </xf>
    <xf numFmtId="44" fontId="2" fillId="0" borderId="20" xfId="1" applyFont="1" applyFill="1" applyBorder="1"/>
    <xf numFmtId="164" fontId="2" fillId="0" borderId="33" xfId="0" applyNumberFormat="1" applyFont="1" applyBorder="1" applyAlignment="1">
      <alignment horizontal="center"/>
    </xf>
    <xf numFmtId="44" fontId="2" fillId="0" borderId="34" xfId="1" applyFont="1" applyFill="1" applyBorder="1"/>
    <xf numFmtId="166" fontId="9" fillId="0" borderId="35" xfId="0" applyNumberFormat="1" applyFont="1" applyBorder="1"/>
    <xf numFmtId="0" fontId="14" fillId="0" borderId="20" xfId="0" applyFont="1" applyBorder="1" applyAlignment="1">
      <alignment horizontal="left"/>
    </xf>
    <xf numFmtId="0" fontId="19" fillId="0" borderId="0" xfId="0" applyFont="1"/>
    <xf numFmtId="164" fontId="2" fillId="0" borderId="36" xfId="0" applyNumberFormat="1" applyFont="1" applyBorder="1" applyAlignment="1">
      <alignment horizontal="center"/>
    </xf>
    <xf numFmtId="44" fontId="2" fillId="0" borderId="37" xfId="1" applyFont="1" applyBorder="1"/>
    <xf numFmtId="166" fontId="20" fillId="0" borderId="37" xfId="0" applyNumberFormat="1" applyFont="1" applyBorder="1"/>
    <xf numFmtId="15" fontId="2" fillId="0" borderId="37" xfId="0" applyNumberFormat="1" applyFont="1" applyBorder="1"/>
    <xf numFmtId="44" fontId="1" fillId="0" borderId="37" xfId="1" applyBorder="1"/>
    <xf numFmtId="0" fontId="0" fillId="0" borderId="37" xfId="0" applyBorder="1"/>
    <xf numFmtId="0" fontId="18" fillId="0" borderId="38" xfId="0" applyFont="1" applyBorder="1" applyAlignment="1">
      <alignment horizontal="left"/>
    </xf>
    <xf numFmtId="44" fontId="8" fillId="7" borderId="39" xfId="1" applyFont="1" applyFill="1" applyBorder="1" applyAlignment="1">
      <alignment horizontal="center"/>
    </xf>
    <xf numFmtId="44" fontId="8" fillId="7" borderId="27" xfId="1" applyFont="1" applyFill="1" applyBorder="1" applyAlignment="1">
      <alignment horizontal="center"/>
    </xf>
    <xf numFmtId="164" fontId="18" fillId="0" borderId="40" xfId="0" applyNumberFormat="1" applyFont="1" applyBorder="1" applyAlignment="1">
      <alignment horizontal="center"/>
    </xf>
    <xf numFmtId="44" fontId="9" fillId="0" borderId="41" xfId="1" applyFont="1" applyBorder="1"/>
    <xf numFmtId="0" fontId="0" fillId="0" borderId="42" xfId="0" applyBorder="1"/>
    <xf numFmtId="0" fontId="21" fillId="0" borderId="42" xfId="0" applyFont="1" applyBorder="1" applyAlignment="1">
      <alignment horizontal="center"/>
    </xf>
    <xf numFmtId="44" fontId="22" fillId="0" borderId="42" xfId="1" applyFont="1" applyBorder="1"/>
    <xf numFmtId="0" fontId="2" fillId="0" borderId="42" xfId="0" applyFont="1" applyBorder="1" applyAlignment="1">
      <alignment horizontal="center"/>
    </xf>
    <xf numFmtId="44" fontId="2" fillId="0" borderId="43" xfId="1" applyFont="1" applyBorder="1"/>
    <xf numFmtId="44" fontId="2" fillId="0" borderId="0" xfId="1" applyFont="1" applyBorder="1"/>
    <xf numFmtId="166" fontId="2" fillId="0" borderId="39" xfId="0" applyNumberFormat="1" applyFont="1" applyBorder="1" applyAlignment="1">
      <alignment horizontal="center"/>
    </xf>
    <xf numFmtId="166" fontId="8" fillId="0" borderId="27" xfId="0" applyNumberFormat="1" applyFont="1" applyBorder="1"/>
    <xf numFmtId="164" fontId="16" fillId="0" borderId="0" xfId="0" applyNumberFormat="1" applyFont="1" applyAlignment="1">
      <alignment horizontal="center"/>
    </xf>
    <xf numFmtId="166" fontId="9" fillId="0" borderId="45" xfId="0" applyNumberFormat="1" applyFont="1" applyBorder="1" applyAlignment="1">
      <alignment horizontal="center" vertical="center" wrapText="1"/>
    </xf>
    <xf numFmtId="44" fontId="8" fillId="0" borderId="20" xfId="1" applyFont="1" applyBorder="1"/>
    <xf numFmtId="44" fontId="9" fillId="0" borderId="0" xfId="1" applyFont="1" applyAlignment="1">
      <alignment horizontal="center" vertical="center" wrapText="1"/>
    </xf>
    <xf numFmtId="44" fontId="8" fillId="0" borderId="0" xfId="1" applyFont="1"/>
    <xf numFmtId="0" fontId="23" fillId="0" borderId="47" xfId="0" applyFont="1" applyBorder="1"/>
    <xf numFmtId="0" fontId="24" fillId="0" borderId="47" xfId="0" applyFont="1" applyBorder="1" applyAlignment="1">
      <alignment horizontal="right"/>
    </xf>
    <xf numFmtId="44" fontId="2" fillId="0" borderId="47" xfId="1" applyFont="1" applyBorder="1"/>
    <xf numFmtId="0" fontId="8" fillId="0" borderId="0" xfId="0" applyFont="1" applyAlignment="1">
      <alignment vertical="center"/>
    </xf>
    <xf numFmtId="166" fontId="12" fillId="0" borderId="0" xfId="0" applyNumberFormat="1" applyFont="1"/>
    <xf numFmtId="0" fontId="2" fillId="0" borderId="21" xfId="0" applyFont="1" applyBorder="1" applyAlignment="1">
      <alignment horizontal="left"/>
    </xf>
    <xf numFmtId="0" fontId="8" fillId="0" borderId="46" xfId="0" applyFont="1" applyBorder="1" applyAlignment="1">
      <alignment vertical="center"/>
    </xf>
    <xf numFmtId="164" fontId="25" fillId="0" borderId="0" xfId="1" applyNumberFormat="1" applyFont="1" applyAlignment="1">
      <alignment horizontal="left"/>
    </xf>
    <xf numFmtId="0" fontId="2" fillId="0" borderId="0" xfId="0" applyFont="1" applyAlignment="1">
      <alignment horizontal="right"/>
    </xf>
    <xf numFmtId="44" fontId="8" fillId="0" borderId="20" xfId="1" applyFont="1" applyFill="1" applyBorder="1"/>
    <xf numFmtId="168" fontId="26" fillId="0" borderId="21" xfId="1" applyNumberFormat="1" applyFont="1" applyBorder="1"/>
    <xf numFmtId="44" fontId="27" fillId="0" borderId="37" xfId="1" applyFont="1" applyBorder="1"/>
    <xf numFmtId="44" fontId="21" fillId="0" borderId="0" xfId="1" applyFont="1"/>
    <xf numFmtId="0" fontId="21" fillId="0" borderId="0" xfId="0" applyFont="1" applyAlignment="1">
      <alignment horizontal="center"/>
    </xf>
    <xf numFmtId="0" fontId="18" fillId="0" borderId="0" xfId="0" applyFont="1"/>
    <xf numFmtId="44" fontId="28" fillId="0" borderId="0" xfId="1" applyFont="1"/>
    <xf numFmtId="44" fontId="5" fillId="0" borderId="0" xfId="1" applyFont="1"/>
    <xf numFmtId="44" fontId="4" fillId="0" borderId="0" xfId="1" applyFont="1"/>
    <xf numFmtId="44" fontId="1" fillId="0" borderId="0" xfId="1" applyBorder="1"/>
    <xf numFmtId="0" fontId="31" fillId="9" borderId="0" xfId="0" applyFont="1" applyFill="1"/>
    <xf numFmtId="44" fontId="1" fillId="9" borderId="0" xfId="1" applyFill="1"/>
    <xf numFmtId="0" fontId="0" fillId="9" borderId="0" xfId="0" applyFill="1"/>
    <xf numFmtId="164" fontId="2" fillId="9" borderId="0" xfId="0" applyNumberFormat="1" applyFont="1" applyFill="1" applyAlignment="1">
      <alignment horizontal="center"/>
    </xf>
    <xf numFmtId="0" fontId="8" fillId="0" borderId="37" xfId="0" applyFont="1" applyBorder="1" applyAlignment="1">
      <alignment horizontal="center"/>
    </xf>
    <xf numFmtId="44" fontId="8" fillId="0" borderId="37" xfId="1" applyFont="1" applyBorder="1" applyAlignment="1">
      <alignment horizontal="center"/>
    </xf>
    <xf numFmtId="164" fontId="32" fillId="0" borderId="31" xfId="0" applyNumberFormat="1" applyFont="1" applyBorder="1" applyAlignment="1">
      <alignment horizontal="center"/>
    </xf>
    <xf numFmtId="1" fontId="33" fillId="0" borderId="31" xfId="0" applyNumberFormat="1" applyFont="1" applyBorder="1" applyAlignment="1">
      <alignment horizontal="center"/>
    </xf>
    <xf numFmtId="164" fontId="2" fillId="0" borderId="0" xfId="0" applyNumberFormat="1" applyFont="1" applyAlignment="1">
      <alignment horizontal="center"/>
    </xf>
    <xf numFmtId="44" fontId="34" fillId="0" borderId="49" xfId="1" applyFont="1" applyBorder="1"/>
    <xf numFmtId="164" fontId="32" fillId="0" borderId="20" xfId="0" applyNumberFormat="1" applyFont="1" applyBorder="1" applyAlignment="1">
      <alignment horizontal="center"/>
    </xf>
    <xf numFmtId="1" fontId="33" fillId="0" borderId="20" xfId="0" applyNumberFormat="1" applyFont="1" applyBorder="1" applyAlignment="1">
      <alignment horizontal="center"/>
    </xf>
    <xf numFmtId="164" fontId="2" fillId="0" borderId="20" xfId="0" applyNumberFormat="1" applyFont="1" applyBorder="1" applyAlignment="1">
      <alignment horizontal="center"/>
    </xf>
    <xf numFmtId="164" fontId="32" fillId="0" borderId="50" xfId="0" applyNumberFormat="1" applyFont="1" applyBorder="1" applyAlignment="1">
      <alignment horizontal="center"/>
    </xf>
    <xf numFmtId="1" fontId="33" fillId="0" borderId="50" xfId="0" applyNumberFormat="1" applyFont="1" applyBorder="1" applyAlignment="1">
      <alignment horizontal="center"/>
    </xf>
    <xf numFmtId="44" fontId="2" fillId="0" borderId="47" xfId="1" applyFont="1" applyFill="1" applyBorder="1"/>
    <xf numFmtId="164" fontId="2" fillId="0" borderId="47" xfId="0" applyNumberFormat="1" applyFont="1" applyBorder="1" applyAlignment="1">
      <alignment horizontal="center"/>
    </xf>
    <xf numFmtId="44" fontId="35" fillId="3" borderId="49" xfId="1" applyFont="1" applyFill="1" applyBorder="1"/>
    <xf numFmtId="166" fontId="9" fillId="0" borderId="45" xfId="0" applyNumberFormat="1" applyFont="1" applyBorder="1" applyAlignment="1">
      <alignment horizontal="center" vertical="center" wrapText="1"/>
    </xf>
    <xf numFmtId="44" fontId="2" fillId="0" borderId="0" xfId="1" applyFont="1" applyFill="1" applyBorder="1" applyAlignment="1">
      <alignment horizontal="center"/>
    </xf>
    <xf numFmtId="165" fontId="2" fillId="3" borderId="11" xfId="0" applyNumberFormat="1" applyFont="1" applyFill="1" applyBorder="1" applyAlignment="1">
      <alignment horizontal="left"/>
    </xf>
    <xf numFmtId="44" fontId="2" fillId="3" borderId="21" xfId="1" applyFont="1" applyFill="1" applyBorder="1" applyAlignment="1">
      <alignment horizontal="right"/>
    </xf>
    <xf numFmtId="0" fontId="2" fillId="0" borderId="20" xfId="0" applyFont="1" applyBorder="1" applyAlignment="1">
      <alignment horizontal="center"/>
    </xf>
    <xf numFmtId="164" fontId="2" fillId="0" borderId="51" xfId="0" applyNumberFormat="1" applyFont="1" applyBorder="1" applyAlignment="1">
      <alignment horizontal="center"/>
    </xf>
    <xf numFmtId="44" fontId="2" fillId="0" borderId="52" xfId="1" applyFont="1" applyFill="1" applyBorder="1"/>
    <xf numFmtId="15" fontId="2" fillId="0" borderId="53" xfId="0" applyNumberFormat="1" applyFont="1" applyBorder="1"/>
    <xf numFmtId="44" fontId="2" fillId="0" borderId="54" xfId="1" applyFont="1" applyFill="1" applyBorder="1"/>
    <xf numFmtId="0" fontId="0" fillId="0" borderId="55" xfId="0" applyBorder="1"/>
    <xf numFmtId="44" fontId="2" fillId="0" borderId="56" xfId="1" applyFont="1" applyFill="1" applyBorder="1"/>
    <xf numFmtId="44" fontId="2" fillId="0" borderId="29" xfId="1" applyFont="1" applyFill="1" applyBorder="1"/>
    <xf numFmtId="165" fontId="17" fillId="0" borderId="20" xfId="1" applyNumberFormat="1" applyFont="1" applyFill="1" applyBorder="1" applyAlignment="1">
      <alignment horizontal="left"/>
    </xf>
    <xf numFmtId="165" fontId="9" fillId="0" borderId="46" xfId="1" applyNumberFormat="1" applyFont="1" applyFill="1" applyBorder="1" applyAlignment="1">
      <alignment horizontal="left"/>
    </xf>
    <xf numFmtId="44" fontId="18" fillId="0" borderId="20" xfId="1" applyFont="1" applyFill="1" applyBorder="1" applyAlignment="1">
      <alignment horizontal="right"/>
    </xf>
    <xf numFmtId="165" fontId="9" fillId="0" borderId="20" xfId="1" applyNumberFormat="1" applyFont="1" applyFill="1" applyBorder="1" applyAlignment="1">
      <alignment horizontal="left"/>
    </xf>
    <xf numFmtId="44" fontId="1" fillId="0" borderId="47" xfId="1" applyBorder="1"/>
    <xf numFmtId="44" fontId="8" fillId="0" borderId="0" xfId="1" applyFont="1" applyFill="1" applyBorder="1" applyAlignment="1">
      <alignment horizontal="center"/>
    </xf>
    <xf numFmtId="167" fontId="5" fillId="0" borderId="0" xfId="1" applyNumberFormat="1" applyFont="1" applyFill="1" applyBorder="1" applyAlignment="1">
      <alignment horizontal="center" vertical="center" wrapText="1"/>
    </xf>
    <xf numFmtId="165" fontId="26" fillId="0" borderId="21" xfId="1" applyNumberFormat="1" applyFont="1" applyBorder="1"/>
    <xf numFmtId="0" fontId="5" fillId="0" borderId="0" xfId="0" applyFont="1"/>
    <xf numFmtId="44" fontId="8" fillId="11" borderId="0" xfId="1" applyFont="1" applyFill="1"/>
    <xf numFmtId="44" fontId="1" fillId="11" borderId="0" xfId="1" applyFill="1"/>
    <xf numFmtId="0" fontId="8" fillId="11" borderId="0" xfId="0" applyFont="1" applyFill="1"/>
    <xf numFmtId="165" fontId="8" fillId="3" borderId="0" xfId="0" applyNumberFormat="1" applyFont="1" applyFill="1" applyAlignment="1">
      <alignment horizontal="left"/>
    </xf>
    <xf numFmtId="44" fontId="2" fillId="12" borderId="12" xfId="1" applyFont="1" applyFill="1" applyBorder="1"/>
    <xf numFmtId="166" fontId="9" fillId="13" borderId="0" xfId="0" applyNumberFormat="1" applyFont="1" applyFill="1"/>
    <xf numFmtId="44" fontId="2" fillId="12" borderId="14" xfId="1" applyFont="1" applyFill="1" applyBorder="1"/>
    <xf numFmtId="44" fontId="2" fillId="12" borderId="19" xfId="1" applyFont="1" applyFill="1" applyBorder="1"/>
    <xf numFmtId="44" fontId="2" fillId="12" borderId="17" xfId="1" applyFont="1" applyFill="1" applyBorder="1"/>
    <xf numFmtId="44" fontId="2" fillId="12" borderId="18" xfId="1" applyFont="1" applyFill="1" applyBorder="1"/>
    <xf numFmtId="166" fontId="15" fillId="0" borderId="57" xfId="0" applyNumberFormat="1" applyFont="1" applyBorder="1"/>
    <xf numFmtId="15" fontId="2" fillId="0" borderId="44" xfId="0" applyNumberFormat="1" applyFont="1" applyBorder="1"/>
    <xf numFmtId="44" fontId="2" fillId="0" borderId="58" xfId="1" applyFont="1" applyFill="1" applyBorder="1"/>
    <xf numFmtId="166" fontId="15" fillId="0" borderId="59" xfId="0" applyNumberFormat="1" applyFont="1" applyBorder="1"/>
    <xf numFmtId="44" fontId="2" fillId="0" borderId="60" xfId="1" applyFont="1" applyFill="1" applyBorder="1"/>
    <xf numFmtId="0" fontId="17" fillId="0" borderId="31" xfId="0" applyFont="1" applyBorder="1" applyAlignment="1">
      <alignment horizontal="left"/>
    </xf>
    <xf numFmtId="44" fontId="2" fillId="0" borderId="61" xfId="1" applyFont="1" applyFill="1" applyBorder="1"/>
    <xf numFmtId="44" fontId="2" fillId="0" borderId="62" xfId="1" applyFont="1" applyFill="1" applyBorder="1"/>
    <xf numFmtId="44" fontId="37" fillId="0" borderId="17" xfId="1" applyFont="1" applyFill="1" applyBorder="1"/>
    <xf numFmtId="44" fontId="37" fillId="0" borderId="0" xfId="1" applyFont="1" applyFill="1" applyBorder="1" applyAlignment="1">
      <alignment horizontal="center"/>
    </xf>
    <xf numFmtId="166" fontId="14" fillId="0" borderId="59" xfId="0" applyNumberFormat="1" applyFont="1" applyBorder="1"/>
    <xf numFmtId="15" fontId="2" fillId="0" borderId="3" xfId="0" applyNumberFormat="1" applyFont="1" applyBorder="1"/>
    <xf numFmtId="44" fontId="37" fillId="0" borderId="0" xfId="1" applyFont="1" applyFill="1" applyBorder="1"/>
    <xf numFmtId="166" fontId="17" fillId="0" borderId="59" xfId="0" applyNumberFormat="1" applyFont="1" applyBorder="1"/>
    <xf numFmtId="166" fontId="18" fillId="0" borderId="59" xfId="0" applyNumberFormat="1" applyFont="1" applyBorder="1"/>
    <xf numFmtId="44" fontId="37" fillId="13" borderId="0" xfId="1" applyFont="1" applyFill="1" applyBorder="1"/>
    <xf numFmtId="164" fontId="2" fillId="3" borderId="11" xfId="0" applyNumberFormat="1" applyFont="1" applyFill="1" applyBorder="1" applyAlignment="1">
      <alignment horizontal="center"/>
    </xf>
    <xf numFmtId="44" fontId="2" fillId="3" borderId="63" xfId="1" applyFont="1" applyFill="1" applyBorder="1"/>
    <xf numFmtId="0" fontId="17" fillId="0" borderId="38" xfId="0" applyFont="1" applyBorder="1" applyAlignment="1">
      <alignment horizontal="left"/>
    </xf>
    <xf numFmtId="164" fontId="32" fillId="0" borderId="20" xfId="0" applyNumberFormat="1" applyFont="1" applyFill="1" applyBorder="1" applyAlignment="1">
      <alignment horizontal="center"/>
    </xf>
    <xf numFmtId="1" fontId="33" fillId="0" borderId="20" xfId="0" applyNumberFormat="1" applyFont="1" applyFill="1" applyBorder="1" applyAlignment="1">
      <alignment horizontal="center"/>
    </xf>
    <xf numFmtId="164" fontId="2" fillId="0" borderId="20" xfId="0" applyNumberFormat="1" applyFont="1" applyFill="1" applyBorder="1" applyAlignment="1">
      <alignment horizontal="center"/>
    </xf>
    <xf numFmtId="44" fontId="37" fillId="0" borderId="0" xfId="1" applyFont="1" applyFill="1" applyBorder="1" applyAlignment="1">
      <alignment horizontal="right"/>
    </xf>
    <xf numFmtId="166" fontId="17" fillId="12" borderId="0" xfId="0" applyNumberFormat="1" applyFont="1" applyFill="1"/>
    <xf numFmtId="44" fontId="2" fillId="0" borderId="0" xfId="1" applyFont="1" applyFill="1" applyBorder="1" applyAlignment="1">
      <alignment horizontal="right"/>
    </xf>
    <xf numFmtId="44" fontId="38" fillId="0" borderId="0" xfId="1" applyFont="1" applyFill="1" applyBorder="1" applyAlignment="1">
      <alignment horizontal="center"/>
    </xf>
    <xf numFmtId="165" fontId="18" fillId="0" borderId="15" xfId="1" applyNumberFormat="1" applyFont="1" applyBorder="1" applyAlignment="1">
      <alignment horizontal="center"/>
    </xf>
    <xf numFmtId="0" fontId="39" fillId="0" borderId="11" xfId="0" applyFont="1" applyBorder="1" applyAlignment="1">
      <alignment horizontal="left"/>
    </xf>
    <xf numFmtId="44" fontId="18" fillId="0" borderId="21" xfId="1" applyFont="1" applyFill="1" applyBorder="1" applyAlignment="1">
      <alignment horizontal="right"/>
    </xf>
    <xf numFmtId="165" fontId="18" fillId="0" borderId="2" xfId="0" applyNumberFormat="1" applyFont="1" applyBorder="1" applyAlignment="1">
      <alignment horizontal="center"/>
    </xf>
    <xf numFmtId="0" fontId="18" fillId="0" borderId="11" xfId="0" applyFont="1" applyBorder="1" applyAlignment="1">
      <alignment horizontal="left"/>
    </xf>
    <xf numFmtId="44" fontId="18" fillId="0" borderId="24" xfId="1" applyFont="1" applyBorder="1" applyAlignment="1">
      <alignment horizontal="right"/>
    </xf>
    <xf numFmtId="165" fontId="17" fillId="0" borderId="15" xfId="1" applyNumberFormat="1" applyFont="1" applyBorder="1" applyAlignment="1">
      <alignment horizontal="left"/>
    </xf>
    <xf numFmtId="0" fontId="17" fillId="0" borderId="11" xfId="0" applyFont="1" applyBorder="1" applyAlignment="1">
      <alignment horizontal="left"/>
    </xf>
    <xf numFmtId="166" fontId="40" fillId="0" borderId="0" xfId="0" applyNumberFormat="1" applyFont="1"/>
    <xf numFmtId="44" fontId="14" fillId="0" borderId="20" xfId="1" applyFont="1" applyFill="1" applyBorder="1" applyAlignment="1">
      <alignment horizontal="left" vertical="center"/>
    </xf>
    <xf numFmtId="16" fontId="18" fillId="0" borderId="31" xfId="0" applyNumberFormat="1" applyFont="1" applyBorder="1" applyAlignment="1">
      <alignment horizontal="left"/>
    </xf>
    <xf numFmtId="44" fontId="18" fillId="0" borderId="0" xfId="1" applyFont="1" applyFill="1" applyBorder="1"/>
    <xf numFmtId="166" fontId="18" fillId="0" borderId="20" xfId="0" applyNumberFormat="1" applyFont="1" applyBorder="1"/>
    <xf numFmtId="44" fontId="2" fillId="0" borderId="63" xfId="1" applyFont="1" applyFill="1" applyBorder="1"/>
    <xf numFmtId="44" fontId="18" fillId="0" borderId="23" xfId="1" applyFont="1" applyFill="1" applyBorder="1" applyAlignment="1">
      <alignment horizontal="right"/>
    </xf>
    <xf numFmtId="44" fontId="41" fillId="0" borderId="0" xfId="1" applyFont="1" applyFill="1" applyBorder="1" applyAlignment="1">
      <alignment horizontal="right"/>
    </xf>
    <xf numFmtId="0" fontId="37" fillId="0" borderId="42" xfId="0" applyFont="1" applyBorder="1" applyAlignment="1">
      <alignment horizontal="center"/>
    </xf>
    <xf numFmtId="44" fontId="41" fillId="0" borderId="42" xfId="1" applyFont="1" applyBorder="1"/>
    <xf numFmtId="44" fontId="37" fillId="0" borderId="0" xfId="1" applyFont="1" applyFill="1" applyAlignment="1">
      <alignment horizontal="right"/>
    </xf>
    <xf numFmtId="167" fontId="42" fillId="0" borderId="0" xfId="1" applyNumberFormat="1" applyFont="1" applyFill="1" applyBorder="1" applyAlignment="1">
      <alignment horizontal="right" vertical="center" wrapText="1"/>
    </xf>
    <xf numFmtId="1" fontId="33" fillId="14" borderId="20" xfId="0" applyNumberFormat="1" applyFont="1" applyFill="1" applyBorder="1" applyAlignment="1">
      <alignment horizontal="center"/>
    </xf>
    <xf numFmtId="44" fontId="2" fillId="14" borderId="20" xfId="1" applyFont="1" applyFill="1" applyBorder="1"/>
    <xf numFmtId="165" fontId="1" fillId="0" borderId="0" xfId="1" applyNumberFormat="1" applyFill="1"/>
    <xf numFmtId="165" fontId="1" fillId="11" borderId="0" xfId="1" applyNumberFormat="1" applyFill="1"/>
    <xf numFmtId="44" fontId="9" fillId="0" borderId="9" xfId="1" applyFont="1" applyBorder="1"/>
    <xf numFmtId="165" fontId="8" fillId="3" borderId="64" xfId="0" applyNumberFormat="1" applyFont="1" applyFill="1" applyBorder="1" applyAlignment="1">
      <alignment horizontal="left"/>
    </xf>
    <xf numFmtId="165" fontId="12" fillId="0" borderId="9" xfId="0" applyNumberFormat="1" applyFont="1" applyBorder="1"/>
    <xf numFmtId="164" fontId="2" fillId="0" borderId="65" xfId="0" applyNumberFormat="1" applyFont="1" applyBorder="1" applyAlignment="1">
      <alignment horizontal="center"/>
    </xf>
    <xf numFmtId="44" fontId="2" fillId="0" borderId="66" xfId="1" applyFont="1" applyFill="1" applyBorder="1"/>
    <xf numFmtId="166" fontId="14" fillId="0" borderId="64" xfId="0" applyNumberFormat="1" applyFont="1" applyBorder="1" applyAlignment="1">
      <alignment horizontal="left"/>
    </xf>
    <xf numFmtId="165" fontId="1" fillId="0" borderId="0" xfId="1" applyNumberFormat="1"/>
    <xf numFmtId="166" fontId="15" fillId="0" borderId="64" xfId="0" applyNumberFormat="1" applyFont="1" applyBorder="1"/>
    <xf numFmtId="166" fontId="17" fillId="0" borderId="64" xfId="0" applyNumberFormat="1" applyFont="1" applyBorder="1"/>
    <xf numFmtId="165" fontId="2" fillId="0" borderId="0" xfId="1" applyNumberFormat="1" applyFont="1" applyFill="1"/>
    <xf numFmtId="166" fontId="14" fillId="0" borderId="64" xfId="0" applyNumberFormat="1" applyFont="1" applyBorder="1"/>
    <xf numFmtId="165" fontId="9" fillId="0" borderId="0" xfId="1" applyNumberFormat="1" applyFont="1" applyFill="1"/>
    <xf numFmtId="166" fontId="18" fillId="0" borderId="64" xfId="0" applyNumberFormat="1" applyFont="1" applyBorder="1"/>
    <xf numFmtId="165" fontId="19" fillId="0" borderId="0" xfId="1" applyNumberFormat="1" applyFont="1" applyFill="1" applyAlignment="1">
      <alignment horizontal="left"/>
    </xf>
    <xf numFmtId="165" fontId="17" fillId="0" borderId="0" xfId="1" applyNumberFormat="1" applyFont="1" applyFill="1" applyAlignment="1">
      <alignment horizontal="center"/>
    </xf>
    <xf numFmtId="166" fontId="40" fillId="0" borderId="64" xfId="0" applyNumberFormat="1" applyFont="1" applyBorder="1"/>
    <xf numFmtId="166" fontId="15" fillId="0" borderId="67" xfId="0" applyNumberFormat="1" applyFont="1" applyBorder="1"/>
    <xf numFmtId="44" fontId="2" fillId="0" borderId="68" xfId="1" applyFont="1" applyFill="1" applyBorder="1"/>
    <xf numFmtId="166" fontId="14" fillId="0" borderId="67" xfId="0" applyNumberFormat="1" applyFont="1" applyBorder="1"/>
    <xf numFmtId="44" fontId="2" fillId="0" borderId="70" xfId="1" applyFont="1" applyBorder="1"/>
    <xf numFmtId="165" fontId="2" fillId="0" borderId="0" xfId="1" applyNumberFormat="1" applyFont="1" applyBorder="1"/>
    <xf numFmtId="165" fontId="9" fillId="0" borderId="45" xfId="0" applyNumberFormat="1" applyFont="1" applyBorder="1" applyAlignment="1">
      <alignment horizontal="center" vertical="center" wrapText="1"/>
    </xf>
    <xf numFmtId="165" fontId="9" fillId="0" borderId="0" xfId="1" applyNumberFormat="1" applyFont="1" applyAlignment="1">
      <alignment horizontal="center" vertical="center" wrapText="1"/>
    </xf>
    <xf numFmtId="165" fontId="8" fillId="0" borderId="0" xfId="0" applyNumberFormat="1" applyFont="1" applyAlignment="1">
      <alignment vertical="center"/>
    </xf>
    <xf numFmtId="165" fontId="8" fillId="0" borderId="46" xfId="0" applyNumberFormat="1" applyFont="1" applyBorder="1" applyAlignment="1">
      <alignment vertical="center"/>
    </xf>
    <xf numFmtId="165" fontId="2" fillId="0" borderId="0" xfId="0" applyNumberFormat="1" applyFont="1" applyAlignment="1">
      <alignment horizontal="center"/>
    </xf>
    <xf numFmtId="165" fontId="0" fillId="0" borderId="0" xfId="0" applyNumberFormat="1"/>
    <xf numFmtId="0" fontId="0" fillId="0" borderId="0" xfId="0" applyBorder="1"/>
    <xf numFmtId="44" fontId="18" fillId="0" borderId="0" xfId="1" applyFont="1" applyFill="1" applyBorder="1" applyAlignment="1">
      <alignment horizontal="right"/>
    </xf>
    <xf numFmtId="166" fontId="18" fillId="0" borderId="0" xfId="0" applyNumberFormat="1" applyFont="1" applyBorder="1"/>
    <xf numFmtId="44" fontId="0" fillId="0" borderId="0" xfId="0" applyNumberFormat="1" applyBorder="1"/>
    <xf numFmtId="1" fontId="33" fillId="13" borderId="20" xfId="0" applyNumberFormat="1" applyFont="1" applyFill="1" applyBorder="1" applyAlignment="1">
      <alignment horizontal="center"/>
    </xf>
    <xf numFmtId="44" fontId="2" fillId="0" borderId="71" xfId="1" applyFont="1" applyFill="1" applyBorder="1"/>
    <xf numFmtId="166" fontId="17" fillId="15" borderId="67" xfId="0" applyNumberFormat="1" applyFont="1" applyFill="1" applyBorder="1"/>
    <xf numFmtId="166" fontId="18" fillId="15" borderId="67" xfId="0" applyNumberFormat="1" applyFont="1" applyFill="1" applyBorder="1"/>
    <xf numFmtId="164" fontId="2" fillId="15" borderId="65" xfId="0" applyNumberFormat="1" applyFont="1" applyFill="1" applyBorder="1" applyAlignment="1">
      <alignment horizontal="center"/>
    </xf>
    <xf numFmtId="44" fontId="2" fillId="15" borderId="68" xfId="1" applyFont="1" applyFill="1" applyBorder="1"/>
    <xf numFmtId="44" fontId="2" fillId="15" borderId="69" xfId="1" applyFont="1" applyFill="1" applyBorder="1"/>
    <xf numFmtId="44" fontId="2" fillId="15" borderId="70" xfId="1" applyFont="1" applyFill="1" applyBorder="1"/>
    <xf numFmtId="0" fontId="8" fillId="0" borderId="0" xfId="0" applyFont="1"/>
    <xf numFmtId="0" fontId="36" fillId="0" borderId="37" xfId="0" applyFont="1" applyBorder="1" applyAlignment="1">
      <alignment vertical="center" wrapText="1"/>
    </xf>
    <xf numFmtId="0" fontId="2" fillId="5" borderId="0" xfId="0" applyFont="1" applyFill="1" applyAlignment="1">
      <alignment horizontal="center"/>
    </xf>
    <xf numFmtId="44" fontId="2" fillId="3" borderId="66" xfId="1" applyFont="1" applyFill="1" applyBorder="1"/>
    <xf numFmtId="15" fontId="2" fillId="3" borderId="13" xfId="0" applyNumberFormat="1" applyFont="1" applyFill="1" applyBorder="1"/>
    <xf numFmtId="44" fontId="2" fillId="3" borderId="14" xfId="1" applyFont="1" applyFill="1" applyBorder="1"/>
    <xf numFmtId="44" fontId="2" fillId="3" borderId="19" xfId="1" applyFont="1" applyFill="1" applyBorder="1"/>
    <xf numFmtId="165" fontId="17" fillId="14" borderId="0" xfId="1" applyNumberFormat="1" applyFont="1" applyFill="1"/>
    <xf numFmtId="44" fontId="2" fillId="15" borderId="66" xfId="1" applyFont="1" applyFill="1" applyBorder="1"/>
    <xf numFmtId="15" fontId="2" fillId="15" borderId="13" xfId="0" applyNumberFormat="1" applyFont="1" applyFill="1" applyBorder="1"/>
    <xf numFmtId="44" fontId="2" fillId="15" borderId="14" xfId="1" applyFont="1" applyFill="1" applyBorder="1"/>
    <xf numFmtId="44" fontId="2" fillId="15" borderId="19" xfId="1" applyFont="1" applyFill="1" applyBorder="1"/>
    <xf numFmtId="165" fontId="2" fillId="15" borderId="0" xfId="1" applyNumberFormat="1" applyFont="1" applyFill="1" applyAlignment="1">
      <alignment horizontal="center"/>
    </xf>
    <xf numFmtId="16" fontId="2" fillId="0" borderId="20" xfId="0" applyNumberFormat="1" applyFont="1" applyBorder="1"/>
    <xf numFmtId="44" fontId="2" fillId="15" borderId="17" xfId="1" applyFont="1" applyFill="1" applyBorder="1"/>
    <xf numFmtId="44" fontId="2" fillId="15" borderId="18" xfId="1" applyFont="1" applyFill="1" applyBorder="1"/>
    <xf numFmtId="165" fontId="19" fillId="0" borderId="11" xfId="0" applyNumberFormat="1" applyFont="1" applyBorder="1" applyAlignment="1">
      <alignment horizontal="left"/>
    </xf>
    <xf numFmtId="44" fontId="18" fillId="0" borderId="20" xfId="1" applyFont="1" applyFill="1" applyBorder="1" applyAlignment="1">
      <alignment horizontal="left" vertical="center"/>
    </xf>
    <xf numFmtId="0" fontId="17" fillId="3" borderId="20" xfId="0" applyFont="1" applyFill="1" applyBorder="1" applyAlignment="1">
      <alignment horizontal="left"/>
    </xf>
    <xf numFmtId="0" fontId="9" fillId="3" borderId="20" xfId="0" applyFont="1" applyFill="1" applyBorder="1" applyAlignment="1">
      <alignment horizontal="left"/>
    </xf>
    <xf numFmtId="166" fontId="17" fillId="0" borderId="67" xfId="0" applyNumberFormat="1" applyFont="1" applyBorder="1"/>
    <xf numFmtId="166" fontId="18" fillId="0" borderId="67" xfId="0" applyNumberFormat="1" applyFont="1" applyBorder="1"/>
    <xf numFmtId="44" fontId="2" fillId="0" borderId="69" xfId="1" applyFont="1" applyFill="1" applyBorder="1"/>
    <xf numFmtId="44" fontId="2" fillId="0" borderId="37" xfId="1" applyFont="1" applyFill="1" applyBorder="1"/>
    <xf numFmtId="0" fontId="0" fillId="0" borderId="72" xfId="0" applyBorder="1"/>
    <xf numFmtId="165" fontId="17" fillId="14" borderId="20" xfId="1" applyNumberFormat="1" applyFont="1" applyFill="1" applyBorder="1" applyAlignment="1">
      <alignment horizontal="left"/>
    </xf>
    <xf numFmtId="44" fontId="2" fillId="0" borderId="73" xfId="1" applyFont="1" applyFill="1" applyBorder="1"/>
    <xf numFmtId="166" fontId="18" fillId="0" borderId="74" xfId="0" applyNumberFormat="1" applyFont="1" applyBorder="1"/>
    <xf numFmtId="44" fontId="2" fillId="0" borderId="55" xfId="1" applyFont="1" applyBorder="1"/>
    <xf numFmtId="0" fontId="0" fillId="0" borderId="75" xfId="0" applyBorder="1"/>
    <xf numFmtId="15" fontId="2" fillId="0" borderId="76" xfId="0" applyNumberFormat="1" applyFont="1" applyBorder="1"/>
    <xf numFmtId="165" fontId="2" fillId="0" borderId="20" xfId="1" applyNumberFormat="1" applyFont="1" applyFill="1" applyBorder="1" applyAlignment="1">
      <alignment horizontal="left"/>
    </xf>
    <xf numFmtId="0" fontId="17" fillId="0" borderId="22" xfId="0" applyFont="1" applyBorder="1" applyAlignment="1">
      <alignment horizontal="left"/>
    </xf>
    <xf numFmtId="44" fontId="2" fillId="0" borderId="77" xfId="1" applyFont="1" applyFill="1" applyBorder="1"/>
    <xf numFmtId="164" fontId="2" fillId="0" borderId="78" xfId="0" applyNumberFormat="1" applyFont="1" applyBorder="1" applyAlignment="1">
      <alignment horizontal="center"/>
    </xf>
    <xf numFmtId="44" fontId="2" fillId="0" borderId="78" xfId="1" applyFont="1" applyFill="1" applyBorder="1"/>
    <xf numFmtId="165" fontId="19" fillId="0" borderId="34" xfId="1" applyNumberFormat="1" applyFont="1" applyFill="1" applyBorder="1" applyAlignment="1">
      <alignment horizontal="left"/>
    </xf>
    <xf numFmtId="164" fontId="2" fillId="0" borderId="79" xfId="0" applyNumberFormat="1" applyFont="1" applyBorder="1" applyAlignment="1">
      <alignment horizontal="center"/>
    </xf>
    <xf numFmtId="15" fontId="2" fillId="0" borderId="80" xfId="0" applyNumberFormat="1" applyFont="1" applyBorder="1"/>
    <xf numFmtId="165" fontId="19" fillId="0" borderId="0" xfId="1" applyNumberFormat="1" applyFont="1" applyFill="1" applyBorder="1" applyAlignment="1">
      <alignment horizontal="left"/>
    </xf>
    <xf numFmtId="164" fontId="2" fillId="0" borderId="81" xfId="0" applyNumberFormat="1" applyFont="1" applyBorder="1" applyAlignment="1">
      <alignment horizontal="center"/>
    </xf>
    <xf numFmtId="44" fontId="2" fillId="16" borderId="78" xfId="1" applyFont="1" applyFill="1" applyBorder="1"/>
    <xf numFmtId="44" fontId="2" fillId="16" borderId="77" xfId="1" applyFont="1" applyFill="1" applyBorder="1"/>
    <xf numFmtId="44" fontId="2" fillId="3" borderId="77" xfId="1" applyFont="1" applyFill="1" applyBorder="1"/>
    <xf numFmtId="15" fontId="14" fillId="0" borderId="0" xfId="0" applyNumberFormat="1" applyFont="1" applyAlignment="1">
      <alignment wrapText="1"/>
    </xf>
    <xf numFmtId="44" fontId="13" fillId="0" borderId="0" xfId="1" applyFont="1" applyFill="1" applyBorder="1"/>
    <xf numFmtId="16" fontId="19" fillId="0" borderId="0" xfId="0" applyNumberFormat="1" applyFont="1"/>
    <xf numFmtId="15" fontId="14" fillId="0" borderId="0" xfId="0" applyNumberFormat="1" applyFont="1" applyAlignment="1">
      <alignment horizontal="center" wrapText="1"/>
    </xf>
    <xf numFmtId="44" fontId="2" fillId="0" borderId="31" xfId="1" applyFont="1" applyFill="1" applyBorder="1"/>
    <xf numFmtId="44" fontId="13" fillId="0" borderId="0" xfId="1" applyFont="1" applyBorder="1"/>
    <xf numFmtId="44" fontId="2" fillId="0" borderId="82" xfId="1" applyFont="1" applyFill="1" applyBorder="1"/>
    <xf numFmtId="164" fontId="18" fillId="0" borderId="83" xfId="0" applyNumberFormat="1" applyFont="1" applyBorder="1" applyAlignment="1">
      <alignment horizontal="center"/>
    </xf>
    <xf numFmtId="44" fontId="9" fillId="0" borderId="84" xfId="1" applyFont="1" applyBorder="1"/>
    <xf numFmtId="44" fontId="0" fillId="0" borderId="0" xfId="0" applyNumberFormat="1"/>
    <xf numFmtId="44" fontId="2" fillId="13" borderId="20" xfId="1" applyFont="1" applyFill="1" applyBorder="1"/>
    <xf numFmtId="1" fontId="33" fillId="13" borderId="50" xfId="0" applyNumberFormat="1" applyFont="1" applyFill="1" applyBorder="1" applyAlignment="1">
      <alignment horizontal="center"/>
    </xf>
    <xf numFmtId="44" fontId="2" fillId="13" borderId="47" xfId="1" applyFont="1" applyFill="1" applyBorder="1"/>
    <xf numFmtId="165" fontId="17" fillId="0" borderId="0" xfId="1" applyNumberFormat="1" applyFont="1" applyFill="1"/>
    <xf numFmtId="165" fontId="2" fillId="0" borderId="0" xfId="1" applyNumberFormat="1" applyFont="1" applyFill="1" applyAlignment="1">
      <alignment horizontal="center"/>
    </xf>
    <xf numFmtId="44" fontId="37" fillId="0" borderId="0" xfId="1" applyFont="1" applyFill="1" applyBorder="1" applyAlignment="1">
      <alignment horizontal="left"/>
    </xf>
    <xf numFmtId="44" fontId="18" fillId="3" borderId="17" xfId="1" applyFont="1" applyFill="1" applyBorder="1"/>
    <xf numFmtId="44" fontId="18" fillId="0" borderId="24" xfId="1" applyFont="1" applyFill="1" applyBorder="1" applyAlignment="1">
      <alignment horizontal="right"/>
    </xf>
    <xf numFmtId="165" fontId="17" fillId="0" borderId="15" xfId="1" applyNumberFormat="1" applyFont="1" applyFill="1" applyBorder="1" applyAlignment="1">
      <alignment horizontal="left"/>
    </xf>
    <xf numFmtId="166" fontId="9" fillId="0" borderId="67" xfId="0" applyNumberFormat="1" applyFont="1" applyBorder="1"/>
    <xf numFmtId="166" fontId="44" fillId="0" borderId="67" xfId="0" applyNumberFormat="1" applyFont="1" applyBorder="1"/>
    <xf numFmtId="0" fontId="9" fillId="0" borderId="20" xfId="0" applyFont="1" applyBorder="1" applyAlignment="1">
      <alignment horizontal="left"/>
    </xf>
    <xf numFmtId="166" fontId="9" fillId="0" borderId="74" xfId="0" applyNumberFormat="1" applyFont="1" applyBorder="1"/>
    <xf numFmtId="44" fontId="2" fillId="0" borderId="55" xfId="1" applyFont="1" applyFill="1" applyBorder="1"/>
    <xf numFmtId="44" fontId="34" fillId="3" borderId="49" xfId="1" applyFont="1" applyFill="1" applyBorder="1"/>
    <xf numFmtId="0" fontId="3" fillId="0" borderId="0" xfId="0" applyFont="1"/>
    <xf numFmtId="44" fontId="6" fillId="0" borderId="0" xfId="1" applyFont="1" applyBorder="1" applyAlignment="1">
      <alignment horizontal="center"/>
    </xf>
    <xf numFmtId="44" fontId="6" fillId="0" borderId="1" xfId="1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12" fillId="0" borderId="7" xfId="0" applyFont="1" applyBorder="1" applyAlignment="1">
      <alignment horizontal="center"/>
    </xf>
    <xf numFmtId="0" fontId="12" fillId="0" borderId="8" xfId="0" applyFont="1" applyBorder="1" applyAlignment="1">
      <alignment horizontal="center"/>
    </xf>
    <xf numFmtId="167" fontId="5" fillId="3" borderId="2" xfId="1" applyNumberFormat="1" applyFont="1" applyFill="1" applyBorder="1" applyAlignment="1">
      <alignment horizontal="center" vertical="center" wrapText="1"/>
    </xf>
    <xf numFmtId="167" fontId="5" fillId="3" borderId="44" xfId="1" applyNumberFormat="1" applyFont="1" applyFill="1" applyBorder="1" applyAlignment="1">
      <alignment horizontal="center" vertical="center" wrapText="1"/>
    </xf>
    <xf numFmtId="166" fontId="9" fillId="0" borderId="21" xfId="0" applyNumberFormat="1" applyFont="1" applyBorder="1" applyAlignment="1">
      <alignment horizontal="center" vertical="center" wrapText="1"/>
    </xf>
    <xf numFmtId="166" fontId="9" fillId="0" borderId="45" xfId="0" applyNumberFormat="1" applyFont="1" applyBorder="1" applyAlignment="1">
      <alignment horizontal="center" vertical="center" wrapText="1"/>
    </xf>
    <xf numFmtId="166" fontId="9" fillId="0" borderId="45" xfId="0" applyNumberFormat="1" applyFont="1" applyBorder="1" applyAlignment="1">
      <alignment horizontal="center"/>
    </xf>
    <xf numFmtId="0" fontId="9" fillId="0" borderId="46" xfId="0" applyFont="1" applyBorder="1" applyAlignment="1">
      <alignment horizontal="center"/>
    </xf>
    <xf numFmtId="0" fontId="19" fillId="0" borderId="0" xfId="0" applyFont="1" applyAlignment="1">
      <alignment horizontal="center"/>
    </xf>
    <xf numFmtId="166" fontId="9" fillId="0" borderId="0" xfId="0" applyNumberFormat="1" applyFont="1" applyAlignment="1">
      <alignment horizontal="center" vertical="center" wrapText="1"/>
    </xf>
    <xf numFmtId="166" fontId="18" fillId="0" borderId="0" xfId="0" applyNumberFormat="1" applyFont="1" applyAlignment="1">
      <alignment horizontal="center" vertical="center" wrapText="1"/>
    </xf>
    <xf numFmtId="44" fontId="9" fillId="0" borderId="21" xfId="1" applyFont="1" applyBorder="1" applyAlignment="1">
      <alignment horizontal="center" vertical="center" wrapText="1"/>
    </xf>
    <xf numFmtId="44" fontId="9" fillId="0" borderId="45" xfId="1" applyFont="1" applyBorder="1" applyAlignment="1">
      <alignment horizontal="center" vertical="center" wrapText="1"/>
    </xf>
    <xf numFmtId="44" fontId="5" fillId="0" borderId="45" xfId="1" applyFont="1" applyBorder="1" applyAlignment="1">
      <alignment horizontal="center"/>
    </xf>
    <xf numFmtId="44" fontId="5" fillId="0" borderId="46" xfId="1" applyFont="1" applyBorder="1" applyAlignment="1">
      <alignment horizontal="center"/>
    </xf>
    <xf numFmtId="44" fontId="12" fillId="0" borderId="21" xfId="1" applyFont="1" applyBorder="1" applyAlignment="1">
      <alignment horizontal="center"/>
    </xf>
    <xf numFmtId="44" fontId="12" fillId="0" borderId="46" xfId="1" applyFont="1" applyBorder="1" applyAlignment="1">
      <alignment horizontal="center"/>
    </xf>
    <xf numFmtId="0" fontId="27" fillId="0" borderId="45" xfId="0" applyFont="1" applyBorder="1" applyAlignment="1">
      <alignment horizontal="center"/>
    </xf>
    <xf numFmtId="0" fontId="27" fillId="0" borderId="46" xfId="0" applyFont="1" applyBorder="1" applyAlignment="1">
      <alignment horizontal="center"/>
    </xf>
    <xf numFmtId="44" fontId="5" fillId="8" borderId="7" xfId="1" applyFont="1" applyFill="1" applyBorder="1" applyAlignment="1">
      <alignment horizontal="center"/>
    </xf>
    <xf numFmtId="44" fontId="5" fillId="8" borderId="48" xfId="1" applyFont="1" applyFill="1" applyBorder="1" applyAlignment="1">
      <alignment horizontal="center"/>
    </xf>
    <xf numFmtId="166" fontId="5" fillId="8" borderId="48" xfId="1" applyNumberFormat="1" applyFont="1" applyFill="1" applyBorder="1" applyAlignment="1">
      <alignment horizontal="center"/>
    </xf>
    <xf numFmtId="166" fontId="5" fillId="8" borderId="8" xfId="1" applyNumberFormat="1" applyFont="1" applyFill="1" applyBorder="1" applyAlignment="1">
      <alignment horizontal="center"/>
    </xf>
    <xf numFmtId="0" fontId="36" fillId="10" borderId="0" xfId="0" applyFont="1" applyFill="1" applyAlignment="1">
      <alignment horizontal="center" vertical="center" wrapText="1"/>
    </xf>
    <xf numFmtId="0" fontId="36" fillId="10" borderId="37" xfId="0" applyFont="1" applyFill="1" applyBorder="1" applyAlignment="1">
      <alignment horizontal="center" vertical="center" wrapText="1"/>
    </xf>
    <xf numFmtId="0" fontId="43" fillId="10" borderId="47" xfId="0" applyFont="1" applyFill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45</xdr:row>
      <xdr:rowOff>19050</xdr:rowOff>
    </xdr:from>
    <xdr:to>
      <xdr:col>6</xdr:col>
      <xdr:colOff>295275</xdr:colOff>
      <xdr:row>45</xdr:row>
      <xdr:rowOff>161925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572C7E14-C0A2-41C3-9A96-B55EBFD55F04}"/>
            </a:ext>
          </a:extLst>
        </xdr:cNvPr>
        <xdr:cNvCxnSpPr/>
      </xdr:nvCxnSpPr>
      <xdr:spPr>
        <a:xfrm>
          <a:off x="5124450" y="9391650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46</xdr:row>
      <xdr:rowOff>200024</xdr:rowOff>
    </xdr:from>
    <xdr:to>
      <xdr:col>6</xdr:col>
      <xdr:colOff>285750</xdr:colOff>
      <xdr:row>47</xdr:row>
      <xdr:rowOff>85724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41D357A2-A49D-4145-89FF-4A1BB529872D}"/>
            </a:ext>
          </a:extLst>
        </xdr:cNvPr>
        <xdr:cNvCxnSpPr/>
      </xdr:nvCxnSpPr>
      <xdr:spPr>
        <a:xfrm rot="10800000" flipV="1">
          <a:off x="5105400" y="9829799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44</xdr:row>
      <xdr:rowOff>123825</xdr:rowOff>
    </xdr:from>
    <xdr:to>
      <xdr:col>7</xdr:col>
      <xdr:colOff>0</xdr:colOff>
      <xdr:row>45</xdr:row>
      <xdr:rowOff>161925</xdr:rowOff>
    </xdr:to>
    <xdr:cxnSp macro="">
      <xdr:nvCxnSpPr>
        <xdr:cNvPr id="4" name="1 Conector recto de flecha">
          <a:extLst>
            <a:ext uri="{FF2B5EF4-FFF2-40B4-BE49-F238E27FC236}">
              <a16:creationId xmlns:a16="http://schemas.microsoft.com/office/drawing/2014/main" id="{D00CC464-1115-4C32-A264-342FC1C0BAAF}"/>
            </a:ext>
          </a:extLst>
        </xdr:cNvPr>
        <xdr:cNvCxnSpPr/>
      </xdr:nvCxnSpPr>
      <xdr:spPr>
        <a:xfrm>
          <a:off x="5019675" y="9286875"/>
          <a:ext cx="238125" cy="2476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46</xdr:row>
      <xdr:rowOff>200024</xdr:rowOff>
    </xdr:from>
    <xdr:to>
      <xdr:col>6</xdr:col>
      <xdr:colOff>285750</xdr:colOff>
      <xdr:row>47</xdr:row>
      <xdr:rowOff>85724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8C761269-EA55-4C84-BB8A-4999CC6B05CF}"/>
            </a:ext>
          </a:extLst>
        </xdr:cNvPr>
        <xdr:cNvCxnSpPr/>
      </xdr:nvCxnSpPr>
      <xdr:spPr>
        <a:xfrm rot="10800000" flipV="1">
          <a:off x="5105400" y="9829799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44</xdr:row>
      <xdr:rowOff>104775</xdr:rowOff>
    </xdr:from>
    <xdr:to>
      <xdr:col>5</xdr:col>
      <xdr:colOff>85725</xdr:colOff>
      <xdr:row>46</xdr:row>
      <xdr:rowOff>133350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BDC391EE-7077-46E0-849D-3136E2CF5B5B}"/>
            </a:ext>
          </a:extLst>
        </xdr:cNvPr>
        <xdr:cNvCxnSpPr/>
      </xdr:nvCxnSpPr>
      <xdr:spPr>
        <a:xfrm>
          <a:off x="2181225" y="9267825"/>
          <a:ext cx="1781175" cy="4953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12</xdr:col>
      <xdr:colOff>904874</xdr:colOff>
      <xdr:row>44</xdr:row>
      <xdr:rowOff>38101</xdr:rowOff>
    </xdr:from>
    <xdr:to>
      <xdr:col>13</xdr:col>
      <xdr:colOff>200024</xdr:colOff>
      <xdr:row>44</xdr:row>
      <xdr:rowOff>161928</xdr:rowOff>
    </xdr:to>
    <xdr:sp macro="" textlink="">
      <xdr:nvSpPr>
        <xdr:cNvPr id="7" name="Cerrar llave 6">
          <a:extLst>
            <a:ext uri="{FF2B5EF4-FFF2-40B4-BE49-F238E27FC236}">
              <a16:creationId xmlns:a16="http://schemas.microsoft.com/office/drawing/2014/main" id="{2D4CB823-E48E-41FB-926D-E30627A86784}"/>
            </a:ext>
          </a:extLst>
        </xdr:cNvPr>
        <xdr:cNvSpPr/>
      </xdr:nvSpPr>
      <xdr:spPr>
        <a:xfrm rot="5400000">
          <a:off x="10829923" y="9010652"/>
          <a:ext cx="123827" cy="504825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1152525</xdr:colOff>
      <xdr:row>48</xdr:row>
      <xdr:rowOff>95250</xdr:rowOff>
    </xdr:from>
    <xdr:to>
      <xdr:col>8</xdr:col>
      <xdr:colOff>19050</xdr:colOff>
      <xdr:row>53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A699FC8-1A5D-4770-AC9A-A0B30E92EEF2}"/>
            </a:ext>
          </a:extLst>
        </xdr:cNvPr>
        <xdr:cNvCxnSpPr/>
      </xdr:nvCxnSpPr>
      <xdr:spPr>
        <a:xfrm flipV="1">
          <a:off x="5029200" y="10125075"/>
          <a:ext cx="1009650" cy="128587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44</xdr:row>
      <xdr:rowOff>200023</xdr:rowOff>
    </xdr:from>
    <xdr:to>
      <xdr:col>11</xdr:col>
      <xdr:colOff>133352</xdr:colOff>
      <xdr:row>45</xdr:row>
      <xdr:rowOff>190499</xdr:rowOff>
    </xdr:to>
    <xdr:sp macro="" textlink="">
      <xdr:nvSpPr>
        <xdr:cNvPr id="9" name="Abrir llave 8">
          <a:extLst>
            <a:ext uri="{FF2B5EF4-FFF2-40B4-BE49-F238E27FC236}">
              <a16:creationId xmlns:a16="http://schemas.microsoft.com/office/drawing/2014/main" id="{BBBA4161-7DB4-4DE9-9027-D8F62B5A530F}"/>
            </a:ext>
          </a:extLst>
        </xdr:cNvPr>
        <xdr:cNvSpPr/>
      </xdr:nvSpPr>
      <xdr:spPr>
        <a:xfrm rot="16200000">
          <a:off x="7705726" y="8372472"/>
          <a:ext cx="200026" cy="218122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50</xdr:row>
      <xdr:rowOff>144757</xdr:rowOff>
    </xdr:from>
    <xdr:ext cx="2599476" cy="370071"/>
    <xdr:sp macro="" textlink="">
      <xdr:nvSpPr>
        <xdr:cNvPr id="10" name="Rectángulo 9">
          <a:extLst>
            <a:ext uri="{FF2B5EF4-FFF2-40B4-BE49-F238E27FC236}">
              <a16:creationId xmlns:a16="http://schemas.microsoft.com/office/drawing/2014/main" id="{D6D82E3E-73CC-46E3-BCB8-53ADFD749568}"/>
            </a:ext>
          </a:extLst>
        </xdr:cNvPr>
        <xdr:cNvSpPr/>
      </xdr:nvSpPr>
      <xdr:spPr>
        <a:xfrm rot="18916712">
          <a:off x="9553429" y="10660357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42</xdr:row>
      <xdr:rowOff>19050</xdr:rowOff>
    </xdr:from>
    <xdr:to>
      <xdr:col>6</xdr:col>
      <xdr:colOff>295275</xdr:colOff>
      <xdr:row>42</xdr:row>
      <xdr:rowOff>161925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DB2D28D6-9571-45E6-B3A1-C8C552567589}"/>
            </a:ext>
          </a:extLst>
        </xdr:cNvPr>
        <xdr:cNvCxnSpPr/>
      </xdr:nvCxnSpPr>
      <xdr:spPr>
        <a:xfrm>
          <a:off x="5124450" y="8639175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43</xdr:row>
      <xdr:rowOff>200024</xdr:rowOff>
    </xdr:from>
    <xdr:to>
      <xdr:col>6</xdr:col>
      <xdr:colOff>285750</xdr:colOff>
      <xdr:row>44</xdr:row>
      <xdr:rowOff>85724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C105D404-A2DF-4110-9D15-B9B6C7196EB3}"/>
            </a:ext>
          </a:extLst>
        </xdr:cNvPr>
        <xdr:cNvCxnSpPr/>
      </xdr:nvCxnSpPr>
      <xdr:spPr>
        <a:xfrm rot="10800000" flipV="1">
          <a:off x="5105400" y="9077324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41</xdr:row>
      <xdr:rowOff>123825</xdr:rowOff>
    </xdr:from>
    <xdr:to>
      <xdr:col>7</xdr:col>
      <xdr:colOff>0</xdr:colOff>
      <xdr:row>42</xdr:row>
      <xdr:rowOff>161925</xdr:rowOff>
    </xdr:to>
    <xdr:cxnSp macro="">
      <xdr:nvCxnSpPr>
        <xdr:cNvPr id="4" name="1 Conector recto de flecha">
          <a:extLst>
            <a:ext uri="{FF2B5EF4-FFF2-40B4-BE49-F238E27FC236}">
              <a16:creationId xmlns:a16="http://schemas.microsoft.com/office/drawing/2014/main" id="{8B7AAEB8-3DFD-4271-8F55-891A821358DD}"/>
            </a:ext>
          </a:extLst>
        </xdr:cNvPr>
        <xdr:cNvCxnSpPr/>
      </xdr:nvCxnSpPr>
      <xdr:spPr>
        <a:xfrm>
          <a:off x="5019675" y="8534400"/>
          <a:ext cx="238125" cy="2476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43</xdr:row>
      <xdr:rowOff>200024</xdr:rowOff>
    </xdr:from>
    <xdr:to>
      <xdr:col>6</xdr:col>
      <xdr:colOff>285750</xdr:colOff>
      <xdr:row>44</xdr:row>
      <xdr:rowOff>85724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1DF7B5E0-F500-4E37-BE42-7BDD6A47BDF6}"/>
            </a:ext>
          </a:extLst>
        </xdr:cNvPr>
        <xdr:cNvCxnSpPr/>
      </xdr:nvCxnSpPr>
      <xdr:spPr>
        <a:xfrm rot="10800000" flipV="1">
          <a:off x="5105400" y="9077324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41</xdr:row>
      <xdr:rowOff>104775</xdr:rowOff>
    </xdr:from>
    <xdr:to>
      <xdr:col>5</xdr:col>
      <xdr:colOff>85725</xdr:colOff>
      <xdr:row>43</xdr:row>
      <xdr:rowOff>133350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C608CCDB-B9A0-4DB7-8F89-8A57639BE88E}"/>
            </a:ext>
          </a:extLst>
        </xdr:cNvPr>
        <xdr:cNvCxnSpPr/>
      </xdr:nvCxnSpPr>
      <xdr:spPr>
        <a:xfrm>
          <a:off x="2181225" y="8515350"/>
          <a:ext cx="1781175" cy="4953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12</xdr:col>
      <xdr:colOff>904874</xdr:colOff>
      <xdr:row>41</xdr:row>
      <xdr:rowOff>38101</xdr:rowOff>
    </xdr:from>
    <xdr:to>
      <xdr:col>13</xdr:col>
      <xdr:colOff>200024</xdr:colOff>
      <xdr:row>41</xdr:row>
      <xdr:rowOff>161928</xdr:rowOff>
    </xdr:to>
    <xdr:sp macro="" textlink="">
      <xdr:nvSpPr>
        <xdr:cNvPr id="7" name="Cerrar llave 6">
          <a:extLst>
            <a:ext uri="{FF2B5EF4-FFF2-40B4-BE49-F238E27FC236}">
              <a16:creationId xmlns:a16="http://schemas.microsoft.com/office/drawing/2014/main" id="{687E0BE4-A7BC-4037-86A7-2EE16A9EA5FC}"/>
            </a:ext>
          </a:extLst>
        </xdr:cNvPr>
        <xdr:cNvSpPr/>
      </xdr:nvSpPr>
      <xdr:spPr>
        <a:xfrm rot="5400000">
          <a:off x="10829923" y="8258177"/>
          <a:ext cx="123827" cy="504825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1152525</xdr:colOff>
      <xdr:row>45</xdr:row>
      <xdr:rowOff>95250</xdr:rowOff>
    </xdr:from>
    <xdr:to>
      <xdr:col>8</xdr:col>
      <xdr:colOff>19050</xdr:colOff>
      <xdr:row>50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EEE77911-BE8E-4091-92C6-5011D445CC8D}"/>
            </a:ext>
          </a:extLst>
        </xdr:cNvPr>
        <xdr:cNvCxnSpPr/>
      </xdr:nvCxnSpPr>
      <xdr:spPr>
        <a:xfrm flipV="1">
          <a:off x="5029200" y="9372600"/>
          <a:ext cx="1009650" cy="110490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41</xdr:row>
      <xdr:rowOff>200023</xdr:rowOff>
    </xdr:from>
    <xdr:to>
      <xdr:col>11</xdr:col>
      <xdr:colOff>133352</xdr:colOff>
      <xdr:row>42</xdr:row>
      <xdr:rowOff>190499</xdr:rowOff>
    </xdr:to>
    <xdr:sp macro="" textlink="">
      <xdr:nvSpPr>
        <xdr:cNvPr id="9" name="Abrir llave 8">
          <a:extLst>
            <a:ext uri="{FF2B5EF4-FFF2-40B4-BE49-F238E27FC236}">
              <a16:creationId xmlns:a16="http://schemas.microsoft.com/office/drawing/2014/main" id="{F1BD7792-EFF0-4D86-BBD7-6ADE69483692}"/>
            </a:ext>
          </a:extLst>
        </xdr:cNvPr>
        <xdr:cNvSpPr/>
      </xdr:nvSpPr>
      <xdr:spPr>
        <a:xfrm rot="16200000">
          <a:off x="7705726" y="7619997"/>
          <a:ext cx="200026" cy="218122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47</xdr:row>
      <xdr:rowOff>144757</xdr:rowOff>
    </xdr:from>
    <xdr:ext cx="2599476" cy="370071"/>
    <xdr:sp macro="" textlink="">
      <xdr:nvSpPr>
        <xdr:cNvPr id="10" name="Rectángulo 9">
          <a:extLst>
            <a:ext uri="{FF2B5EF4-FFF2-40B4-BE49-F238E27FC236}">
              <a16:creationId xmlns:a16="http://schemas.microsoft.com/office/drawing/2014/main" id="{40D576D8-E57D-464F-95C1-E7EB95FFEE48}"/>
            </a:ext>
          </a:extLst>
        </xdr:cNvPr>
        <xdr:cNvSpPr/>
      </xdr:nvSpPr>
      <xdr:spPr>
        <a:xfrm rot="18916712">
          <a:off x="9553429" y="9717382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40</xdr:row>
      <xdr:rowOff>19050</xdr:rowOff>
    </xdr:from>
    <xdr:to>
      <xdr:col>6</xdr:col>
      <xdr:colOff>295275</xdr:colOff>
      <xdr:row>40</xdr:row>
      <xdr:rowOff>161925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60E4669B-ECC3-45B1-8DA5-53A4E541CFD3}"/>
            </a:ext>
          </a:extLst>
        </xdr:cNvPr>
        <xdr:cNvCxnSpPr/>
      </xdr:nvCxnSpPr>
      <xdr:spPr>
        <a:xfrm>
          <a:off x="5124450" y="8267700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41</xdr:row>
      <xdr:rowOff>200024</xdr:rowOff>
    </xdr:from>
    <xdr:to>
      <xdr:col>6</xdr:col>
      <xdr:colOff>285750</xdr:colOff>
      <xdr:row>42</xdr:row>
      <xdr:rowOff>85724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D8F4135E-160C-4E8C-A3EF-0801B3E77A48}"/>
            </a:ext>
          </a:extLst>
        </xdr:cNvPr>
        <xdr:cNvCxnSpPr/>
      </xdr:nvCxnSpPr>
      <xdr:spPr>
        <a:xfrm rot="10800000" flipV="1">
          <a:off x="5105400" y="8705849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39</xdr:row>
      <xdr:rowOff>123825</xdr:rowOff>
    </xdr:from>
    <xdr:to>
      <xdr:col>7</xdr:col>
      <xdr:colOff>0</xdr:colOff>
      <xdr:row>40</xdr:row>
      <xdr:rowOff>161925</xdr:rowOff>
    </xdr:to>
    <xdr:cxnSp macro="">
      <xdr:nvCxnSpPr>
        <xdr:cNvPr id="4" name="1 Conector recto de flecha">
          <a:extLst>
            <a:ext uri="{FF2B5EF4-FFF2-40B4-BE49-F238E27FC236}">
              <a16:creationId xmlns:a16="http://schemas.microsoft.com/office/drawing/2014/main" id="{718A1DCC-BAD6-4EE9-A189-20BD52E82E0C}"/>
            </a:ext>
          </a:extLst>
        </xdr:cNvPr>
        <xdr:cNvCxnSpPr/>
      </xdr:nvCxnSpPr>
      <xdr:spPr>
        <a:xfrm>
          <a:off x="5019675" y="8162925"/>
          <a:ext cx="238125" cy="2476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41</xdr:row>
      <xdr:rowOff>200024</xdr:rowOff>
    </xdr:from>
    <xdr:to>
      <xdr:col>6</xdr:col>
      <xdr:colOff>285750</xdr:colOff>
      <xdr:row>42</xdr:row>
      <xdr:rowOff>85724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A4470317-1AA6-4D48-A190-546E71CA9C7E}"/>
            </a:ext>
          </a:extLst>
        </xdr:cNvPr>
        <xdr:cNvCxnSpPr/>
      </xdr:nvCxnSpPr>
      <xdr:spPr>
        <a:xfrm rot="10800000" flipV="1">
          <a:off x="5105400" y="8705849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39</xdr:row>
      <xdr:rowOff>104775</xdr:rowOff>
    </xdr:from>
    <xdr:to>
      <xdr:col>5</xdr:col>
      <xdr:colOff>85725</xdr:colOff>
      <xdr:row>41</xdr:row>
      <xdr:rowOff>133350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EE0282D2-AC9E-4D85-8CD1-CBDA4653BC7F}"/>
            </a:ext>
          </a:extLst>
        </xdr:cNvPr>
        <xdr:cNvCxnSpPr/>
      </xdr:nvCxnSpPr>
      <xdr:spPr>
        <a:xfrm>
          <a:off x="2181225" y="8143875"/>
          <a:ext cx="1781175" cy="4953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12</xdr:col>
      <xdr:colOff>904874</xdr:colOff>
      <xdr:row>39</xdr:row>
      <xdr:rowOff>38101</xdr:rowOff>
    </xdr:from>
    <xdr:to>
      <xdr:col>13</xdr:col>
      <xdr:colOff>200024</xdr:colOff>
      <xdr:row>39</xdr:row>
      <xdr:rowOff>161928</xdr:rowOff>
    </xdr:to>
    <xdr:sp macro="" textlink="">
      <xdr:nvSpPr>
        <xdr:cNvPr id="7" name="Cerrar llave 6">
          <a:extLst>
            <a:ext uri="{FF2B5EF4-FFF2-40B4-BE49-F238E27FC236}">
              <a16:creationId xmlns:a16="http://schemas.microsoft.com/office/drawing/2014/main" id="{D3D63E84-B190-4D95-AB3B-3AB85442567E}"/>
            </a:ext>
          </a:extLst>
        </xdr:cNvPr>
        <xdr:cNvSpPr/>
      </xdr:nvSpPr>
      <xdr:spPr>
        <a:xfrm rot="5400000">
          <a:off x="10829923" y="7886702"/>
          <a:ext cx="123827" cy="504825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1152525</xdr:colOff>
      <xdr:row>43</xdr:row>
      <xdr:rowOff>95250</xdr:rowOff>
    </xdr:from>
    <xdr:to>
      <xdr:col>8</xdr:col>
      <xdr:colOff>19050</xdr:colOff>
      <xdr:row>48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AD19F76C-E222-496D-B3DF-8DBC90BE091B}"/>
            </a:ext>
          </a:extLst>
        </xdr:cNvPr>
        <xdr:cNvCxnSpPr/>
      </xdr:nvCxnSpPr>
      <xdr:spPr>
        <a:xfrm flipV="1">
          <a:off x="5029200" y="9001125"/>
          <a:ext cx="1009650" cy="110490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39</xdr:row>
      <xdr:rowOff>200023</xdr:rowOff>
    </xdr:from>
    <xdr:to>
      <xdr:col>11</xdr:col>
      <xdr:colOff>133352</xdr:colOff>
      <xdr:row>40</xdr:row>
      <xdr:rowOff>190499</xdr:rowOff>
    </xdr:to>
    <xdr:sp macro="" textlink="">
      <xdr:nvSpPr>
        <xdr:cNvPr id="9" name="Abrir llave 8">
          <a:extLst>
            <a:ext uri="{FF2B5EF4-FFF2-40B4-BE49-F238E27FC236}">
              <a16:creationId xmlns:a16="http://schemas.microsoft.com/office/drawing/2014/main" id="{3F64DC2F-2265-43C9-AE41-C80AFC5024DA}"/>
            </a:ext>
          </a:extLst>
        </xdr:cNvPr>
        <xdr:cNvSpPr/>
      </xdr:nvSpPr>
      <xdr:spPr>
        <a:xfrm rot="16200000">
          <a:off x="7705726" y="7248522"/>
          <a:ext cx="200026" cy="218122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45</xdr:row>
      <xdr:rowOff>144757</xdr:rowOff>
    </xdr:from>
    <xdr:ext cx="2599476" cy="370071"/>
    <xdr:sp macro="" textlink="">
      <xdr:nvSpPr>
        <xdr:cNvPr id="10" name="Rectángulo 9">
          <a:extLst>
            <a:ext uri="{FF2B5EF4-FFF2-40B4-BE49-F238E27FC236}">
              <a16:creationId xmlns:a16="http://schemas.microsoft.com/office/drawing/2014/main" id="{1FFBAFC8-E840-4247-8B6E-36A43593C631}"/>
            </a:ext>
          </a:extLst>
        </xdr:cNvPr>
        <xdr:cNvSpPr/>
      </xdr:nvSpPr>
      <xdr:spPr>
        <a:xfrm rot="18916712">
          <a:off x="9553429" y="9345907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40</xdr:row>
      <xdr:rowOff>19050</xdr:rowOff>
    </xdr:from>
    <xdr:to>
      <xdr:col>6</xdr:col>
      <xdr:colOff>295275</xdr:colOff>
      <xdr:row>40</xdr:row>
      <xdr:rowOff>161925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9B8580F0-3286-45AD-AA93-22063C1ED6E2}"/>
            </a:ext>
          </a:extLst>
        </xdr:cNvPr>
        <xdr:cNvCxnSpPr/>
      </xdr:nvCxnSpPr>
      <xdr:spPr>
        <a:xfrm>
          <a:off x="5124450" y="8258175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41</xdr:row>
      <xdr:rowOff>200024</xdr:rowOff>
    </xdr:from>
    <xdr:to>
      <xdr:col>6</xdr:col>
      <xdr:colOff>285750</xdr:colOff>
      <xdr:row>42</xdr:row>
      <xdr:rowOff>85724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A3C3DB8B-8683-4007-A49B-DF464F374E53}"/>
            </a:ext>
          </a:extLst>
        </xdr:cNvPr>
        <xdr:cNvCxnSpPr/>
      </xdr:nvCxnSpPr>
      <xdr:spPr>
        <a:xfrm rot="10800000" flipV="1">
          <a:off x="5105400" y="8658224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39</xdr:row>
      <xdr:rowOff>123825</xdr:rowOff>
    </xdr:from>
    <xdr:to>
      <xdr:col>7</xdr:col>
      <xdr:colOff>0</xdr:colOff>
      <xdr:row>40</xdr:row>
      <xdr:rowOff>161925</xdr:rowOff>
    </xdr:to>
    <xdr:cxnSp macro="">
      <xdr:nvCxnSpPr>
        <xdr:cNvPr id="4" name="1 Conector recto de flecha">
          <a:extLst>
            <a:ext uri="{FF2B5EF4-FFF2-40B4-BE49-F238E27FC236}">
              <a16:creationId xmlns:a16="http://schemas.microsoft.com/office/drawing/2014/main" id="{51B854E5-9583-4A7F-AB83-5035E31983BB}"/>
            </a:ext>
          </a:extLst>
        </xdr:cNvPr>
        <xdr:cNvCxnSpPr/>
      </xdr:nvCxnSpPr>
      <xdr:spPr>
        <a:xfrm>
          <a:off x="5019675" y="8153400"/>
          <a:ext cx="238125" cy="2476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41</xdr:row>
      <xdr:rowOff>200024</xdr:rowOff>
    </xdr:from>
    <xdr:to>
      <xdr:col>6</xdr:col>
      <xdr:colOff>285750</xdr:colOff>
      <xdr:row>42</xdr:row>
      <xdr:rowOff>85724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152388F7-43EC-4AFD-8A80-C5AE1708147F}"/>
            </a:ext>
          </a:extLst>
        </xdr:cNvPr>
        <xdr:cNvCxnSpPr/>
      </xdr:nvCxnSpPr>
      <xdr:spPr>
        <a:xfrm rot="10800000" flipV="1">
          <a:off x="5105400" y="8658224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39</xdr:row>
      <xdr:rowOff>104775</xdr:rowOff>
    </xdr:from>
    <xdr:to>
      <xdr:col>5</xdr:col>
      <xdr:colOff>85725</xdr:colOff>
      <xdr:row>41</xdr:row>
      <xdr:rowOff>133350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420D0D82-8D37-4F50-957C-1901110DFF46}"/>
            </a:ext>
          </a:extLst>
        </xdr:cNvPr>
        <xdr:cNvCxnSpPr/>
      </xdr:nvCxnSpPr>
      <xdr:spPr>
        <a:xfrm>
          <a:off x="2181225" y="8134350"/>
          <a:ext cx="1781175" cy="4572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12</xdr:col>
      <xdr:colOff>904874</xdr:colOff>
      <xdr:row>39</xdr:row>
      <xdr:rowOff>38101</xdr:rowOff>
    </xdr:from>
    <xdr:to>
      <xdr:col>13</xdr:col>
      <xdr:colOff>200024</xdr:colOff>
      <xdr:row>39</xdr:row>
      <xdr:rowOff>161928</xdr:rowOff>
    </xdr:to>
    <xdr:sp macro="" textlink="">
      <xdr:nvSpPr>
        <xdr:cNvPr id="7" name="Cerrar llave 6">
          <a:extLst>
            <a:ext uri="{FF2B5EF4-FFF2-40B4-BE49-F238E27FC236}">
              <a16:creationId xmlns:a16="http://schemas.microsoft.com/office/drawing/2014/main" id="{56B025EC-5485-497C-BAD7-EFEC9D7C26C8}"/>
            </a:ext>
          </a:extLst>
        </xdr:cNvPr>
        <xdr:cNvSpPr/>
      </xdr:nvSpPr>
      <xdr:spPr>
        <a:xfrm rot="5400000">
          <a:off x="10829923" y="7877177"/>
          <a:ext cx="123827" cy="504825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1152525</xdr:colOff>
      <xdr:row>43</xdr:row>
      <xdr:rowOff>95250</xdr:rowOff>
    </xdr:from>
    <xdr:to>
      <xdr:col>8</xdr:col>
      <xdr:colOff>19050</xdr:colOff>
      <xdr:row>48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D2B00E20-FABB-4B07-8A47-6C8872768E6D}"/>
            </a:ext>
          </a:extLst>
        </xdr:cNvPr>
        <xdr:cNvCxnSpPr/>
      </xdr:nvCxnSpPr>
      <xdr:spPr>
        <a:xfrm flipV="1">
          <a:off x="5029200" y="8963025"/>
          <a:ext cx="1009650" cy="110490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39</xdr:row>
      <xdr:rowOff>200023</xdr:rowOff>
    </xdr:from>
    <xdr:to>
      <xdr:col>11</xdr:col>
      <xdr:colOff>133352</xdr:colOff>
      <xdr:row>40</xdr:row>
      <xdr:rowOff>190499</xdr:rowOff>
    </xdr:to>
    <xdr:sp macro="" textlink="">
      <xdr:nvSpPr>
        <xdr:cNvPr id="9" name="Abrir llave 8">
          <a:extLst>
            <a:ext uri="{FF2B5EF4-FFF2-40B4-BE49-F238E27FC236}">
              <a16:creationId xmlns:a16="http://schemas.microsoft.com/office/drawing/2014/main" id="{2483224A-2320-4809-A3AB-917C583170FC}"/>
            </a:ext>
          </a:extLst>
        </xdr:cNvPr>
        <xdr:cNvSpPr/>
      </xdr:nvSpPr>
      <xdr:spPr>
        <a:xfrm rot="16200000">
          <a:off x="7705726" y="7238997"/>
          <a:ext cx="200026" cy="218122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45</xdr:row>
      <xdr:rowOff>144757</xdr:rowOff>
    </xdr:from>
    <xdr:ext cx="2599476" cy="370071"/>
    <xdr:sp macro="" textlink="">
      <xdr:nvSpPr>
        <xdr:cNvPr id="10" name="Rectángulo 9">
          <a:extLst>
            <a:ext uri="{FF2B5EF4-FFF2-40B4-BE49-F238E27FC236}">
              <a16:creationId xmlns:a16="http://schemas.microsoft.com/office/drawing/2014/main" id="{1EA6E546-698D-4E7B-9E4B-1BA0F241F82D}"/>
            </a:ext>
          </a:extLst>
        </xdr:cNvPr>
        <xdr:cNvSpPr/>
      </xdr:nvSpPr>
      <xdr:spPr>
        <a:xfrm rot="18916712">
          <a:off x="9553429" y="9307807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43</xdr:row>
      <xdr:rowOff>19050</xdr:rowOff>
    </xdr:from>
    <xdr:to>
      <xdr:col>6</xdr:col>
      <xdr:colOff>295275</xdr:colOff>
      <xdr:row>43</xdr:row>
      <xdr:rowOff>161925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C03EC7C-084D-4914-AAA1-90FFFC894950}"/>
            </a:ext>
          </a:extLst>
        </xdr:cNvPr>
        <xdr:cNvCxnSpPr/>
      </xdr:nvCxnSpPr>
      <xdr:spPr>
        <a:xfrm>
          <a:off x="5124450" y="8258175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44</xdr:row>
      <xdr:rowOff>200024</xdr:rowOff>
    </xdr:from>
    <xdr:to>
      <xdr:col>6</xdr:col>
      <xdr:colOff>285750</xdr:colOff>
      <xdr:row>45</xdr:row>
      <xdr:rowOff>85724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5D53337A-5B6A-4555-9EFC-E988C7C443E4}"/>
            </a:ext>
          </a:extLst>
        </xdr:cNvPr>
        <xdr:cNvCxnSpPr/>
      </xdr:nvCxnSpPr>
      <xdr:spPr>
        <a:xfrm rot="10800000" flipV="1">
          <a:off x="5105400" y="8658224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42</xdr:row>
      <xdr:rowOff>123825</xdr:rowOff>
    </xdr:from>
    <xdr:to>
      <xdr:col>7</xdr:col>
      <xdr:colOff>0</xdr:colOff>
      <xdr:row>43</xdr:row>
      <xdr:rowOff>161925</xdr:rowOff>
    </xdr:to>
    <xdr:cxnSp macro="">
      <xdr:nvCxnSpPr>
        <xdr:cNvPr id="4" name="1 Conector recto de flecha">
          <a:extLst>
            <a:ext uri="{FF2B5EF4-FFF2-40B4-BE49-F238E27FC236}">
              <a16:creationId xmlns:a16="http://schemas.microsoft.com/office/drawing/2014/main" id="{335F143B-5E94-4055-9E0C-72307A202B07}"/>
            </a:ext>
          </a:extLst>
        </xdr:cNvPr>
        <xdr:cNvCxnSpPr/>
      </xdr:nvCxnSpPr>
      <xdr:spPr>
        <a:xfrm>
          <a:off x="5019675" y="8153400"/>
          <a:ext cx="238125" cy="2476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44</xdr:row>
      <xdr:rowOff>200024</xdr:rowOff>
    </xdr:from>
    <xdr:to>
      <xdr:col>6</xdr:col>
      <xdr:colOff>285750</xdr:colOff>
      <xdr:row>45</xdr:row>
      <xdr:rowOff>85724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2DEA8A64-BDE5-41AD-BA11-B60DD5270AB7}"/>
            </a:ext>
          </a:extLst>
        </xdr:cNvPr>
        <xdr:cNvCxnSpPr/>
      </xdr:nvCxnSpPr>
      <xdr:spPr>
        <a:xfrm rot="10800000" flipV="1">
          <a:off x="5105400" y="8658224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42</xdr:row>
      <xdr:rowOff>104775</xdr:rowOff>
    </xdr:from>
    <xdr:to>
      <xdr:col>5</xdr:col>
      <xdr:colOff>85725</xdr:colOff>
      <xdr:row>44</xdr:row>
      <xdr:rowOff>133350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195492EE-9052-489E-B993-A9CAB32102B0}"/>
            </a:ext>
          </a:extLst>
        </xdr:cNvPr>
        <xdr:cNvCxnSpPr/>
      </xdr:nvCxnSpPr>
      <xdr:spPr>
        <a:xfrm>
          <a:off x="2181225" y="8134350"/>
          <a:ext cx="1781175" cy="4572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12</xdr:col>
      <xdr:colOff>904874</xdr:colOff>
      <xdr:row>42</xdr:row>
      <xdr:rowOff>38101</xdr:rowOff>
    </xdr:from>
    <xdr:to>
      <xdr:col>13</xdr:col>
      <xdr:colOff>200024</xdr:colOff>
      <xdr:row>42</xdr:row>
      <xdr:rowOff>161928</xdr:rowOff>
    </xdr:to>
    <xdr:sp macro="" textlink="">
      <xdr:nvSpPr>
        <xdr:cNvPr id="7" name="Cerrar llave 6">
          <a:extLst>
            <a:ext uri="{FF2B5EF4-FFF2-40B4-BE49-F238E27FC236}">
              <a16:creationId xmlns:a16="http://schemas.microsoft.com/office/drawing/2014/main" id="{86324EC9-FE23-4ECA-A917-98FC3C1C162D}"/>
            </a:ext>
          </a:extLst>
        </xdr:cNvPr>
        <xdr:cNvSpPr/>
      </xdr:nvSpPr>
      <xdr:spPr>
        <a:xfrm rot="5400000">
          <a:off x="10829923" y="7877177"/>
          <a:ext cx="123827" cy="504825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1152525</xdr:colOff>
      <xdr:row>46</xdr:row>
      <xdr:rowOff>95250</xdr:rowOff>
    </xdr:from>
    <xdr:to>
      <xdr:col>8</xdr:col>
      <xdr:colOff>19050</xdr:colOff>
      <xdr:row>51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497346F1-B569-4210-9E52-FC5E4C690EE4}"/>
            </a:ext>
          </a:extLst>
        </xdr:cNvPr>
        <xdr:cNvCxnSpPr/>
      </xdr:nvCxnSpPr>
      <xdr:spPr>
        <a:xfrm flipV="1">
          <a:off x="5029200" y="8963025"/>
          <a:ext cx="1009650" cy="110490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42</xdr:row>
      <xdr:rowOff>200023</xdr:rowOff>
    </xdr:from>
    <xdr:to>
      <xdr:col>11</xdr:col>
      <xdr:colOff>133352</xdr:colOff>
      <xdr:row>43</xdr:row>
      <xdr:rowOff>190499</xdr:rowOff>
    </xdr:to>
    <xdr:sp macro="" textlink="">
      <xdr:nvSpPr>
        <xdr:cNvPr id="9" name="Abrir llave 8">
          <a:extLst>
            <a:ext uri="{FF2B5EF4-FFF2-40B4-BE49-F238E27FC236}">
              <a16:creationId xmlns:a16="http://schemas.microsoft.com/office/drawing/2014/main" id="{AC903B42-2DE3-4D7E-ADEB-F3D8F131A3D1}"/>
            </a:ext>
          </a:extLst>
        </xdr:cNvPr>
        <xdr:cNvSpPr/>
      </xdr:nvSpPr>
      <xdr:spPr>
        <a:xfrm rot="16200000">
          <a:off x="7705726" y="7238997"/>
          <a:ext cx="200026" cy="218122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48</xdr:row>
      <xdr:rowOff>144757</xdr:rowOff>
    </xdr:from>
    <xdr:ext cx="2599476" cy="370071"/>
    <xdr:sp macro="" textlink="">
      <xdr:nvSpPr>
        <xdr:cNvPr id="10" name="Rectángulo 9">
          <a:extLst>
            <a:ext uri="{FF2B5EF4-FFF2-40B4-BE49-F238E27FC236}">
              <a16:creationId xmlns:a16="http://schemas.microsoft.com/office/drawing/2014/main" id="{19A73A6A-C2AA-4415-B3D6-D25D6DAFD1DE}"/>
            </a:ext>
          </a:extLst>
        </xdr:cNvPr>
        <xdr:cNvSpPr/>
      </xdr:nvSpPr>
      <xdr:spPr>
        <a:xfrm rot="18916712">
          <a:off x="9553429" y="9307807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66</xdr:row>
      <xdr:rowOff>19050</xdr:rowOff>
    </xdr:from>
    <xdr:to>
      <xdr:col>6</xdr:col>
      <xdr:colOff>295275</xdr:colOff>
      <xdr:row>66</xdr:row>
      <xdr:rowOff>161925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AEB273F2-AB5F-4532-BAF3-C7127054A5FD}"/>
            </a:ext>
          </a:extLst>
        </xdr:cNvPr>
        <xdr:cNvCxnSpPr/>
      </xdr:nvCxnSpPr>
      <xdr:spPr>
        <a:xfrm>
          <a:off x="5124450" y="13639800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67</xdr:row>
      <xdr:rowOff>200024</xdr:rowOff>
    </xdr:from>
    <xdr:to>
      <xdr:col>6</xdr:col>
      <xdr:colOff>285750</xdr:colOff>
      <xdr:row>68</xdr:row>
      <xdr:rowOff>85724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41D183E6-E548-4230-B1B9-5506249140A5}"/>
            </a:ext>
          </a:extLst>
        </xdr:cNvPr>
        <xdr:cNvCxnSpPr/>
      </xdr:nvCxnSpPr>
      <xdr:spPr>
        <a:xfrm rot="10800000" flipV="1">
          <a:off x="5105400" y="1403984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65</xdr:row>
      <xdr:rowOff>123825</xdr:rowOff>
    </xdr:from>
    <xdr:to>
      <xdr:col>7</xdr:col>
      <xdr:colOff>0</xdr:colOff>
      <xdr:row>66</xdr:row>
      <xdr:rowOff>161925</xdr:rowOff>
    </xdr:to>
    <xdr:cxnSp macro="">
      <xdr:nvCxnSpPr>
        <xdr:cNvPr id="4" name="1 Conector recto de flecha">
          <a:extLst>
            <a:ext uri="{FF2B5EF4-FFF2-40B4-BE49-F238E27FC236}">
              <a16:creationId xmlns:a16="http://schemas.microsoft.com/office/drawing/2014/main" id="{6BC26B7A-0B2B-4398-A6E2-9F32CFD29B84}"/>
            </a:ext>
          </a:extLst>
        </xdr:cNvPr>
        <xdr:cNvCxnSpPr/>
      </xdr:nvCxnSpPr>
      <xdr:spPr>
        <a:xfrm>
          <a:off x="5019675" y="13535025"/>
          <a:ext cx="238125" cy="2476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67</xdr:row>
      <xdr:rowOff>200024</xdr:rowOff>
    </xdr:from>
    <xdr:to>
      <xdr:col>6</xdr:col>
      <xdr:colOff>285750</xdr:colOff>
      <xdr:row>68</xdr:row>
      <xdr:rowOff>85724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C47959EE-F018-4EA4-817D-97AB11BD53CD}"/>
            </a:ext>
          </a:extLst>
        </xdr:cNvPr>
        <xdr:cNvCxnSpPr/>
      </xdr:nvCxnSpPr>
      <xdr:spPr>
        <a:xfrm rot="10800000" flipV="1">
          <a:off x="5105400" y="1403984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65</xdr:row>
      <xdr:rowOff>104775</xdr:rowOff>
    </xdr:from>
    <xdr:to>
      <xdr:col>5</xdr:col>
      <xdr:colOff>85725</xdr:colOff>
      <xdr:row>67</xdr:row>
      <xdr:rowOff>133350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765A51EA-0596-418A-B862-F78E4050A937}"/>
            </a:ext>
          </a:extLst>
        </xdr:cNvPr>
        <xdr:cNvCxnSpPr/>
      </xdr:nvCxnSpPr>
      <xdr:spPr>
        <a:xfrm>
          <a:off x="2181225" y="13515975"/>
          <a:ext cx="1781175" cy="4572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12</xdr:col>
      <xdr:colOff>885824</xdr:colOff>
      <xdr:row>66</xdr:row>
      <xdr:rowOff>47626</xdr:rowOff>
    </xdr:from>
    <xdr:to>
      <xdr:col>13</xdr:col>
      <xdr:colOff>180974</xdr:colOff>
      <xdr:row>66</xdr:row>
      <xdr:rowOff>171453</xdr:rowOff>
    </xdr:to>
    <xdr:sp macro="" textlink="">
      <xdr:nvSpPr>
        <xdr:cNvPr id="7" name="Cerrar llave 6">
          <a:extLst>
            <a:ext uri="{FF2B5EF4-FFF2-40B4-BE49-F238E27FC236}">
              <a16:creationId xmlns:a16="http://schemas.microsoft.com/office/drawing/2014/main" id="{7CBFEE34-2BE9-4746-B8BF-3E01466B861B}"/>
            </a:ext>
          </a:extLst>
        </xdr:cNvPr>
        <xdr:cNvSpPr/>
      </xdr:nvSpPr>
      <xdr:spPr>
        <a:xfrm rot="5400000">
          <a:off x="10944223" y="13477877"/>
          <a:ext cx="123827" cy="504825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1152525</xdr:colOff>
      <xdr:row>69</xdr:row>
      <xdr:rowOff>95250</xdr:rowOff>
    </xdr:from>
    <xdr:to>
      <xdr:col>8</xdr:col>
      <xdr:colOff>19050</xdr:colOff>
      <xdr:row>74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D9B6E8BD-27DD-47E9-99CF-98388D747E4F}"/>
            </a:ext>
          </a:extLst>
        </xdr:cNvPr>
        <xdr:cNvCxnSpPr/>
      </xdr:nvCxnSpPr>
      <xdr:spPr>
        <a:xfrm flipV="1">
          <a:off x="5029200" y="14382750"/>
          <a:ext cx="1009650" cy="110490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65</xdr:row>
      <xdr:rowOff>200023</xdr:rowOff>
    </xdr:from>
    <xdr:to>
      <xdr:col>11</xdr:col>
      <xdr:colOff>133352</xdr:colOff>
      <xdr:row>66</xdr:row>
      <xdr:rowOff>190499</xdr:rowOff>
    </xdr:to>
    <xdr:sp macro="" textlink="">
      <xdr:nvSpPr>
        <xdr:cNvPr id="9" name="Abrir llave 8">
          <a:extLst>
            <a:ext uri="{FF2B5EF4-FFF2-40B4-BE49-F238E27FC236}">
              <a16:creationId xmlns:a16="http://schemas.microsoft.com/office/drawing/2014/main" id="{31EF4BA7-C109-4EE4-B10B-D32466E3950E}"/>
            </a:ext>
          </a:extLst>
        </xdr:cNvPr>
        <xdr:cNvSpPr/>
      </xdr:nvSpPr>
      <xdr:spPr>
        <a:xfrm rot="16200000">
          <a:off x="7772401" y="12553947"/>
          <a:ext cx="200026" cy="23145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71</xdr:row>
      <xdr:rowOff>144757</xdr:rowOff>
    </xdr:from>
    <xdr:ext cx="2599476" cy="370071"/>
    <xdr:sp macro="" textlink="">
      <xdr:nvSpPr>
        <xdr:cNvPr id="10" name="Rectángulo 9">
          <a:extLst>
            <a:ext uri="{FF2B5EF4-FFF2-40B4-BE49-F238E27FC236}">
              <a16:creationId xmlns:a16="http://schemas.microsoft.com/office/drawing/2014/main" id="{942794B8-7DCD-4C02-902B-7379C06174CC}"/>
            </a:ext>
          </a:extLst>
        </xdr:cNvPr>
        <xdr:cNvSpPr/>
      </xdr:nvSpPr>
      <xdr:spPr>
        <a:xfrm rot="18916712">
          <a:off x="9686779" y="14727532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40</xdr:row>
      <xdr:rowOff>19050</xdr:rowOff>
    </xdr:from>
    <xdr:to>
      <xdr:col>6</xdr:col>
      <xdr:colOff>295275</xdr:colOff>
      <xdr:row>40</xdr:row>
      <xdr:rowOff>161925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36031B4C-D476-48C2-8528-08F7C4AED3F9}"/>
            </a:ext>
          </a:extLst>
        </xdr:cNvPr>
        <xdr:cNvCxnSpPr/>
      </xdr:nvCxnSpPr>
      <xdr:spPr>
        <a:xfrm>
          <a:off x="5124450" y="8296275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41</xdr:row>
      <xdr:rowOff>200024</xdr:rowOff>
    </xdr:from>
    <xdr:to>
      <xdr:col>6</xdr:col>
      <xdr:colOff>285750</xdr:colOff>
      <xdr:row>42</xdr:row>
      <xdr:rowOff>85724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E682A2F8-FED5-4201-AECF-CE33AE6305AA}"/>
            </a:ext>
          </a:extLst>
        </xdr:cNvPr>
        <xdr:cNvCxnSpPr/>
      </xdr:nvCxnSpPr>
      <xdr:spPr>
        <a:xfrm rot="10800000" flipV="1">
          <a:off x="5105400" y="869632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39</xdr:row>
      <xdr:rowOff>123825</xdr:rowOff>
    </xdr:from>
    <xdr:to>
      <xdr:col>7</xdr:col>
      <xdr:colOff>0</xdr:colOff>
      <xdr:row>40</xdr:row>
      <xdr:rowOff>161925</xdr:rowOff>
    </xdr:to>
    <xdr:cxnSp macro="">
      <xdr:nvCxnSpPr>
        <xdr:cNvPr id="4" name="1 Conector recto de flecha">
          <a:extLst>
            <a:ext uri="{FF2B5EF4-FFF2-40B4-BE49-F238E27FC236}">
              <a16:creationId xmlns:a16="http://schemas.microsoft.com/office/drawing/2014/main" id="{9F509F11-A34F-44CA-9D6D-89A8617F29B0}"/>
            </a:ext>
          </a:extLst>
        </xdr:cNvPr>
        <xdr:cNvCxnSpPr/>
      </xdr:nvCxnSpPr>
      <xdr:spPr>
        <a:xfrm>
          <a:off x="5019675" y="8191500"/>
          <a:ext cx="238125" cy="2476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41</xdr:row>
      <xdr:rowOff>200024</xdr:rowOff>
    </xdr:from>
    <xdr:to>
      <xdr:col>6</xdr:col>
      <xdr:colOff>285750</xdr:colOff>
      <xdr:row>42</xdr:row>
      <xdr:rowOff>85724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962ECF95-E2E0-480A-AD11-A80BC964B18A}"/>
            </a:ext>
          </a:extLst>
        </xdr:cNvPr>
        <xdr:cNvCxnSpPr/>
      </xdr:nvCxnSpPr>
      <xdr:spPr>
        <a:xfrm rot="10800000" flipV="1">
          <a:off x="5105400" y="869632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39</xdr:row>
      <xdr:rowOff>104775</xdr:rowOff>
    </xdr:from>
    <xdr:to>
      <xdr:col>5</xdr:col>
      <xdr:colOff>85725</xdr:colOff>
      <xdr:row>41</xdr:row>
      <xdr:rowOff>133350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297E194D-D17C-451F-A7AC-FFDA98D42543}"/>
            </a:ext>
          </a:extLst>
        </xdr:cNvPr>
        <xdr:cNvCxnSpPr/>
      </xdr:nvCxnSpPr>
      <xdr:spPr>
        <a:xfrm>
          <a:off x="2181225" y="8172450"/>
          <a:ext cx="1781175" cy="4572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12</xdr:col>
      <xdr:colOff>885824</xdr:colOff>
      <xdr:row>40</xdr:row>
      <xdr:rowOff>47626</xdr:rowOff>
    </xdr:from>
    <xdr:to>
      <xdr:col>13</xdr:col>
      <xdr:colOff>180974</xdr:colOff>
      <xdr:row>40</xdr:row>
      <xdr:rowOff>171453</xdr:rowOff>
    </xdr:to>
    <xdr:sp macro="" textlink="">
      <xdr:nvSpPr>
        <xdr:cNvPr id="7" name="Cerrar llave 6">
          <a:extLst>
            <a:ext uri="{FF2B5EF4-FFF2-40B4-BE49-F238E27FC236}">
              <a16:creationId xmlns:a16="http://schemas.microsoft.com/office/drawing/2014/main" id="{47FFAFD6-65E7-4A5B-B2D9-F34DAF4EFC1E}"/>
            </a:ext>
          </a:extLst>
        </xdr:cNvPr>
        <xdr:cNvSpPr/>
      </xdr:nvSpPr>
      <xdr:spPr>
        <a:xfrm rot="5400000">
          <a:off x="10944223" y="8134352"/>
          <a:ext cx="123827" cy="504825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1152525</xdr:colOff>
      <xdr:row>43</xdr:row>
      <xdr:rowOff>95250</xdr:rowOff>
    </xdr:from>
    <xdr:to>
      <xdr:col>8</xdr:col>
      <xdr:colOff>19050</xdr:colOff>
      <xdr:row>48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50560558-B690-420B-8341-55711952CA65}"/>
            </a:ext>
          </a:extLst>
        </xdr:cNvPr>
        <xdr:cNvCxnSpPr/>
      </xdr:nvCxnSpPr>
      <xdr:spPr>
        <a:xfrm flipV="1">
          <a:off x="5029200" y="9039225"/>
          <a:ext cx="1009650" cy="110490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39</xdr:row>
      <xdr:rowOff>200023</xdr:rowOff>
    </xdr:from>
    <xdr:to>
      <xdr:col>11</xdr:col>
      <xdr:colOff>133352</xdr:colOff>
      <xdr:row>40</xdr:row>
      <xdr:rowOff>190499</xdr:rowOff>
    </xdr:to>
    <xdr:sp macro="" textlink="">
      <xdr:nvSpPr>
        <xdr:cNvPr id="9" name="Abrir llave 8">
          <a:extLst>
            <a:ext uri="{FF2B5EF4-FFF2-40B4-BE49-F238E27FC236}">
              <a16:creationId xmlns:a16="http://schemas.microsoft.com/office/drawing/2014/main" id="{CCE6C964-92F6-4E31-9078-531262AE3ABF}"/>
            </a:ext>
          </a:extLst>
        </xdr:cNvPr>
        <xdr:cNvSpPr/>
      </xdr:nvSpPr>
      <xdr:spPr>
        <a:xfrm rot="16200000">
          <a:off x="7772401" y="7210422"/>
          <a:ext cx="200026" cy="23145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45</xdr:row>
      <xdr:rowOff>144757</xdr:rowOff>
    </xdr:from>
    <xdr:ext cx="2599476" cy="370071"/>
    <xdr:sp macro="" textlink="">
      <xdr:nvSpPr>
        <xdr:cNvPr id="10" name="Rectángulo 9">
          <a:extLst>
            <a:ext uri="{FF2B5EF4-FFF2-40B4-BE49-F238E27FC236}">
              <a16:creationId xmlns:a16="http://schemas.microsoft.com/office/drawing/2014/main" id="{45E32EF2-BC36-4C94-BBD5-1DCA535E537A}"/>
            </a:ext>
          </a:extLst>
        </xdr:cNvPr>
        <xdr:cNvSpPr/>
      </xdr:nvSpPr>
      <xdr:spPr>
        <a:xfrm rot="18916712">
          <a:off x="9686779" y="9384007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5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7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B31118-16B8-42C8-A4CC-3BFD0616CB3F}">
  <sheetPr>
    <tabColor rgb="FF00B050"/>
  </sheetPr>
  <dimension ref="A1:O83"/>
  <sheetViews>
    <sheetView workbookViewId="0">
      <selection activeCell="E21" sqref="E21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13" customWidth="1"/>
    <col min="4" max="4" width="15.28515625" customWidth="1"/>
    <col min="6" max="6" width="17.85546875" style="13" customWidth="1"/>
    <col min="7" max="7" width="2.85546875" customWidth="1"/>
    <col min="9" max="9" width="12.140625" style="13" customWidth="1"/>
    <col min="10" max="10" width="11.7109375" style="13" customWidth="1"/>
    <col min="11" max="11" width="17.28515625" customWidth="1"/>
    <col min="12" max="12" width="14.5703125" customWidth="1"/>
    <col min="13" max="13" width="18.140625" style="13" customWidth="1"/>
    <col min="14" max="14" width="14.42578125" style="4" customWidth="1"/>
    <col min="15" max="15" width="32.42578125" style="4" customWidth="1"/>
  </cols>
  <sheetData>
    <row r="1" spans="1:15" ht="23.25" x14ac:dyDescent="0.35">
      <c r="C1" s="353" t="s">
        <v>69</v>
      </c>
      <c r="D1" s="353"/>
      <c r="E1" s="353"/>
      <c r="F1" s="353"/>
      <c r="G1" s="353"/>
      <c r="H1" s="353"/>
      <c r="I1" s="353"/>
      <c r="J1" s="353"/>
      <c r="K1" s="353"/>
      <c r="L1" s="2"/>
      <c r="M1" s="3"/>
    </row>
    <row r="2" spans="1:15" ht="18.75" x14ac:dyDescent="0.3">
      <c r="C2" s="5"/>
      <c r="E2" s="6"/>
      <c r="F2" s="7"/>
      <c r="H2" s="8" t="s">
        <v>1</v>
      </c>
      <c r="I2" s="9"/>
      <c r="J2" s="9"/>
      <c r="K2" s="10"/>
      <c r="L2" s="10"/>
      <c r="M2" s="9"/>
      <c r="N2" s="11"/>
      <c r="O2" s="56"/>
    </row>
    <row r="3" spans="1:15" ht="19.5" thickBot="1" x14ac:dyDescent="0.35">
      <c r="B3" s="354" t="s">
        <v>2</v>
      </c>
      <c r="C3" s="355"/>
      <c r="D3" s="12"/>
      <c r="I3" s="14" t="s">
        <v>3</v>
      </c>
      <c r="J3" s="9"/>
      <c r="K3" s="15" t="s">
        <v>4</v>
      </c>
      <c r="L3" s="15"/>
    </row>
    <row r="4" spans="1:15" ht="20.25" thickTop="1" thickBot="1" x14ac:dyDescent="0.35">
      <c r="A4" s="16" t="s">
        <v>5</v>
      </c>
      <c r="B4" s="17"/>
      <c r="C4" s="18">
        <v>273391.58</v>
      </c>
      <c r="D4" s="19">
        <v>43837</v>
      </c>
      <c r="E4" s="356" t="s">
        <v>6</v>
      </c>
      <c r="F4" s="357"/>
      <c r="H4" s="358" t="s">
        <v>7</v>
      </c>
      <c r="I4" s="359"/>
      <c r="J4" s="20"/>
      <c r="K4" s="20"/>
      <c r="L4" s="20"/>
      <c r="M4" s="21" t="s">
        <v>8</v>
      </c>
      <c r="N4" s="22" t="s">
        <v>9</v>
      </c>
      <c r="O4" s="165"/>
    </row>
    <row r="5" spans="1:15" ht="15.75" thickBot="1" x14ac:dyDescent="0.3">
      <c r="A5" s="23" t="s">
        <v>10</v>
      </c>
      <c r="B5" s="24">
        <v>43838</v>
      </c>
      <c r="C5" s="25">
        <v>2390</v>
      </c>
      <c r="D5" s="26" t="s">
        <v>70</v>
      </c>
      <c r="E5" s="27">
        <v>43838</v>
      </c>
      <c r="F5" s="28">
        <v>60353</v>
      </c>
      <c r="H5" s="29">
        <v>43838</v>
      </c>
      <c r="I5" s="30">
        <v>0</v>
      </c>
      <c r="M5" s="31">
        <v>62504</v>
      </c>
      <c r="N5" s="32">
        <v>790</v>
      </c>
      <c r="O5" s="91"/>
    </row>
    <row r="6" spans="1:15" ht="15.75" thickBot="1" x14ac:dyDescent="0.3">
      <c r="A6" s="23"/>
      <c r="B6" s="24">
        <v>43839</v>
      </c>
      <c r="C6" s="25">
        <v>18916</v>
      </c>
      <c r="D6" s="33" t="s">
        <v>71</v>
      </c>
      <c r="E6" s="27">
        <v>43839</v>
      </c>
      <c r="F6" s="28">
        <v>76615</v>
      </c>
      <c r="H6" s="29">
        <v>43839</v>
      </c>
      <c r="I6" s="34">
        <v>1005</v>
      </c>
      <c r="J6" s="35"/>
      <c r="K6" s="36"/>
      <c r="L6" s="37"/>
      <c r="M6" s="31">
        <f>50363+5634.3</f>
        <v>55997.3</v>
      </c>
      <c r="N6" s="32">
        <v>697</v>
      </c>
      <c r="O6" s="91" t="s">
        <v>10</v>
      </c>
    </row>
    <row r="7" spans="1:15" ht="16.5" thickBot="1" x14ac:dyDescent="0.3">
      <c r="A7" s="23"/>
      <c r="B7" s="24">
        <v>43840</v>
      </c>
      <c r="C7" s="25">
        <v>2600</v>
      </c>
      <c r="D7" s="38" t="s">
        <v>72</v>
      </c>
      <c r="E7" s="27">
        <v>43840</v>
      </c>
      <c r="F7" s="28">
        <v>130274</v>
      </c>
      <c r="H7" s="29">
        <v>43840</v>
      </c>
      <c r="I7" s="34">
        <v>12096</v>
      </c>
      <c r="J7" s="39"/>
      <c r="K7" s="40" t="s">
        <v>13</v>
      </c>
      <c r="L7" s="41">
        <v>0</v>
      </c>
      <c r="M7" s="31">
        <f>114354+10504</f>
        <v>124858</v>
      </c>
      <c r="N7" s="32">
        <v>1224</v>
      </c>
      <c r="O7" s="91"/>
    </row>
    <row r="8" spans="1:15" ht="16.5" thickBot="1" x14ac:dyDescent="0.3">
      <c r="A8" s="23"/>
      <c r="B8" s="24">
        <v>43841</v>
      </c>
      <c r="C8" s="25">
        <v>1022</v>
      </c>
      <c r="D8" s="42" t="s">
        <v>73</v>
      </c>
      <c r="E8" s="27">
        <v>43841</v>
      </c>
      <c r="F8" s="28">
        <v>148006</v>
      </c>
      <c r="H8" s="29">
        <v>43841</v>
      </c>
      <c r="I8" s="34">
        <v>483.8</v>
      </c>
      <c r="J8" s="43">
        <v>43834</v>
      </c>
      <c r="K8" s="44" t="s">
        <v>15</v>
      </c>
      <c r="L8" s="45">
        <v>21637</v>
      </c>
      <c r="M8" s="31">
        <f>113000+21521</f>
        <v>134521</v>
      </c>
      <c r="N8" s="32">
        <v>5341</v>
      </c>
      <c r="O8" s="91"/>
    </row>
    <row r="9" spans="1:15" ht="16.5" thickBot="1" x14ac:dyDescent="0.3">
      <c r="A9" s="23"/>
      <c r="B9" s="24">
        <v>43842</v>
      </c>
      <c r="C9" s="25">
        <v>3138</v>
      </c>
      <c r="D9" s="46" t="s">
        <v>30</v>
      </c>
      <c r="E9" s="27">
        <v>43842</v>
      </c>
      <c r="F9" s="28">
        <v>121720</v>
      </c>
      <c r="H9" s="29">
        <v>43842</v>
      </c>
      <c r="I9" s="34">
        <v>0</v>
      </c>
      <c r="J9" s="47">
        <v>43861</v>
      </c>
      <c r="K9" s="48" t="s">
        <v>17</v>
      </c>
      <c r="L9" s="49">
        <v>20000</v>
      </c>
      <c r="M9" s="31">
        <v>113363</v>
      </c>
      <c r="N9" s="32">
        <v>5219</v>
      </c>
      <c r="O9" s="91"/>
    </row>
    <row r="10" spans="1:15" ht="16.5" thickBot="1" x14ac:dyDescent="0.3">
      <c r="A10" s="23"/>
      <c r="B10" s="24">
        <v>43843</v>
      </c>
      <c r="C10" s="25">
        <v>17388</v>
      </c>
      <c r="D10" s="33" t="s">
        <v>74</v>
      </c>
      <c r="E10" s="27">
        <v>43843</v>
      </c>
      <c r="F10" s="28">
        <v>122133</v>
      </c>
      <c r="H10" s="29">
        <v>43843</v>
      </c>
      <c r="I10" s="34">
        <v>0</v>
      </c>
      <c r="J10" s="50"/>
      <c r="K10" s="51"/>
      <c r="L10" s="52"/>
      <c r="M10" s="31">
        <f>70271+33504+2784.18</f>
        <v>106559.18</v>
      </c>
      <c r="N10" s="32">
        <v>970</v>
      </c>
      <c r="O10" s="91"/>
    </row>
    <row r="11" spans="1:15" ht="15.75" thickBot="1" x14ac:dyDescent="0.3">
      <c r="A11" s="23"/>
      <c r="B11" s="24">
        <v>43844</v>
      </c>
      <c r="C11" s="25">
        <v>2143</v>
      </c>
      <c r="D11" s="33" t="s">
        <v>75</v>
      </c>
      <c r="E11" s="27">
        <v>43844</v>
      </c>
      <c r="F11" s="28">
        <v>59180</v>
      </c>
      <c r="H11" s="29">
        <v>43844</v>
      </c>
      <c r="I11" s="34">
        <v>17</v>
      </c>
      <c r="J11" s="53"/>
      <c r="K11" s="54"/>
      <c r="L11" s="52"/>
      <c r="M11" s="31">
        <f>54960+210</f>
        <v>55170</v>
      </c>
      <c r="N11" s="32">
        <v>1850</v>
      </c>
      <c r="O11" s="91"/>
    </row>
    <row r="12" spans="1:15" ht="15.75" thickBot="1" x14ac:dyDescent="0.3">
      <c r="A12" s="23"/>
      <c r="B12" s="24">
        <v>43845</v>
      </c>
      <c r="C12" s="25">
        <v>852</v>
      </c>
      <c r="D12" s="33" t="s">
        <v>19</v>
      </c>
      <c r="E12" s="27">
        <v>43845</v>
      </c>
      <c r="F12" s="28">
        <v>83150</v>
      </c>
      <c r="H12" s="29">
        <v>43845</v>
      </c>
      <c r="I12" s="34">
        <v>0</v>
      </c>
      <c r="J12" s="55">
        <v>43841</v>
      </c>
      <c r="K12" s="48" t="s">
        <v>76</v>
      </c>
      <c r="L12" s="52">
        <f>13708.52+4000</f>
        <v>17708.52</v>
      </c>
      <c r="M12" s="31">
        <f>72439+5205.9</f>
        <v>77644.899999999994</v>
      </c>
      <c r="N12" s="32">
        <v>4653</v>
      </c>
      <c r="O12" s="91"/>
    </row>
    <row r="13" spans="1:15" ht="15.75" thickBot="1" x14ac:dyDescent="0.3">
      <c r="A13" s="23"/>
      <c r="B13" s="24">
        <v>43846</v>
      </c>
      <c r="C13" s="25">
        <v>15857.72</v>
      </c>
      <c r="D13" s="42" t="s">
        <v>71</v>
      </c>
      <c r="E13" s="27">
        <v>43846</v>
      </c>
      <c r="F13" s="28">
        <v>117604</v>
      </c>
      <c r="H13" s="29">
        <v>43846</v>
      </c>
      <c r="I13" s="34">
        <v>250</v>
      </c>
      <c r="J13" s="55">
        <v>43848</v>
      </c>
      <c r="K13" s="48" t="s">
        <v>77</v>
      </c>
      <c r="L13" s="52">
        <f>12600.87+4000+454</f>
        <v>17054.870000000003</v>
      </c>
      <c r="M13" s="31">
        <f>33402+65630</f>
        <v>99032</v>
      </c>
      <c r="N13" s="32">
        <v>2464</v>
      </c>
      <c r="O13" s="91"/>
    </row>
    <row r="14" spans="1:15" ht="15.75" thickBot="1" x14ac:dyDescent="0.3">
      <c r="A14" s="23"/>
      <c r="B14" s="24">
        <v>43847</v>
      </c>
      <c r="C14" s="25">
        <v>1562</v>
      </c>
      <c r="D14" s="38" t="s">
        <v>18</v>
      </c>
      <c r="E14" s="27">
        <v>43847</v>
      </c>
      <c r="F14" s="28">
        <v>159779</v>
      </c>
      <c r="H14" s="29">
        <v>43847</v>
      </c>
      <c r="I14" s="34">
        <v>12058</v>
      </c>
      <c r="J14" s="55">
        <v>43849</v>
      </c>
      <c r="K14" s="48" t="s">
        <v>78</v>
      </c>
      <c r="L14" s="52">
        <v>400</v>
      </c>
      <c r="M14" s="31">
        <f>120000+20672+2105</f>
        <v>142777</v>
      </c>
      <c r="N14" s="32">
        <v>4112</v>
      </c>
      <c r="O14" s="91"/>
    </row>
    <row r="15" spans="1:15" ht="15.75" thickBot="1" x14ac:dyDescent="0.3">
      <c r="A15" s="23"/>
      <c r="B15" s="24">
        <v>43848</v>
      </c>
      <c r="C15" s="25">
        <v>20611</v>
      </c>
      <c r="D15" s="33" t="s">
        <v>79</v>
      </c>
      <c r="E15" s="27">
        <v>43848</v>
      </c>
      <c r="F15" s="28">
        <v>157439</v>
      </c>
      <c r="H15" s="29">
        <v>43848</v>
      </c>
      <c r="I15" s="34">
        <v>150</v>
      </c>
      <c r="J15" s="55">
        <v>43855</v>
      </c>
      <c r="K15" s="48" t="s">
        <v>78</v>
      </c>
      <c r="L15" s="52">
        <f>400+14144.7+4000</f>
        <v>18544.7</v>
      </c>
      <c r="M15" s="31">
        <v>124928</v>
      </c>
      <c r="N15" s="32">
        <v>5315</v>
      </c>
      <c r="O15" s="91"/>
    </row>
    <row r="16" spans="1:15" ht="15.75" thickBot="1" x14ac:dyDescent="0.3">
      <c r="A16" s="23"/>
      <c r="B16" s="24">
        <v>43849</v>
      </c>
      <c r="C16" s="25">
        <v>4674</v>
      </c>
      <c r="D16" s="33" t="s">
        <v>80</v>
      </c>
      <c r="E16" s="27">
        <v>43849</v>
      </c>
      <c r="F16" s="28">
        <v>89220</v>
      </c>
      <c r="H16" s="29">
        <v>43849</v>
      </c>
      <c r="I16" s="34">
        <v>229</v>
      </c>
      <c r="J16" s="55">
        <v>43862</v>
      </c>
      <c r="K16" s="48" t="s">
        <v>81</v>
      </c>
      <c r="L16" s="56">
        <f>400+14230.41+4000</f>
        <v>18630.41</v>
      </c>
      <c r="M16" s="31">
        <f>72650+6650.5+75</f>
        <v>79375.5</v>
      </c>
      <c r="N16" s="32">
        <v>4544</v>
      </c>
      <c r="O16" s="91"/>
    </row>
    <row r="17" spans="1:15" ht="15.75" thickBot="1" x14ac:dyDescent="0.3">
      <c r="A17" s="23"/>
      <c r="B17" s="24">
        <v>43850</v>
      </c>
      <c r="C17" s="25">
        <v>689</v>
      </c>
      <c r="D17" s="42" t="s">
        <v>19</v>
      </c>
      <c r="E17" s="27">
        <v>43850</v>
      </c>
      <c r="F17" s="28">
        <v>90073</v>
      </c>
      <c r="H17" s="29">
        <v>43850</v>
      </c>
      <c r="I17" s="34">
        <v>0</v>
      </c>
      <c r="J17" s="57"/>
      <c r="K17" s="48" t="s">
        <v>21</v>
      </c>
      <c r="L17" s="58"/>
      <c r="M17" s="31">
        <v>89063</v>
      </c>
      <c r="N17" s="32">
        <v>321</v>
      </c>
      <c r="O17" s="91"/>
    </row>
    <row r="18" spans="1:15" ht="15.75" thickBot="1" x14ac:dyDescent="0.3">
      <c r="A18" s="23"/>
      <c r="B18" s="24">
        <v>43851</v>
      </c>
      <c r="C18" s="25">
        <v>1137</v>
      </c>
      <c r="D18" s="33" t="s">
        <v>72</v>
      </c>
      <c r="E18" s="27">
        <v>43851</v>
      </c>
      <c r="F18" s="28">
        <v>85811</v>
      </c>
      <c r="H18" s="29">
        <v>43851</v>
      </c>
      <c r="I18" s="34">
        <v>0</v>
      </c>
      <c r="J18" s="57"/>
      <c r="K18" s="59"/>
      <c r="L18" s="52"/>
      <c r="M18" s="31">
        <f>75693+8002.5+200</f>
        <v>83895.5</v>
      </c>
      <c r="N18" s="32">
        <v>778</v>
      </c>
      <c r="O18" s="91"/>
    </row>
    <row r="19" spans="1:15" ht="15.75" thickBot="1" x14ac:dyDescent="0.3">
      <c r="A19" s="23"/>
      <c r="B19" s="24">
        <v>43852</v>
      </c>
      <c r="C19" s="25">
        <v>848</v>
      </c>
      <c r="D19" s="33" t="s">
        <v>82</v>
      </c>
      <c r="E19" s="27">
        <v>43852</v>
      </c>
      <c r="F19" s="28">
        <v>59210</v>
      </c>
      <c r="H19" s="29">
        <v>43852</v>
      </c>
      <c r="I19" s="34">
        <v>0</v>
      </c>
      <c r="J19" s="57"/>
      <c r="K19" s="60"/>
      <c r="L19" s="61"/>
      <c r="M19" s="31">
        <v>54134</v>
      </c>
      <c r="N19" s="32">
        <v>4228</v>
      </c>
      <c r="O19" s="91" t="s">
        <v>10</v>
      </c>
    </row>
    <row r="20" spans="1:15" ht="15.75" thickBot="1" x14ac:dyDescent="0.3">
      <c r="A20" s="23"/>
      <c r="B20" s="24">
        <v>43853</v>
      </c>
      <c r="C20" s="25">
        <v>3277</v>
      </c>
      <c r="D20" s="33" t="s">
        <v>83</v>
      </c>
      <c r="E20" s="27">
        <v>43853</v>
      </c>
      <c r="F20" s="28">
        <v>104143</v>
      </c>
      <c r="H20" s="29">
        <v>43853</v>
      </c>
      <c r="I20" s="34">
        <v>190</v>
      </c>
      <c r="J20" s="57">
        <v>43847</v>
      </c>
      <c r="K20" s="166" t="s">
        <v>84</v>
      </c>
      <c r="L20" s="167">
        <v>1374.88</v>
      </c>
      <c r="M20" s="31">
        <v>99234</v>
      </c>
      <c r="N20" s="32">
        <v>1442</v>
      </c>
      <c r="O20" s="91"/>
    </row>
    <row r="21" spans="1:15" ht="16.5" thickBot="1" x14ac:dyDescent="0.3">
      <c r="A21" s="23"/>
      <c r="B21" s="24">
        <v>43854</v>
      </c>
      <c r="C21" s="25">
        <v>1513</v>
      </c>
      <c r="D21" s="33" t="s">
        <v>19</v>
      </c>
      <c r="E21" s="27">
        <v>43854</v>
      </c>
      <c r="F21" s="28">
        <v>103378</v>
      </c>
      <c r="H21" s="29">
        <v>43854</v>
      </c>
      <c r="I21" s="34">
        <v>12058</v>
      </c>
      <c r="J21" s="57"/>
      <c r="K21" s="63" t="s">
        <v>85</v>
      </c>
      <c r="L21" s="58">
        <v>4042</v>
      </c>
      <c r="M21" s="31">
        <f>81812+650</f>
        <v>82462</v>
      </c>
      <c r="N21" s="32">
        <v>3303</v>
      </c>
      <c r="O21" s="91"/>
    </row>
    <row r="22" spans="1:15" ht="15.75" thickBot="1" x14ac:dyDescent="0.3">
      <c r="A22" s="23"/>
      <c r="B22" s="24">
        <v>43855</v>
      </c>
      <c r="C22" s="25">
        <v>1203</v>
      </c>
      <c r="D22" s="33" t="s">
        <v>19</v>
      </c>
      <c r="E22" s="27">
        <v>43855</v>
      </c>
      <c r="F22" s="28">
        <v>144095</v>
      </c>
      <c r="H22" s="29">
        <v>43855</v>
      </c>
      <c r="I22" s="34">
        <v>345</v>
      </c>
      <c r="J22" s="64"/>
      <c r="K22" s="65"/>
      <c r="L22" s="66"/>
      <c r="M22" s="31">
        <f>111000+18968</f>
        <v>129968</v>
      </c>
      <c r="N22" s="32">
        <v>4250</v>
      </c>
      <c r="O22" s="91"/>
    </row>
    <row r="23" spans="1:15" ht="15.75" thickBot="1" x14ac:dyDescent="0.3">
      <c r="A23" s="23"/>
      <c r="B23" s="24">
        <v>43856</v>
      </c>
      <c r="C23" s="25">
        <v>7336</v>
      </c>
      <c r="D23" s="33" t="s">
        <v>86</v>
      </c>
      <c r="E23" s="27">
        <v>43856</v>
      </c>
      <c r="F23" s="28">
        <v>82376</v>
      </c>
      <c r="H23" s="29">
        <v>43856</v>
      </c>
      <c r="I23" s="34">
        <v>0</v>
      </c>
      <c r="J23" s="67"/>
      <c r="K23" s="68"/>
      <c r="L23" s="58"/>
      <c r="M23" s="31">
        <v>72580</v>
      </c>
      <c r="N23" s="32">
        <v>2460</v>
      </c>
      <c r="O23" s="91"/>
    </row>
    <row r="24" spans="1:15" ht="15.75" thickBot="1" x14ac:dyDescent="0.3">
      <c r="A24" s="23"/>
      <c r="B24" s="24">
        <v>43857</v>
      </c>
      <c r="C24" s="25">
        <v>312</v>
      </c>
      <c r="D24" s="33" t="s">
        <v>19</v>
      </c>
      <c r="E24" s="27">
        <v>43857</v>
      </c>
      <c r="F24" s="28">
        <v>76937</v>
      </c>
      <c r="H24" s="29">
        <v>43857</v>
      </c>
      <c r="I24" s="34">
        <v>0</v>
      </c>
      <c r="J24" s="69"/>
      <c r="K24" s="70"/>
      <c r="L24" s="71"/>
      <c r="M24" s="31">
        <v>76125</v>
      </c>
      <c r="N24" s="32">
        <v>500</v>
      </c>
      <c r="O24" s="91"/>
    </row>
    <row r="25" spans="1:15" ht="15.75" thickBot="1" x14ac:dyDescent="0.3">
      <c r="A25" s="23"/>
      <c r="B25" s="24">
        <v>43858</v>
      </c>
      <c r="C25" s="25">
        <v>1475</v>
      </c>
      <c r="D25" s="33" t="s">
        <v>87</v>
      </c>
      <c r="E25" s="27">
        <v>43858</v>
      </c>
      <c r="F25" s="28">
        <v>75250</v>
      </c>
      <c r="H25" s="29">
        <v>43858</v>
      </c>
      <c r="I25" s="34">
        <v>0</v>
      </c>
      <c r="J25" s="72"/>
      <c r="K25" s="73"/>
      <c r="L25" s="74"/>
      <c r="M25" s="31">
        <v>72530</v>
      </c>
      <c r="N25" s="32">
        <v>1245</v>
      </c>
      <c r="O25" s="91" t="s">
        <v>10</v>
      </c>
    </row>
    <row r="26" spans="1:15" ht="15.75" thickBot="1" x14ac:dyDescent="0.3">
      <c r="A26" s="23"/>
      <c r="B26" s="24">
        <v>43859</v>
      </c>
      <c r="C26" s="25">
        <v>1577</v>
      </c>
      <c r="D26" s="33" t="s">
        <v>12</v>
      </c>
      <c r="E26" s="27">
        <v>43859</v>
      </c>
      <c r="F26" s="28">
        <v>69335</v>
      </c>
      <c r="H26" s="29">
        <v>43859</v>
      </c>
      <c r="I26" s="34">
        <v>0</v>
      </c>
      <c r="J26" s="57"/>
      <c r="K26" s="75"/>
      <c r="L26" s="52"/>
      <c r="M26" s="31">
        <f>59200+7065.6</f>
        <v>66265.600000000006</v>
      </c>
      <c r="N26" s="32">
        <v>1494</v>
      </c>
      <c r="O26" s="91"/>
    </row>
    <row r="27" spans="1:15" ht="15.75" thickBot="1" x14ac:dyDescent="0.3">
      <c r="A27" s="23"/>
      <c r="B27" s="24">
        <v>43860</v>
      </c>
      <c r="C27" s="25">
        <v>3793.5</v>
      </c>
      <c r="D27" s="33" t="s">
        <v>88</v>
      </c>
      <c r="E27" s="27">
        <v>43860</v>
      </c>
      <c r="F27" s="28">
        <v>64007</v>
      </c>
      <c r="H27" s="29">
        <v>43860</v>
      </c>
      <c r="I27" s="34">
        <v>2000</v>
      </c>
      <c r="J27" s="76"/>
      <c r="K27" s="77"/>
      <c r="L27" s="74"/>
      <c r="M27" s="31">
        <v>52578</v>
      </c>
      <c r="N27" s="32">
        <v>5635</v>
      </c>
      <c r="O27" s="91"/>
    </row>
    <row r="28" spans="1:15" ht="15.75" thickBot="1" x14ac:dyDescent="0.3">
      <c r="A28" s="23"/>
      <c r="B28" s="24">
        <v>43861</v>
      </c>
      <c r="C28" s="25">
        <v>2354</v>
      </c>
      <c r="D28" s="33" t="s">
        <v>30</v>
      </c>
      <c r="E28" s="27">
        <v>43861</v>
      </c>
      <c r="F28" s="28">
        <v>124945</v>
      </c>
      <c r="H28" s="29">
        <v>43861</v>
      </c>
      <c r="I28" s="34">
        <v>10096</v>
      </c>
      <c r="J28" s="76"/>
      <c r="K28" s="78"/>
      <c r="L28" s="74"/>
      <c r="M28" s="31">
        <v>88114</v>
      </c>
      <c r="N28" s="32">
        <v>4381</v>
      </c>
      <c r="O28" s="91"/>
    </row>
    <row r="29" spans="1:15" ht="15.75" thickBot="1" x14ac:dyDescent="0.3">
      <c r="A29" s="23"/>
      <c r="B29" s="24">
        <v>43862</v>
      </c>
      <c r="C29" s="25">
        <v>2318</v>
      </c>
      <c r="D29" s="33" t="s">
        <v>12</v>
      </c>
      <c r="E29" s="27">
        <v>43862</v>
      </c>
      <c r="F29" s="28">
        <v>129574</v>
      </c>
      <c r="H29" s="29">
        <v>43862</v>
      </c>
      <c r="I29" s="34">
        <v>0</v>
      </c>
      <c r="J29" s="76"/>
      <c r="K29" s="73"/>
      <c r="L29" s="74"/>
      <c r="M29" s="31">
        <f>109270+4378+90</f>
        <v>113738</v>
      </c>
      <c r="N29" s="32">
        <v>5104</v>
      </c>
      <c r="O29" s="91"/>
    </row>
    <row r="30" spans="1:15" ht="16.5" thickBot="1" x14ac:dyDescent="0.3">
      <c r="A30" s="23"/>
      <c r="B30" s="24">
        <v>43863</v>
      </c>
      <c r="C30" s="25">
        <v>0</v>
      </c>
      <c r="D30" s="33"/>
      <c r="E30" s="27">
        <v>43863</v>
      </c>
      <c r="F30" s="28">
        <v>103824</v>
      </c>
      <c r="H30" s="29">
        <v>43863</v>
      </c>
      <c r="I30" s="79">
        <v>250</v>
      </c>
      <c r="J30" s="80"/>
      <c r="K30" s="168"/>
      <c r="L30" s="82"/>
      <c r="M30" s="31">
        <v>98355</v>
      </c>
      <c r="N30" s="32">
        <v>5219</v>
      </c>
      <c r="O30" s="91"/>
    </row>
    <row r="31" spans="1:15" ht="16.5" thickBot="1" x14ac:dyDescent="0.3">
      <c r="A31" s="23"/>
      <c r="B31" s="24">
        <v>43864</v>
      </c>
      <c r="C31" s="83">
        <v>5858</v>
      </c>
      <c r="D31" s="33" t="s">
        <v>89</v>
      </c>
      <c r="E31" s="27">
        <v>43864</v>
      </c>
      <c r="F31" s="28">
        <v>75502</v>
      </c>
      <c r="H31" s="29">
        <v>43864</v>
      </c>
      <c r="I31" s="84">
        <v>0</v>
      </c>
      <c r="J31" s="80"/>
      <c r="K31" s="168"/>
      <c r="L31" s="82"/>
      <c r="M31" s="31">
        <v>66714</v>
      </c>
      <c r="N31" s="32">
        <v>2930</v>
      </c>
      <c r="O31" s="91"/>
    </row>
    <row r="32" spans="1:15" ht="16.5" thickBot="1" x14ac:dyDescent="0.3">
      <c r="A32" s="23"/>
      <c r="B32" s="24">
        <v>43865</v>
      </c>
      <c r="C32" s="83">
        <v>1406</v>
      </c>
      <c r="D32" s="33" t="s">
        <v>90</v>
      </c>
      <c r="E32" s="27">
        <v>43865</v>
      </c>
      <c r="F32" s="28">
        <v>62785</v>
      </c>
      <c r="H32" s="29">
        <v>43865</v>
      </c>
      <c r="I32" s="84">
        <v>60</v>
      </c>
      <c r="J32" s="80"/>
      <c r="K32" s="168"/>
      <c r="L32" s="82"/>
      <c r="M32" s="31">
        <v>60121</v>
      </c>
      <c r="N32" s="32">
        <v>1198</v>
      </c>
      <c r="O32" s="91"/>
    </row>
    <row r="33" spans="1:15" ht="16.5" thickBot="1" x14ac:dyDescent="0.3">
      <c r="A33" s="23"/>
      <c r="B33" s="24">
        <v>43866</v>
      </c>
      <c r="C33" s="83">
        <v>1811</v>
      </c>
      <c r="D33" s="33" t="s">
        <v>91</v>
      </c>
      <c r="E33" s="27">
        <v>43866</v>
      </c>
      <c r="F33" s="28">
        <v>52515</v>
      </c>
      <c r="H33" s="29">
        <v>43866</v>
      </c>
      <c r="I33" s="84">
        <v>0</v>
      </c>
      <c r="J33" s="80"/>
      <c r="K33" s="168"/>
      <c r="L33" s="82"/>
      <c r="M33" s="31">
        <v>50204</v>
      </c>
      <c r="N33" s="32">
        <v>500</v>
      </c>
      <c r="O33" s="91"/>
    </row>
    <row r="34" spans="1:15" ht="16.5" thickBot="1" x14ac:dyDescent="0.3">
      <c r="A34" s="23"/>
      <c r="B34" s="24">
        <v>43867</v>
      </c>
      <c r="C34" s="83">
        <v>918</v>
      </c>
      <c r="D34" s="33" t="s">
        <v>19</v>
      </c>
      <c r="E34" s="27">
        <v>43867</v>
      </c>
      <c r="F34" s="28">
        <v>79823</v>
      </c>
      <c r="H34" s="29">
        <v>43867</v>
      </c>
      <c r="I34" s="84">
        <v>600</v>
      </c>
      <c r="J34" s="80"/>
      <c r="K34" s="168"/>
      <c r="L34" s="82"/>
      <c r="M34" s="31">
        <v>76876</v>
      </c>
      <c r="N34" s="32">
        <v>1429</v>
      </c>
      <c r="O34" s="91"/>
    </row>
    <row r="35" spans="1:15" ht="16.5" thickBot="1" x14ac:dyDescent="0.3">
      <c r="A35" s="23"/>
      <c r="B35" s="169"/>
      <c r="C35" s="170"/>
      <c r="D35" s="33"/>
      <c r="E35" s="171"/>
      <c r="F35" s="172"/>
      <c r="G35" s="173"/>
      <c r="H35" s="29"/>
      <c r="I35" s="174"/>
      <c r="J35" s="80"/>
      <c r="K35" s="168"/>
      <c r="L35" s="82"/>
      <c r="M35" s="31">
        <v>0</v>
      </c>
      <c r="N35" s="32">
        <v>0</v>
      </c>
      <c r="O35" s="91"/>
    </row>
    <row r="36" spans="1:15" ht="15.75" x14ac:dyDescent="0.25">
      <c r="A36" s="23"/>
      <c r="B36" s="87">
        <v>43852</v>
      </c>
      <c r="C36" s="175">
        <v>13264.76</v>
      </c>
      <c r="D36" s="89" t="s">
        <v>41</v>
      </c>
      <c r="E36" s="90"/>
      <c r="F36" s="91"/>
      <c r="H36" s="29"/>
      <c r="I36" s="92"/>
      <c r="J36" s="176" t="s">
        <v>92</v>
      </c>
      <c r="K36" s="93" t="s">
        <v>42</v>
      </c>
      <c r="L36" s="45">
        <v>3750.22</v>
      </c>
      <c r="M36" s="31">
        <v>0</v>
      </c>
      <c r="N36" s="32">
        <v>0</v>
      </c>
      <c r="O36" s="91"/>
    </row>
    <row r="37" spans="1:15" ht="15.75" x14ac:dyDescent="0.25">
      <c r="A37" s="23"/>
      <c r="B37" s="24">
        <v>43854</v>
      </c>
      <c r="C37" s="97">
        <v>37192.32</v>
      </c>
      <c r="D37" s="95" t="s">
        <v>41</v>
      </c>
      <c r="E37" s="90"/>
      <c r="F37" s="91"/>
      <c r="H37" s="29"/>
      <c r="I37" s="91"/>
      <c r="J37" s="176" t="s">
        <v>92</v>
      </c>
      <c r="K37" s="86" t="s">
        <v>93</v>
      </c>
      <c r="L37" s="82">
        <v>1999.74</v>
      </c>
      <c r="M37" s="31">
        <v>0</v>
      </c>
      <c r="N37" s="32">
        <v>0</v>
      </c>
      <c r="O37" s="91"/>
    </row>
    <row r="38" spans="1:15" ht="15.75" x14ac:dyDescent="0.25">
      <c r="A38" s="23"/>
      <c r="B38" s="24">
        <v>43858</v>
      </c>
      <c r="C38" s="97">
        <v>10018</v>
      </c>
      <c r="D38" s="95" t="s">
        <v>41</v>
      </c>
      <c r="E38" s="90"/>
      <c r="F38" s="91"/>
      <c r="H38" s="29"/>
      <c r="I38" s="91"/>
      <c r="J38" s="176" t="s">
        <v>92</v>
      </c>
      <c r="K38" s="86" t="s">
        <v>44</v>
      </c>
      <c r="L38" s="82">
        <v>10381.799999999999</v>
      </c>
      <c r="M38" s="31">
        <v>0</v>
      </c>
      <c r="N38" s="32">
        <v>0</v>
      </c>
      <c r="O38" s="91"/>
    </row>
    <row r="39" spans="1:15" ht="15.75" x14ac:dyDescent="0.25">
      <c r="A39" s="23"/>
      <c r="B39" s="24">
        <v>43860</v>
      </c>
      <c r="C39" s="97">
        <v>11866</v>
      </c>
      <c r="D39" s="95" t="s">
        <v>41</v>
      </c>
      <c r="E39" s="90"/>
      <c r="F39" s="91"/>
      <c r="H39" s="29"/>
      <c r="I39" s="91"/>
      <c r="J39" s="176" t="s">
        <v>92</v>
      </c>
      <c r="K39" s="96" t="s">
        <v>45</v>
      </c>
      <c r="L39" s="82">
        <v>29047</v>
      </c>
      <c r="M39" s="31">
        <v>0</v>
      </c>
      <c r="N39" s="32">
        <v>0</v>
      </c>
      <c r="O39" s="91"/>
    </row>
    <row r="40" spans="1:15" ht="15.75" x14ac:dyDescent="0.25">
      <c r="A40" s="23"/>
      <c r="B40" s="24">
        <v>43864</v>
      </c>
      <c r="C40" s="97">
        <v>10826.96</v>
      </c>
      <c r="D40" s="95" t="s">
        <v>41</v>
      </c>
      <c r="E40" s="90"/>
      <c r="F40" s="91"/>
      <c r="H40" s="29"/>
      <c r="I40" s="91"/>
      <c r="J40" s="176" t="s">
        <v>92</v>
      </c>
      <c r="K40" s="86" t="s">
        <v>46</v>
      </c>
      <c r="L40" s="82">
        <v>1315.86</v>
      </c>
      <c r="M40" s="31">
        <v>0</v>
      </c>
      <c r="N40" s="32">
        <v>0</v>
      </c>
      <c r="O40" s="91"/>
    </row>
    <row r="41" spans="1:15" ht="15.75" x14ac:dyDescent="0.25">
      <c r="A41" s="23"/>
      <c r="B41" s="24">
        <v>43867</v>
      </c>
      <c r="C41" s="97">
        <v>15199.8</v>
      </c>
      <c r="D41" s="95" t="s">
        <v>41</v>
      </c>
      <c r="E41" s="90"/>
      <c r="F41" s="91"/>
      <c r="H41" s="29"/>
      <c r="I41" s="91"/>
      <c r="J41" s="177"/>
      <c r="K41" s="86"/>
      <c r="L41" s="178"/>
      <c r="M41" s="31">
        <v>0</v>
      </c>
      <c r="N41" s="32">
        <v>0</v>
      </c>
      <c r="O41" s="91"/>
    </row>
    <row r="42" spans="1:15" ht="15.75" x14ac:dyDescent="0.25">
      <c r="A42" s="23"/>
      <c r="B42" s="24"/>
      <c r="C42" s="97"/>
      <c r="D42" s="95"/>
      <c r="E42" s="90"/>
      <c r="F42" s="91"/>
      <c r="H42" s="29"/>
      <c r="I42" s="91"/>
      <c r="J42" s="177"/>
      <c r="K42" s="86"/>
      <c r="L42" s="178"/>
      <c r="M42" s="31">
        <v>0</v>
      </c>
      <c r="N42" s="32">
        <v>0</v>
      </c>
      <c r="O42" s="91"/>
    </row>
    <row r="43" spans="1:15" ht="16.5" thickBot="1" x14ac:dyDescent="0.3">
      <c r="A43" s="23"/>
      <c r="B43" s="98"/>
      <c r="C43" s="99"/>
      <c r="D43" s="100"/>
      <c r="E43" s="90"/>
      <c r="F43" s="91"/>
      <c r="H43" s="29"/>
      <c r="I43" s="91"/>
      <c r="J43" s="179"/>
      <c r="K43" s="101"/>
      <c r="L43" s="178"/>
      <c r="M43" s="91"/>
      <c r="N43" s="91"/>
      <c r="O43" s="91"/>
    </row>
    <row r="44" spans="1:15" ht="16.5" thickBot="1" x14ac:dyDescent="0.3">
      <c r="A44" s="102"/>
      <c r="B44" s="103"/>
      <c r="C44" s="104"/>
      <c r="D44" s="105"/>
      <c r="E44" s="106"/>
      <c r="F44" s="107"/>
      <c r="G44" s="108"/>
      <c r="H44" s="29"/>
      <c r="I44" s="107"/>
      <c r="J44" s="180"/>
      <c r="M44" s="110">
        <f>SUM(M5:M43)</f>
        <v>2609686.98</v>
      </c>
      <c r="N44" s="111">
        <f>SUM(N5:N43)</f>
        <v>83596</v>
      </c>
      <c r="O44" s="181"/>
    </row>
    <row r="45" spans="1:15" ht="16.5" thickBot="1" x14ac:dyDescent="0.3">
      <c r="B45" s="112" t="s">
        <v>51</v>
      </c>
      <c r="C45" s="113">
        <f>SUM(C5:C44)</f>
        <v>227347.06</v>
      </c>
      <c r="D45" s="114"/>
      <c r="E45" s="115" t="s">
        <v>51</v>
      </c>
      <c r="F45" s="116">
        <f>SUM(F5:F44)</f>
        <v>2909056</v>
      </c>
      <c r="G45" s="114"/>
      <c r="H45" s="117" t="s">
        <v>51</v>
      </c>
      <c r="I45" s="118">
        <f>SUM(I5:I44)</f>
        <v>51887.8</v>
      </c>
      <c r="J45" s="119"/>
      <c r="K45" s="120" t="s">
        <v>51</v>
      </c>
      <c r="L45" s="121">
        <f>SUM(L6:L43)</f>
        <v>165887</v>
      </c>
      <c r="O45" s="56"/>
    </row>
    <row r="46" spans="1:15" ht="20.25" thickTop="1" thickBot="1" x14ac:dyDescent="0.3">
      <c r="C46" s="5" t="s">
        <v>10</v>
      </c>
      <c r="M46" s="360">
        <f>N44+M44</f>
        <v>2693282.98</v>
      </c>
      <c r="N46" s="361"/>
      <c r="O46" s="182"/>
    </row>
    <row r="47" spans="1:15" ht="15.75" x14ac:dyDescent="0.25">
      <c r="A47" s="65"/>
      <c r="B47" s="122"/>
      <c r="C47" s="4"/>
      <c r="H47" s="362" t="s">
        <v>52</v>
      </c>
      <c r="I47" s="363"/>
      <c r="J47" s="123"/>
      <c r="K47" s="364">
        <f>I45+L45</f>
        <v>217774.8</v>
      </c>
      <c r="L47" s="365"/>
    </row>
    <row r="48" spans="1:15" ht="15.75" x14ac:dyDescent="0.25">
      <c r="D48" s="367" t="s">
        <v>53</v>
      </c>
      <c r="E48" s="367"/>
      <c r="F48" s="124">
        <f>F45-K47-C45</f>
        <v>2463934.14</v>
      </c>
      <c r="I48" s="125"/>
      <c r="J48" s="125"/>
    </row>
    <row r="49" spans="2:15" ht="18.75" x14ac:dyDescent="0.3">
      <c r="D49" s="368" t="s">
        <v>54</v>
      </c>
      <c r="E49" s="368"/>
      <c r="F49" s="126">
        <v>-2518468.4500000002</v>
      </c>
      <c r="I49" s="369" t="s">
        <v>55</v>
      </c>
      <c r="J49" s="370"/>
      <c r="K49" s="371">
        <f>F54</f>
        <v>333404.95999999996</v>
      </c>
      <c r="L49" s="372"/>
    </row>
    <row r="50" spans="2:15" ht="19.5" thickBot="1" x14ac:dyDescent="0.35">
      <c r="D50" s="127"/>
      <c r="E50" s="128"/>
      <c r="F50" s="129" t="s">
        <v>10</v>
      </c>
      <c r="I50" s="130"/>
      <c r="J50" s="130"/>
      <c r="K50" s="131"/>
      <c r="L50" s="131"/>
    </row>
    <row r="51" spans="2:15" ht="19.5" thickTop="1" x14ac:dyDescent="0.3">
      <c r="C51" s="13" t="s">
        <v>10</v>
      </c>
      <c r="E51" s="65" t="s">
        <v>56</v>
      </c>
      <c r="F51" s="126">
        <f>SUM(F48:F50)</f>
        <v>-54534.310000000056</v>
      </c>
      <c r="H51" s="23"/>
      <c r="I51" s="132" t="s">
        <v>57</v>
      </c>
      <c r="J51" s="133"/>
      <c r="K51" s="373">
        <f>-C4</f>
        <v>-273391.58</v>
      </c>
      <c r="L51" s="374"/>
      <c r="M51" s="134"/>
    </row>
    <row r="52" spans="2:15" ht="16.5" thickBot="1" x14ac:dyDescent="0.3">
      <c r="D52" s="135" t="s">
        <v>58</v>
      </c>
      <c r="E52" s="65" t="s">
        <v>59</v>
      </c>
      <c r="F52" s="136">
        <v>32730</v>
      </c>
    </row>
    <row r="53" spans="2:15" ht="20.25" thickTop="1" thickBot="1" x14ac:dyDescent="0.35">
      <c r="C53" s="183">
        <v>43867</v>
      </c>
      <c r="D53" s="375" t="s">
        <v>60</v>
      </c>
      <c r="E53" s="376"/>
      <c r="F53" s="138">
        <v>355209.27</v>
      </c>
      <c r="I53" s="377" t="s">
        <v>61</v>
      </c>
      <c r="J53" s="378"/>
      <c r="K53" s="379">
        <f>K49+K51</f>
        <v>60013.379999999946</v>
      </c>
      <c r="L53" s="380"/>
    </row>
    <row r="54" spans="2:15" ht="18.75" x14ac:dyDescent="0.3">
      <c r="C54" s="139"/>
      <c r="D54" s="140"/>
      <c r="E54" s="141" t="s">
        <v>62</v>
      </c>
      <c r="F54" s="142">
        <f>F51+F52+F53</f>
        <v>333404.95999999996</v>
      </c>
      <c r="J54" s="6"/>
      <c r="M54" s="143"/>
    </row>
    <row r="56" spans="2:15" x14ac:dyDescent="0.25">
      <c r="B56"/>
      <c r="C56"/>
      <c r="D56" s="366"/>
      <c r="E56" s="366"/>
      <c r="M56" s="144"/>
      <c r="N56" s="65"/>
      <c r="O56" s="65"/>
    </row>
    <row r="57" spans="2:15" x14ac:dyDescent="0.25">
      <c r="B57"/>
      <c r="C57"/>
      <c r="M57" s="144"/>
      <c r="N57" s="65"/>
      <c r="O57" s="65"/>
    </row>
    <row r="58" spans="2:15" x14ac:dyDescent="0.25">
      <c r="B58"/>
      <c r="C58"/>
      <c r="N58" s="65"/>
      <c r="O58" s="65"/>
    </row>
    <row r="59" spans="2:15" x14ac:dyDescent="0.25">
      <c r="B59"/>
      <c r="C59"/>
      <c r="F59"/>
      <c r="I59"/>
      <c r="J59"/>
      <c r="M59"/>
      <c r="N59" s="65"/>
      <c r="O59" s="65"/>
    </row>
    <row r="60" spans="2:15" x14ac:dyDescent="0.25">
      <c r="B60"/>
      <c r="C60"/>
      <c r="F60" s="145"/>
      <c r="N60" s="65"/>
      <c r="O60" s="65"/>
    </row>
    <row r="61" spans="2:15" x14ac:dyDescent="0.25">
      <c r="F61" s="91"/>
      <c r="M61" s="4"/>
      <c r="N61" s="65"/>
      <c r="O61" s="65"/>
    </row>
    <row r="62" spans="2:15" x14ac:dyDescent="0.25">
      <c r="F62" s="91"/>
      <c r="M62" s="4"/>
      <c r="N62" s="65"/>
      <c r="O62" s="65"/>
    </row>
    <row r="63" spans="2:15" x14ac:dyDescent="0.25">
      <c r="F63" s="91"/>
      <c r="M63" s="4"/>
      <c r="N63" s="65"/>
      <c r="O63" s="65"/>
    </row>
    <row r="64" spans="2:15" x14ac:dyDescent="0.25">
      <c r="F64" s="91"/>
      <c r="M64" s="4"/>
      <c r="N64" s="65"/>
      <c r="O64" s="65"/>
    </row>
    <row r="65" spans="6:13" x14ac:dyDescent="0.25">
      <c r="F65" s="91"/>
      <c r="M65" s="4"/>
    </row>
    <row r="66" spans="6:13" x14ac:dyDescent="0.25">
      <c r="F66" s="91"/>
      <c r="M66" s="4"/>
    </row>
    <row r="67" spans="6:13" x14ac:dyDescent="0.25">
      <c r="F67" s="91"/>
      <c r="M67" s="4"/>
    </row>
    <row r="68" spans="6:13" x14ac:dyDescent="0.25">
      <c r="F68" s="91"/>
      <c r="M68" s="4"/>
    </row>
    <row r="69" spans="6:13" x14ac:dyDescent="0.25">
      <c r="F69" s="91"/>
      <c r="M69" s="4"/>
    </row>
    <row r="70" spans="6:13" x14ac:dyDescent="0.25">
      <c r="F70" s="145"/>
      <c r="M70" s="4"/>
    </row>
    <row r="71" spans="6:13" x14ac:dyDescent="0.25">
      <c r="M71" s="4"/>
    </row>
    <row r="72" spans="6:13" x14ac:dyDescent="0.25">
      <c r="M72" s="4"/>
    </row>
    <row r="73" spans="6:13" x14ac:dyDescent="0.25">
      <c r="M73" s="4"/>
    </row>
    <row r="74" spans="6:13" x14ac:dyDescent="0.25">
      <c r="M74" s="4"/>
    </row>
    <row r="75" spans="6:13" x14ac:dyDescent="0.25">
      <c r="M75" s="4"/>
    </row>
    <row r="76" spans="6:13" x14ac:dyDescent="0.25">
      <c r="M76" s="4"/>
    </row>
    <row r="77" spans="6:13" x14ac:dyDescent="0.25">
      <c r="M77" s="4"/>
    </row>
    <row r="78" spans="6:13" x14ac:dyDescent="0.25">
      <c r="M78" s="4"/>
    </row>
    <row r="79" spans="6:13" x14ac:dyDescent="0.25">
      <c r="M79" s="4"/>
    </row>
    <row r="80" spans="6:13" x14ac:dyDescent="0.25">
      <c r="M80" s="4"/>
    </row>
    <row r="81" spans="13:13" x14ac:dyDescent="0.25">
      <c r="M81" s="4"/>
    </row>
    <row r="82" spans="13:13" x14ac:dyDescent="0.25">
      <c r="M82" s="4"/>
    </row>
    <row r="83" spans="13:13" x14ac:dyDescent="0.25">
      <c r="M83" s="4"/>
    </row>
  </sheetData>
  <mergeCells count="16">
    <mergeCell ref="H47:I47"/>
    <mergeCell ref="K47:L47"/>
    <mergeCell ref="D56:E56"/>
    <mergeCell ref="D48:E48"/>
    <mergeCell ref="D49:E49"/>
    <mergeCell ref="I49:J49"/>
    <mergeCell ref="K49:L49"/>
    <mergeCell ref="K51:L51"/>
    <mergeCell ref="D53:E53"/>
    <mergeCell ref="I53:J53"/>
    <mergeCell ref="K53:L53"/>
    <mergeCell ref="C1:K1"/>
    <mergeCell ref="B3:C3"/>
    <mergeCell ref="E4:F4"/>
    <mergeCell ref="H4:I4"/>
    <mergeCell ref="M46:N46"/>
  </mergeCells>
  <pageMargins left="0.7" right="0.7" top="0.75" bottom="0.75" header="0.3" footer="0.3"/>
  <drawing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B20F0-8C24-46EF-A5E6-844936920779}">
  <sheetPr>
    <tabColor theme="9" tint="-0.249977111117893"/>
  </sheetPr>
  <dimension ref="A1:O81"/>
  <sheetViews>
    <sheetView topLeftCell="A31" workbookViewId="0">
      <selection activeCell="F36" sqref="F36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13" customWidth="1"/>
    <col min="4" max="4" width="15.28515625" customWidth="1"/>
    <col min="6" max="6" width="17.85546875" style="13" customWidth="1"/>
    <col min="7" max="7" width="2.85546875" customWidth="1"/>
    <col min="9" max="9" width="12.140625" style="13" customWidth="1"/>
    <col min="10" max="10" width="11.7109375" style="251" customWidth="1"/>
    <col min="11" max="11" width="17.28515625" customWidth="1"/>
    <col min="12" max="12" width="14.5703125" customWidth="1"/>
    <col min="13" max="13" width="18.140625" style="13" customWidth="1"/>
    <col min="14" max="14" width="14.42578125" style="4" customWidth="1"/>
    <col min="15" max="15" width="8.42578125" style="4" customWidth="1"/>
  </cols>
  <sheetData>
    <row r="1" spans="1:15" ht="23.25" x14ac:dyDescent="0.35">
      <c r="C1" s="353" t="s">
        <v>219</v>
      </c>
      <c r="D1" s="353"/>
      <c r="E1" s="353"/>
      <c r="F1" s="353"/>
      <c r="G1" s="353"/>
      <c r="H1" s="353"/>
      <c r="I1" s="353"/>
      <c r="J1" s="353"/>
      <c r="K1" s="353"/>
      <c r="L1" s="2"/>
      <c r="M1" s="3"/>
    </row>
    <row r="2" spans="1:15" ht="18.75" x14ac:dyDescent="0.3">
      <c r="C2" s="5"/>
      <c r="E2" s="381" t="s">
        <v>135</v>
      </c>
      <c r="F2" s="381"/>
      <c r="H2" s="184" t="s">
        <v>1</v>
      </c>
      <c r="I2" s="3"/>
      <c r="J2" s="243"/>
      <c r="M2" s="3"/>
      <c r="N2" s="56"/>
      <c r="O2" s="56"/>
    </row>
    <row r="3" spans="1:15" ht="19.5" thickBot="1" x14ac:dyDescent="0.35">
      <c r="B3" s="354" t="s">
        <v>2</v>
      </c>
      <c r="C3" s="355"/>
      <c r="D3" s="12"/>
      <c r="E3" s="382"/>
      <c r="F3" s="382"/>
      <c r="I3" s="185" t="s">
        <v>3</v>
      </c>
      <c r="J3" s="244"/>
      <c r="K3" s="187" t="s">
        <v>136</v>
      </c>
      <c r="L3" s="187"/>
    </row>
    <row r="4" spans="1:15" ht="20.25" thickTop="1" thickBot="1" x14ac:dyDescent="0.35">
      <c r="A4" s="16" t="s">
        <v>5</v>
      </c>
      <c r="B4" s="17"/>
      <c r="C4" s="245">
        <v>239420.42</v>
      </c>
      <c r="D4" s="246">
        <v>43957</v>
      </c>
      <c r="E4" s="356" t="s">
        <v>6</v>
      </c>
      <c r="F4" s="357"/>
      <c r="H4" s="358" t="s">
        <v>7</v>
      </c>
      <c r="I4" s="359"/>
      <c r="J4" s="247"/>
      <c r="K4" s="20"/>
      <c r="L4" s="20"/>
      <c r="M4" s="21" t="s">
        <v>8</v>
      </c>
      <c r="N4" s="22" t="s">
        <v>9</v>
      </c>
      <c r="O4" s="165"/>
    </row>
    <row r="5" spans="1:15" ht="15.75" thickBot="1" x14ac:dyDescent="0.3">
      <c r="A5" s="23" t="s">
        <v>10</v>
      </c>
      <c r="B5" s="248">
        <v>43958</v>
      </c>
      <c r="C5" s="249">
        <v>16258.95</v>
      </c>
      <c r="D5" s="250" t="s">
        <v>208</v>
      </c>
      <c r="E5" s="27">
        <v>43958</v>
      </c>
      <c r="F5" s="28">
        <v>58566</v>
      </c>
      <c r="H5" s="29">
        <v>43958</v>
      </c>
      <c r="I5" s="30">
        <v>144.5</v>
      </c>
      <c r="M5" s="31">
        <v>52888</v>
      </c>
      <c r="N5" s="32">
        <v>1155</v>
      </c>
      <c r="O5" s="91"/>
    </row>
    <row r="6" spans="1:15" ht="15.75" thickBot="1" x14ac:dyDescent="0.3">
      <c r="A6" s="23"/>
      <c r="B6" s="248">
        <v>43959</v>
      </c>
      <c r="C6" s="249">
        <v>16160</v>
      </c>
      <c r="D6" s="252" t="s">
        <v>148</v>
      </c>
      <c r="E6" s="27">
        <v>43959</v>
      </c>
      <c r="F6" s="28">
        <v>99175</v>
      </c>
      <c r="H6" s="29">
        <v>43959</v>
      </c>
      <c r="I6" s="34">
        <v>10020</v>
      </c>
      <c r="J6" s="55">
        <v>43959</v>
      </c>
      <c r="K6" s="48" t="s">
        <v>220</v>
      </c>
      <c r="L6" s="52">
        <v>6055</v>
      </c>
      <c r="M6" s="31">
        <v>62290</v>
      </c>
      <c r="N6" s="32">
        <v>4650</v>
      </c>
      <c r="O6" s="217"/>
    </row>
    <row r="7" spans="1:15" ht="16.5" thickBot="1" x14ac:dyDescent="0.3">
      <c r="A7" s="23"/>
      <c r="B7" s="248">
        <v>43960</v>
      </c>
      <c r="C7" s="249">
        <v>7496</v>
      </c>
      <c r="D7" s="253" t="s">
        <v>79</v>
      </c>
      <c r="E7" s="27">
        <v>43960</v>
      </c>
      <c r="F7" s="28">
        <v>131687</v>
      </c>
      <c r="H7" s="29">
        <v>43960</v>
      </c>
      <c r="I7" s="34">
        <v>280</v>
      </c>
      <c r="J7" s="254"/>
      <c r="K7" s="40" t="s">
        <v>13</v>
      </c>
      <c r="L7" s="41">
        <v>0</v>
      </c>
      <c r="M7" s="31">
        <v>105580</v>
      </c>
      <c r="N7" s="32">
        <v>6514</v>
      </c>
      <c r="O7" s="219" t="s">
        <v>10</v>
      </c>
    </row>
    <row r="8" spans="1:15" ht="16.5" thickBot="1" x14ac:dyDescent="0.3">
      <c r="A8" s="23"/>
      <c r="B8" s="248">
        <v>43961</v>
      </c>
      <c r="C8" s="249">
        <v>3967</v>
      </c>
      <c r="D8" s="255" t="s">
        <v>30</v>
      </c>
      <c r="E8" s="27">
        <v>43961</v>
      </c>
      <c r="F8" s="28">
        <v>137302</v>
      </c>
      <c r="H8" s="29">
        <v>43961</v>
      </c>
      <c r="I8" s="34">
        <v>0</v>
      </c>
      <c r="J8" s="256">
        <v>43982</v>
      </c>
      <c r="K8" s="44" t="s">
        <v>15</v>
      </c>
      <c r="L8" s="45">
        <v>27661</v>
      </c>
      <c r="M8" s="203">
        <v>126950</v>
      </c>
      <c r="N8" s="32">
        <v>6386</v>
      </c>
      <c r="O8" s="217" t="s">
        <v>166</v>
      </c>
    </row>
    <row r="9" spans="1:15" ht="16.5" thickBot="1" x14ac:dyDescent="0.3">
      <c r="A9" s="23"/>
      <c r="B9" s="248">
        <v>43962</v>
      </c>
      <c r="C9" s="249">
        <v>0</v>
      </c>
      <c r="D9" s="257"/>
      <c r="E9" s="27">
        <v>43962</v>
      </c>
      <c r="F9" s="28">
        <v>68101</v>
      </c>
      <c r="H9" s="29">
        <v>43962</v>
      </c>
      <c r="I9" s="34">
        <v>180</v>
      </c>
      <c r="J9" s="256">
        <v>43981</v>
      </c>
      <c r="K9" s="48" t="s">
        <v>17</v>
      </c>
      <c r="L9" s="49">
        <v>20000</v>
      </c>
      <c r="M9" s="31">
        <v>66800</v>
      </c>
      <c r="N9" s="32">
        <v>1124</v>
      </c>
      <c r="O9" s="217"/>
    </row>
    <row r="10" spans="1:15" ht="16.5" thickBot="1" x14ac:dyDescent="0.3">
      <c r="A10" s="23"/>
      <c r="B10" s="248">
        <v>43963</v>
      </c>
      <c r="C10" s="249">
        <v>1684</v>
      </c>
      <c r="D10" s="253" t="s">
        <v>72</v>
      </c>
      <c r="E10" s="27">
        <v>43963</v>
      </c>
      <c r="F10" s="28">
        <v>55590</v>
      </c>
      <c r="H10" s="29">
        <v>43963</v>
      </c>
      <c r="I10" s="34">
        <v>76</v>
      </c>
      <c r="J10" s="258"/>
      <c r="K10" s="51"/>
      <c r="L10" s="52"/>
      <c r="M10" s="31">
        <v>48306</v>
      </c>
      <c r="N10" s="32">
        <v>5524</v>
      </c>
      <c r="O10" s="219"/>
    </row>
    <row r="11" spans="1:15" ht="15.75" thickBot="1" x14ac:dyDescent="0.3">
      <c r="A11" s="23"/>
      <c r="B11" s="248">
        <v>43964</v>
      </c>
      <c r="C11" s="249">
        <v>1691</v>
      </c>
      <c r="D11" s="252" t="s">
        <v>221</v>
      </c>
      <c r="E11" s="27">
        <v>43964</v>
      </c>
      <c r="F11" s="28">
        <v>81336</v>
      </c>
      <c r="H11" s="29">
        <v>43964</v>
      </c>
      <c r="I11" s="34">
        <v>0</v>
      </c>
      <c r="J11" s="259"/>
      <c r="K11" s="54"/>
      <c r="L11" s="52"/>
      <c r="M11" s="31">
        <v>77190</v>
      </c>
      <c r="N11" s="32">
        <v>2455</v>
      </c>
      <c r="O11" s="217"/>
    </row>
    <row r="12" spans="1:15" ht="15.75" thickBot="1" x14ac:dyDescent="0.3">
      <c r="A12" s="23"/>
      <c r="B12" s="248">
        <v>43965</v>
      </c>
      <c r="C12" s="249">
        <v>5660</v>
      </c>
      <c r="D12" s="252" t="s">
        <v>222</v>
      </c>
      <c r="E12" s="27">
        <v>43965</v>
      </c>
      <c r="F12" s="28">
        <v>60000</v>
      </c>
      <c r="H12" s="29">
        <v>43965</v>
      </c>
      <c r="I12" s="34">
        <v>0</v>
      </c>
      <c r="J12" s="55">
        <v>43960</v>
      </c>
      <c r="K12" s="48" t="s">
        <v>223</v>
      </c>
      <c r="L12" s="52">
        <f>16062.88+4000+400</f>
        <v>20462.879999999997</v>
      </c>
      <c r="M12" s="31">
        <v>50100</v>
      </c>
      <c r="N12" s="32">
        <v>4244</v>
      </c>
      <c r="O12" s="220"/>
    </row>
    <row r="13" spans="1:15" ht="15.75" thickBot="1" x14ac:dyDescent="0.3">
      <c r="A13" s="23"/>
      <c r="B13" s="248">
        <v>43966</v>
      </c>
      <c r="C13" s="249">
        <v>1749</v>
      </c>
      <c r="D13" s="255" t="s">
        <v>18</v>
      </c>
      <c r="E13" s="27">
        <v>43966</v>
      </c>
      <c r="F13" s="28">
        <v>97199</v>
      </c>
      <c r="H13" s="29">
        <v>43966</v>
      </c>
      <c r="I13" s="34">
        <v>12090</v>
      </c>
      <c r="J13" s="55">
        <v>43967</v>
      </c>
      <c r="K13" s="48" t="s">
        <v>224</v>
      </c>
      <c r="L13" s="52">
        <f>400+14894.75+4000</f>
        <v>19294.75</v>
      </c>
      <c r="M13" s="31">
        <v>77194</v>
      </c>
      <c r="N13" s="32">
        <v>5499</v>
      </c>
      <c r="O13" s="217"/>
    </row>
    <row r="14" spans="1:15" ht="15.75" thickBot="1" x14ac:dyDescent="0.3">
      <c r="A14" s="23"/>
      <c r="B14" s="248">
        <v>43967</v>
      </c>
      <c r="C14" s="249">
        <v>1884</v>
      </c>
      <c r="D14" s="253" t="s">
        <v>12</v>
      </c>
      <c r="E14" s="27">
        <v>43967</v>
      </c>
      <c r="F14" s="28">
        <v>97099</v>
      </c>
      <c r="H14" s="29">
        <v>43967</v>
      </c>
      <c r="I14" s="34">
        <v>650</v>
      </c>
      <c r="J14" s="55">
        <v>43974</v>
      </c>
      <c r="K14" s="48" t="s">
        <v>225</v>
      </c>
      <c r="L14" s="52">
        <f>13733.35+400+4000</f>
        <v>18133.349999999999</v>
      </c>
      <c r="M14" s="203">
        <v>79236</v>
      </c>
      <c r="N14" s="32">
        <v>4879</v>
      </c>
      <c r="O14" s="217" t="s">
        <v>166</v>
      </c>
    </row>
    <row r="15" spans="1:15" ht="15.75" thickBot="1" x14ac:dyDescent="0.3">
      <c r="A15" s="23"/>
      <c r="B15" s="248">
        <v>43968</v>
      </c>
      <c r="C15" s="249">
        <v>7269</v>
      </c>
      <c r="D15" s="252" t="s">
        <v>226</v>
      </c>
      <c r="E15" s="27">
        <v>43968</v>
      </c>
      <c r="F15" s="28">
        <v>68209</v>
      </c>
      <c r="H15" s="29">
        <v>43968</v>
      </c>
      <c r="I15" s="34">
        <v>66</v>
      </c>
      <c r="J15" s="55">
        <v>43981</v>
      </c>
      <c r="K15" s="48" t="s">
        <v>227</v>
      </c>
      <c r="L15" s="52">
        <f>13951.89+4000+400</f>
        <v>18351.89</v>
      </c>
      <c r="M15" s="31">
        <v>56511</v>
      </c>
      <c r="N15" s="32">
        <v>4363</v>
      </c>
      <c r="O15" s="217"/>
    </row>
    <row r="16" spans="1:15" ht="15.75" thickBot="1" x14ac:dyDescent="0.3">
      <c r="A16" s="23"/>
      <c r="B16" s="248">
        <v>43969</v>
      </c>
      <c r="C16" s="249">
        <v>1337</v>
      </c>
      <c r="D16" s="252" t="s">
        <v>19</v>
      </c>
      <c r="E16" s="27">
        <v>43969</v>
      </c>
      <c r="F16" s="28">
        <v>63425</v>
      </c>
      <c r="H16" s="29">
        <v>43969</v>
      </c>
      <c r="I16" s="34">
        <v>0</v>
      </c>
      <c r="J16" s="55"/>
      <c r="K16" s="48" t="s">
        <v>28</v>
      </c>
      <c r="L16" s="56">
        <v>0</v>
      </c>
      <c r="M16" s="31">
        <v>59802</v>
      </c>
      <c r="N16" s="32">
        <v>2286</v>
      </c>
      <c r="O16" s="217"/>
    </row>
    <row r="17" spans="1:15" ht="15.75" thickBot="1" x14ac:dyDescent="0.3">
      <c r="A17" s="23"/>
      <c r="B17" s="248">
        <v>43970</v>
      </c>
      <c r="C17" s="249">
        <v>3783</v>
      </c>
      <c r="D17" s="255" t="s">
        <v>30</v>
      </c>
      <c r="E17" s="27">
        <v>43970</v>
      </c>
      <c r="F17" s="28">
        <v>66017</v>
      </c>
      <c r="H17" s="29">
        <v>43970</v>
      </c>
      <c r="I17" s="34">
        <v>326</v>
      </c>
      <c r="J17" s="57"/>
      <c r="K17" s="48" t="s">
        <v>228</v>
      </c>
      <c r="L17" s="58">
        <v>0</v>
      </c>
      <c r="M17" s="203">
        <v>58260</v>
      </c>
      <c r="N17" s="32">
        <v>3648</v>
      </c>
      <c r="O17" s="217" t="s">
        <v>166</v>
      </c>
    </row>
    <row r="18" spans="1:15" ht="15.75" thickBot="1" x14ac:dyDescent="0.3">
      <c r="A18" s="23"/>
      <c r="B18" s="248">
        <v>43971</v>
      </c>
      <c r="C18" s="249">
        <v>1352</v>
      </c>
      <c r="D18" s="252" t="s">
        <v>12</v>
      </c>
      <c r="E18" s="27">
        <v>43971</v>
      </c>
      <c r="F18" s="28">
        <v>54970</v>
      </c>
      <c r="H18" s="29">
        <v>43971</v>
      </c>
      <c r="I18" s="34">
        <v>0</v>
      </c>
      <c r="J18" s="57"/>
      <c r="K18" s="59"/>
      <c r="L18" s="52"/>
      <c r="M18" s="203">
        <v>51082</v>
      </c>
      <c r="N18" s="32">
        <v>2536</v>
      </c>
      <c r="O18" s="217" t="s">
        <v>166</v>
      </c>
    </row>
    <row r="19" spans="1:15" ht="15.75" thickBot="1" x14ac:dyDescent="0.3">
      <c r="A19" s="23"/>
      <c r="B19" s="248">
        <v>43972</v>
      </c>
      <c r="C19" s="249">
        <v>2429</v>
      </c>
      <c r="D19" s="252" t="s">
        <v>24</v>
      </c>
      <c r="E19" s="27">
        <v>43972</v>
      </c>
      <c r="F19" s="28">
        <v>54820</v>
      </c>
      <c r="H19" s="29">
        <v>43972</v>
      </c>
      <c r="I19" s="34">
        <v>0</v>
      </c>
      <c r="J19" s="57">
        <v>43966</v>
      </c>
      <c r="K19" s="60" t="s">
        <v>229</v>
      </c>
      <c r="L19" s="61">
        <v>667</v>
      </c>
      <c r="M19" s="31">
        <f>48971+3198</f>
        <v>52169</v>
      </c>
      <c r="N19" s="32">
        <v>1077</v>
      </c>
      <c r="O19" s="217"/>
    </row>
    <row r="20" spans="1:15" ht="15.75" thickBot="1" x14ac:dyDescent="0.3">
      <c r="A20" s="23"/>
      <c r="B20" s="248">
        <v>43973</v>
      </c>
      <c r="C20" s="249">
        <v>1037</v>
      </c>
      <c r="D20" s="252" t="s">
        <v>19</v>
      </c>
      <c r="E20" s="27">
        <v>43973</v>
      </c>
      <c r="F20" s="28">
        <v>91118</v>
      </c>
      <c r="H20" s="29">
        <v>43973</v>
      </c>
      <c r="I20" s="34">
        <v>12020</v>
      </c>
      <c r="J20" s="55">
        <v>43973</v>
      </c>
      <c r="K20" s="62" t="s">
        <v>230</v>
      </c>
      <c r="L20" s="58">
        <v>10000</v>
      </c>
      <c r="M20" s="31">
        <v>62807</v>
      </c>
      <c r="N20" s="32">
        <v>5254</v>
      </c>
      <c r="O20" s="217"/>
    </row>
    <row r="21" spans="1:15" ht="16.5" thickBot="1" x14ac:dyDescent="0.3">
      <c r="A21" s="23"/>
      <c r="B21" s="248">
        <v>43974</v>
      </c>
      <c r="C21" s="249">
        <v>4845</v>
      </c>
      <c r="D21" s="252" t="s">
        <v>231</v>
      </c>
      <c r="E21" s="27">
        <v>43974</v>
      </c>
      <c r="F21" s="28">
        <v>94169</v>
      </c>
      <c r="H21" s="29">
        <v>43974</v>
      </c>
      <c r="I21" s="34">
        <v>0</v>
      </c>
      <c r="J21" s="57"/>
      <c r="K21" s="63"/>
      <c r="L21" s="58"/>
      <c r="M21" s="31">
        <v>76741</v>
      </c>
      <c r="N21" s="32">
        <v>3143</v>
      </c>
      <c r="O21" s="217"/>
    </row>
    <row r="22" spans="1:15" ht="15.75" thickBot="1" x14ac:dyDescent="0.3">
      <c r="A22" s="23"/>
      <c r="B22" s="248">
        <v>43975</v>
      </c>
      <c r="C22" s="249">
        <v>1004</v>
      </c>
      <c r="D22" s="252" t="s">
        <v>19</v>
      </c>
      <c r="E22" s="27">
        <v>43975</v>
      </c>
      <c r="F22" s="28">
        <v>103977</v>
      </c>
      <c r="H22" s="29">
        <v>43975</v>
      </c>
      <c r="I22" s="34">
        <v>1240</v>
      </c>
      <c r="J22" s="64"/>
      <c r="K22" s="65"/>
      <c r="L22" s="66"/>
      <c r="M22" s="203">
        <v>97737</v>
      </c>
      <c r="N22" s="32">
        <v>3996</v>
      </c>
      <c r="O22" s="217" t="s">
        <v>166</v>
      </c>
    </row>
    <row r="23" spans="1:15" ht="15.75" thickBot="1" x14ac:dyDescent="0.3">
      <c r="A23" s="23"/>
      <c r="B23" s="248">
        <v>43976</v>
      </c>
      <c r="C23" s="249">
        <v>1195</v>
      </c>
      <c r="D23" s="252" t="s">
        <v>19</v>
      </c>
      <c r="E23" s="27">
        <v>43976</v>
      </c>
      <c r="F23" s="28">
        <v>57229</v>
      </c>
      <c r="H23" s="29">
        <v>43976</v>
      </c>
      <c r="I23" s="34">
        <v>0</v>
      </c>
      <c r="J23" s="221"/>
      <c r="K23" s="222"/>
      <c r="L23" s="223"/>
      <c r="M23" s="31">
        <v>54097</v>
      </c>
      <c r="N23" s="32">
        <v>1937</v>
      </c>
      <c r="O23" s="204"/>
    </row>
    <row r="24" spans="1:15" ht="15.75" thickBot="1" x14ac:dyDescent="0.3">
      <c r="A24" s="23"/>
      <c r="B24" s="248">
        <v>43977</v>
      </c>
      <c r="C24" s="249">
        <v>3689.5</v>
      </c>
      <c r="D24" s="252" t="s">
        <v>72</v>
      </c>
      <c r="E24" s="27">
        <v>43977</v>
      </c>
      <c r="F24" s="28">
        <v>51348</v>
      </c>
      <c r="H24" s="29">
        <v>43977</v>
      </c>
      <c r="I24" s="34">
        <v>76</v>
      </c>
      <c r="J24" s="224"/>
      <c r="K24" s="225"/>
      <c r="L24" s="226"/>
      <c r="M24" s="31">
        <v>46226.5</v>
      </c>
      <c r="N24" s="32">
        <v>1356</v>
      </c>
      <c r="O24" s="217"/>
    </row>
    <row r="25" spans="1:15" ht="15.75" thickBot="1" x14ac:dyDescent="0.3">
      <c r="A25" s="23"/>
      <c r="B25" s="248">
        <v>43978</v>
      </c>
      <c r="C25" s="249">
        <v>3928</v>
      </c>
      <c r="D25" s="252" t="s">
        <v>232</v>
      </c>
      <c r="E25" s="27">
        <v>43978</v>
      </c>
      <c r="F25" s="28">
        <v>52888</v>
      </c>
      <c r="H25" s="29">
        <v>43978</v>
      </c>
      <c r="I25" s="34">
        <v>2000</v>
      </c>
      <c r="J25" s="227"/>
      <c r="K25" s="86"/>
      <c r="L25" s="178" t="s">
        <v>10</v>
      </c>
      <c r="M25" s="31">
        <v>44791</v>
      </c>
      <c r="N25" s="32">
        <v>2169</v>
      </c>
      <c r="O25" s="217"/>
    </row>
    <row r="26" spans="1:15" ht="15.75" thickBot="1" x14ac:dyDescent="0.3">
      <c r="A26" s="23"/>
      <c r="B26" s="248">
        <v>43979</v>
      </c>
      <c r="C26" s="249">
        <v>1214</v>
      </c>
      <c r="D26" s="252" t="s">
        <v>19</v>
      </c>
      <c r="E26" s="27">
        <v>43979</v>
      </c>
      <c r="F26" s="28">
        <v>69439</v>
      </c>
      <c r="H26" s="29">
        <v>43979</v>
      </c>
      <c r="I26" s="34">
        <v>0</v>
      </c>
      <c r="J26" s="57"/>
      <c r="K26" s="228"/>
      <c r="L26" s="223"/>
      <c r="M26" s="31">
        <v>65617</v>
      </c>
      <c r="N26" s="32">
        <v>2608</v>
      </c>
      <c r="O26" s="217"/>
    </row>
    <row r="27" spans="1:15" ht="15.75" thickBot="1" x14ac:dyDescent="0.3">
      <c r="A27" s="23"/>
      <c r="B27" s="248">
        <v>43980</v>
      </c>
      <c r="C27" s="249">
        <v>1249</v>
      </c>
      <c r="D27" s="252" t="s">
        <v>19</v>
      </c>
      <c r="E27" s="27">
        <v>43980</v>
      </c>
      <c r="F27" s="28">
        <v>88939</v>
      </c>
      <c r="H27" s="29">
        <v>43980</v>
      </c>
      <c r="I27" s="34">
        <v>10020</v>
      </c>
      <c r="J27" s="176" t="s">
        <v>233</v>
      </c>
      <c r="K27" s="96" t="s">
        <v>165</v>
      </c>
      <c r="L27" s="178">
        <v>10000</v>
      </c>
      <c r="M27" s="31">
        <v>73096</v>
      </c>
      <c r="N27" s="32">
        <v>4574</v>
      </c>
      <c r="O27" s="217"/>
    </row>
    <row r="28" spans="1:15" ht="15.75" thickBot="1" x14ac:dyDescent="0.3">
      <c r="A28" s="23"/>
      <c r="B28" s="248">
        <v>43981</v>
      </c>
      <c r="C28" s="249">
        <v>3526</v>
      </c>
      <c r="D28" s="260" t="s">
        <v>234</v>
      </c>
      <c r="E28" s="27">
        <v>43981</v>
      </c>
      <c r="F28" s="28">
        <v>104048</v>
      </c>
      <c r="H28" s="29">
        <v>43981</v>
      </c>
      <c r="I28" s="34">
        <v>0</v>
      </c>
      <c r="J28" s="176" t="s">
        <v>233</v>
      </c>
      <c r="K28" s="230" t="s">
        <v>235</v>
      </c>
      <c r="L28" s="178">
        <f>9345+10260</f>
        <v>19605</v>
      </c>
      <c r="M28" s="203">
        <v>64686</v>
      </c>
      <c r="N28" s="32">
        <v>6329</v>
      </c>
      <c r="O28" s="217" t="s">
        <v>166</v>
      </c>
    </row>
    <row r="29" spans="1:15" ht="15.75" thickBot="1" x14ac:dyDescent="0.3">
      <c r="A29" s="23"/>
      <c r="B29" s="248">
        <v>43982</v>
      </c>
      <c r="C29" s="249">
        <v>10272</v>
      </c>
      <c r="D29" s="261" t="s">
        <v>236</v>
      </c>
      <c r="E29" s="27">
        <v>43982</v>
      </c>
      <c r="F29" s="28">
        <v>79829</v>
      </c>
      <c r="H29" s="29">
        <v>43982</v>
      </c>
      <c r="I29" s="34">
        <v>0</v>
      </c>
      <c r="J29" s="176" t="s">
        <v>233</v>
      </c>
      <c r="K29" s="86" t="s">
        <v>192</v>
      </c>
      <c r="L29" s="178">
        <v>1856</v>
      </c>
      <c r="M29" s="31">
        <v>65660</v>
      </c>
      <c r="N29" s="32">
        <v>3897</v>
      </c>
      <c r="O29" s="217"/>
    </row>
    <row r="30" spans="1:15" ht="15.75" thickBot="1" x14ac:dyDescent="0.3">
      <c r="A30" s="23"/>
      <c r="B30" s="248">
        <v>43983</v>
      </c>
      <c r="C30" s="249">
        <v>2838</v>
      </c>
      <c r="D30" s="261" t="s">
        <v>237</v>
      </c>
      <c r="E30" s="27">
        <v>43983</v>
      </c>
      <c r="F30" s="28">
        <v>64377</v>
      </c>
      <c r="H30" s="29">
        <v>43983</v>
      </c>
      <c r="I30" s="199">
        <v>0</v>
      </c>
      <c r="J30" s="176" t="s">
        <v>233</v>
      </c>
      <c r="K30" s="231" t="s">
        <v>238</v>
      </c>
      <c r="L30" s="232">
        <v>4162.8999999999996</v>
      </c>
      <c r="M30" s="31">
        <v>56729</v>
      </c>
      <c r="N30" s="32">
        <v>4810</v>
      </c>
      <c r="O30" s="217"/>
    </row>
    <row r="31" spans="1:15" ht="15.75" thickBot="1" x14ac:dyDescent="0.3">
      <c r="A31" s="23"/>
      <c r="B31" s="248">
        <v>43984</v>
      </c>
      <c r="C31" s="262">
        <v>1475.5</v>
      </c>
      <c r="D31" s="261" t="s">
        <v>154</v>
      </c>
      <c r="E31" s="27">
        <v>43984</v>
      </c>
      <c r="F31" s="28">
        <v>96728</v>
      </c>
      <c r="H31" s="29">
        <v>43984</v>
      </c>
      <c r="I31" s="199">
        <v>38</v>
      </c>
      <c r="J31" s="176" t="s">
        <v>233</v>
      </c>
      <c r="K31" s="86" t="s">
        <v>239</v>
      </c>
      <c r="L31" s="178">
        <v>21723.21</v>
      </c>
      <c r="M31" s="31">
        <f>66872+25735.5</f>
        <v>92607.5</v>
      </c>
      <c r="N31" s="32">
        <v>2608</v>
      </c>
      <c r="O31" s="217" t="s">
        <v>166</v>
      </c>
    </row>
    <row r="32" spans="1:15" ht="15.75" thickBot="1" x14ac:dyDescent="0.3">
      <c r="A32" s="23"/>
      <c r="B32" s="248">
        <v>43985</v>
      </c>
      <c r="C32" s="262">
        <v>4914</v>
      </c>
      <c r="D32" s="261" t="s">
        <v>240</v>
      </c>
      <c r="E32" s="27">
        <v>43985</v>
      </c>
      <c r="F32" s="202">
        <v>62983</v>
      </c>
      <c r="H32" s="29">
        <v>43985</v>
      </c>
      <c r="I32" s="199">
        <v>2140</v>
      </c>
      <c r="J32" s="176" t="s">
        <v>233</v>
      </c>
      <c r="K32" s="96" t="s">
        <v>241</v>
      </c>
      <c r="L32" s="178">
        <v>1276</v>
      </c>
      <c r="M32" s="31">
        <v>53120</v>
      </c>
      <c r="N32" s="32">
        <v>2809</v>
      </c>
      <c r="O32" s="217"/>
    </row>
    <row r="33" spans="1:15" ht="15.75" thickBot="1" x14ac:dyDescent="0.3">
      <c r="A33" s="23"/>
      <c r="B33" s="248"/>
      <c r="C33" s="262"/>
      <c r="D33" s="263"/>
      <c r="E33" s="27"/>
      <c r="F33" s="97"/>
      <c r="H33" s="29"/>
      <c r="I33" s="199"/>
      <c r="J33" s="176" t="s">
        <v>233</v>
      </c>
      <c r="K33" s="96" t="s">
        <v>242</v>
      </c>
      <c r="L33" s="178">
        <v>49250</v>
      </c>
      <c r="M33" s="31">
        <v>0</v>
      </c>
      <c r="N33" s="32">
        <v>0</v>
      </c>
      <c r="O33" s="217"/>
    </row>
    <row r="34" spans="1:15" ht="15.75" thickBot="1" x14ac:dyDescent="0.3">
      <c r="A34" s="23"/>
      <c r="B34" s="280">
        <v>43962</v>
      </c>
      <c r="C34" s="281">
        <v>4427.3599999999997</v>
      </c>
      <c r="D34" s="278" t="s">
        <v>247</v>
      </c>
      <c r="E34" s="27"/>
      <c r="F34" s="97"/>
      <c r="H34" s="29"/>
      <c r="I34" s="199"/>
      <c r="J34" s="176" t="s">
        <v>233</v>
      </c>
      <c r="K34" s="86" t="s">
        <v>46</v>
      </c>
      <c r="L34" s="178">
        <v>1315.86</v>
      </c>
      <c r="M34" s="31">
        <v>0</v>
      </c>
      <c r="N34" s="32">
        <v>0</v>
      </c>
      <c r="O34" s="217"/>
    </row>
    <row r="35" spans="1:15" ht="15.75" thickBot="1" x14ac:dyDescent="0.3">
      <c r="A35" s="23"/>
      <c r="B35" s="280">
        <v>43964</v>
      </c>
      <c r="C35" s="281">
        <v>14185.64</v>
      </c>
      <c r="D35" s="279" t="s">
        <v>247</v>
      </c>
      <c r="E35" s="27"/>
      <c r="F35" s="97"/>
      <c r="H35" s="29"/>
      <c r="I35" s="199"/>
      <c r="J35" s="176" t="s">
        <v>233</v>
      </c>
      <c r="K35" s="96" t="s">
        <v>243</v>
      </c>
      <c r="L35" s="233">
        <v>1700.75</v>
      </c>
      <c r="M35" s="31">
        <v>0</v>
      </c>
      <c r="N35" s="32">
        <v>0</v>
      </c>
      <c r="O35" s="217"/>
    </row>
    <row r="36" spans="1:15" ht="15.75" thickBot="1" x14ac:dyDescent="0.3">
      <c r="A36" s="23"/>
      <c r="B36" s="280">
        <v>43967</v>
      </c>
      <c r="C36" s="281">
        <v>19476.66</v>
      </c>
      <c r="D36" s="279" t="s">
        <v>247</v>
      </c>
      <c r="E36" s="27"/>
      <c r="F36" s="97"/>
      <c r="H36" s="29"/>
      <c r="I36" s="199"/>
      <c r="J36" s="176" t="s">
        <v>233</v>
      </c>
      <c r="K36" s="86" t="s">
        <v>244</v>
      </c>
      <c r="L36" s="178">
        <v>3432.6</v>
      </c>
      <c r="M36" s="31">
        <v>0</v>
      </c>
      <c r="N36" s="32">
        <v>0</v>
      </c>
      <c r="O36" s="217"/>
    </row>
    <row r="37" spans="1:15" ht="15.75" thickBot="1" x14ac:dyDescent="0.3">
      <c r="A37" s="23"/>
      <c r="B37" s="280">
        <v>43973</v>
      </c>
      <c r="C37" s="281">
        <v>12944.75</v>
      </c>
      <c r="D37" s="279" t="s">
        <v>247</v>
      </c>
      <c r="E37" s="27"/>
      <c r="F37" s="97"/>
      <c r="H37" s="29"/>
      <c r="I37" s="199"/>
      <c r="J37" s="176"/>
      <c r="K37" s="86"/>
      <c r="L37" s="178"/>
      <c r="M37" s="31">
        <v>0</v>
      </c>
      <c r="N37" s="32">
        <v>0</v>
      </c>
      <c r="O37" s="217"/>
    </row>
    <row r="38" spans="1:15" ht="15.75" thickBot="1" x14ac:dyDescent="0.3">
      <c r="A38" s="23"/>
      <c r="B38" s="280">
        <v>43974</v>
      </c>
      <c r="C38" s="282">
        <v>10687.84</v>
      </c>
      <c r="D38" s="279" t="s">
        <v>247</v>
      </c>
      <c r="E38" s="27"/>
      <c r="F38" s="97"/>
      <c r="H38" s="29"/>
      <c r="I38" s="199"/>
      <c r="J38" s="176"/>
      <c r="K38" s="86"/>
      <c r="L38" s="178"/>
      <c r="M38" s="277">
        <v>0</v>
      </c>
      <c r="N38" s="32">
        <v>0</v>
      </c>
      <c r="O38" s="217"/>
    </row>
    <row r="39" spans="1:15" ht="15.75" thickBot="1" x14ac:dyDescent="0.3">
      <c r="A39" s="23"/>
      <c r="B39" s="280">
        <v>43977</v>
      </c>
      <c r="C39" s="283">
        <v>14173.83</v>
      </c>
      <c r="D39" s="279" t="s">
        <v>247</v>
      </c>
      <c r="E39" s="27"/>
      <c r="F39" s="97"/>
      <c r="H39" s="29"/>
      <c r="I39" s="199"/>
      <c r="J39" s="176"/>
      <c r="K39" s="86"/>
      <c r="L39" s="178"/>
      <c r="M39" s="277">
        <v>0</v>
      </c>
      <c r="N39" s="32">
        <v>0</v>
      </c>
      <c r="O39" s="217"/>
    </row>
    <row r="40" spans="1:15" ht="15.75" thickBot="1" x14ac:dyDescent="0.3">
      <c r="A40" s="23"/>
      <c r="B40" s="280">
        <v>43979</v>
      </c>
      <c r="C40" s="283">
        <v>18454.64</v>
      </c>
      <c r="D40" s="279" t="s">
        <v>247</v>
      </c>
      <c r="E40" s="27"/>
      <c r="F40" s="97"/>
      <c r="H40" s="29"/>
      <c r="I40" s="199"/>
      <c r="J40" s="176"/>
      <c r="K40" s="86"/>
      <c r="L40" s="178"/>
      <c r="M40" s="277">
        <v>0</v>
      </c>
      <c r="N40" s="32"/>
      <c r="O40" s="217"/>
    </row>
    <row r="41" spans="1:15" ht="15.75" thickBot="1" x14ac:dyDescent="0.3">
      <c r="A41" s="23"/>
      <c r="B41" s="280">
        <v>43981</v>
      </c>
      <c r="C41" s="283">
        <v>11653.98</v>
      </c>
      <c r="D41" s="279" t="s">
        <v>247</v>
      </c>
      <c r="E41" s="27"/>
      <c r="F41" s="97"/>
      <c r="H41" s="29"/>
      <c r="I41" s="199"/>
      <c r="J41" s="176"/>
      <c r="K41" s="86"/>
      <c r="L41" s="178"/>
      <c r="M41" s="277">
        <v>0</v>
      </c>
      <c r="N41" s="32">
        <v>0</v>
      </c>
      <c r="O41" s="217"/>
    </row>
    <row r="42" spans="1:15" ht="16.5" thickBot="1" x14ac:dyDescent="0.3">
      <c r="A42" s="102"/>
      <c r="B42" s="248"/>
      <c r="C42" s="264"/>
      <c r="D42" s="105"/>
      <c r="E42" s="27"/>
      <c r="F42" s="107"/>
      <c r="G42" s="108"/>
      <c r="H42" s="29"/>
      <c r="I42" s="107"/>
      <c r="J42" s="85"/>
      <c r="K42" s="213"/>
      <c r="L42" s="66"/>
      <c r="M42" s="31">
        <f>SUM(M5:M41)</f>
        <v>1878273</v>
      </c>
      <c r="N42" s="32">
        <f>SUM(N5:N41)</f>
        <v>101830</v>
      </c>
      <c r="O42" s="236"/>
    </row>
    <row r="43" spans="1:15" ht="16.5" thickBot="1" x14ac:dyDescent="0.3">
      <c r="B43" s="112" t="s">
        <v>51</v>
      </c>
      <c r="C43" s="113">
        <f>SUM(C5:C42)</f>
        <v>219911.65</v>
      </c>
      <c r="D43" s="114"/>
      <c r="E43" s="237" t="s">
        <v>51</v>
      </c>
      <c r="F43" s="238">
        <f>SUM(F5:F42)</f>
        <v>2210568</v>
      </c>
      <c r="G43" s="114"/>
      <c r="H43" s="117" t="s">
        <v>245</v>
      </c>
      <c r="I43" s="118">
        <f>SUM(I5:I42)</f>
        <v>51366.5</v>
      </c>
      <c r="J43" s="265"/>
      <c r="K43" s="120" t="s">
        <v>246</v>
      </c>
      <c r="L43" s="121">
        <f>SUM(L6:L42)</f>
        <v>254948.18999999997</v>
      </c>
      <c r="O43" s="239"/>
    </row>
    <row r="44" spans="1:15" ht="20.25" thickTop="1" thickBot="1" x14ac:dyDescent="0.3">
      <c r="C44" s="5" t="s">
        <v>10</v>
      </c>
      <c r="M44" s="360">
        <f>N42+M42</f>
        <v>1980103</v>
      </c>
      <c r="N44" s="361"/>
      <c r="O44" s="240"/>
    </row>
    <row r="45" spans="1:15" ht="15.75" x14ac:dyDescent="0.25">
      <c r="A45" s="65"/>
      <c r="B45" s="122"/>
      <c r="C45" s="4"/>
      <c r="H45" s="362" t="s">
        <v>52</v>
      </c>
      <c r="I45" s="363"/>
      <c r="J45" s="266"/>
      <c r="K45" s="364">
        <f>I43+L43</f>
        <v>306314.68999999994</v>
      </c>
      <c r="L45" s="365"/>
    </row>
    <row r="46" spans="1:15" ht="15.75" x14ac:dyDescent="0.25">
      <c r="D46" s="367" t="s">
        <v>53</v>
      </c>
      <c r="E46" s="367"/>
      <c r="F46" s="124">
        <f>F43-K45-C43</f>
        <v>1684341.6600000001</v>
      </c>
      <c r="I46" s="125"/>
      <c r="J46" s="267"/>
    </row>
    <row r="47" spans="1:15" ht="18.75" x14ac:dyDescent="0.3">
      <c r="D47" s="368" t="s">
        <v>54</v>
      </c>
      <c r="E47" s="368"/>
      <c r="F47" s="126">
        <v>-1590870.08</v>
      </c>
      <c r="I47" s="369" t="s">
        <v>55</v>
      </c>
      <c r="J47" s="370"/>
      <c r="K47" s="371">
        <f>F52</f>
        <v>357966.56000000006</v>
      </c>
      <c r="L47" s="372"/>
    </row>
    <row r="48" spans="1:15" ht="19.5" thickBot="1" x14ac:dyDescent="0.35">
      <c r="D48" s="127"/>
      <c r="E48" s="128"/>
      <c r="F48" s="129">
        <v>0</v>
      </c>
      <c r="I48" s="130"/>
      <c r="J48" s="268"/>
      <c r="K48" s="131"/>
      <c r="L48" s="131"/>
    </row>
    <row r="49" spans="2:15" ht="19.5" thickTop="1" x14ac:dyDescent="0.3">
      <c r="C49" s="13" t="s">
        <v>10</v>
      </c>
      <c r="E49" s="65" t="s">
        <v>56</v>
      </c>
      <c r="F49" s="126">
        <f>SUM(F46:F48)</f>
        <v>93471.580000000075</v>
      </c>
      <c r="H49" s="23"/>
      <c r="I49" s="132" t="s">
        <v>57</v>
      </c>
      <c r="J49" s="269"/>
      <c r="K49" s="373">
        <f>-C4</f>
        <v>-239420.42</v>
      </c>
      <c r="L49" s="374"/>
      <c r="M49" s="134"/>
    </row>
    <row r="50" spans="2:15" ht="16.5" thickBot="1" x14ac:dyDescent="0.3">
      <c r="D50" s="135" t="s">
        <v>58</v>
      </c>
      <c r="E50" s="65" t="s">
        <v>59</v>
      </c>
      <c r="F50" s="136">
        <v>5592</v>
      </c>
    </row>
    <row r="51" spans="2:15" ht="20.25" thickTop="1" thickBot="1" x14ac:dyDescent="0.35">
      <c r="C51" s="137">
        <v>43985</v>
      </c>
      <c r="D51" s="375" t="s">
        <v>60</v>
      </c>
      <c r="E51" s="376"/>
      <c r="F51" s="138">
        <v>258902.98</v>
      </c>
      <c r="I51" s="377" t="s">
        <v>61</v>
      </c>
      <c r="J51" s="378"/>
      <c r="K51" s="379">
        <f>K47+K49</f>
        <v>118546.14000000004</v>
      </c>
      <c r="L51" s="380"/>
    </row>
    <row r="52" spans="2:15" ht="18.75" x14ac:dyDescent="0.3">
      <c r="C52" s="139"/>
      <c r="D52" s="140"/>
      <c r="E52" s="141" t="s">
        <v>62</v>
      </c>
      <c r="F52" s="142">
        <f>F49+F50+F51</f>
        <v>357966.56000000006</v>
      </c>
      <c r="J52" s="270"/>
      <c r="M52" s="143"/>
    </row>
    <row r="54" spans="2:15" x14ac:dyDescent="0.25">
      <c r="B54"/>
      <c r="C54"/>
      <c r="D54" s="366"/>
      <c r="E54" s="366"/>
      <c r="M54" s="144"/>
      <c r="N54" s="65"/>
      <c r="O54" s="65"/>
    </row>
    <row r="55" spans="2:15" x14ac:dyDescent="0.25">
      <c r="B55"/>
      <c r="C55"/>
      <c r="M55" s="144"/>
      <c r="N55" s="65"/>
      <c r="O55" s="65"/>
    </row>
    <row r="56" spans="2:15" x14ac:dyDescent="0.25">
      <c r="B56"/>
      <c r="C56"/>
      <c r="K56" s="272"/>
      <c r="L56" s="272"/>
      <c r="M56" s="145"/>
      <c r="N56" s="65"/>
      <c r="O56" s="65"/>
    </row>
    <row r="57" spans="2:15" x14ac:dyDescent="0.25">
      <c r="B57"/>
      <c r="C57"/>
      <c r="F57"/>
      <c r="I57"/>
      <c r="J57" s="271"/>
      <c r="K57" s="272"/>
      <c r="L57" s="273"/>
      <c r="M57" s="272"/>
      <c r="N57" s="65"/>
      <c r="O57" s="65"/>
    </row>
    <row r="58" spans="2:15" x14ac:dyDescent="0.25">
      <c r="B58"/>
      <c r="C58"/>
      <c r="F58" s="145"/>
      <c r="K58" s="272"/>
      <c r="L58" s="273"/>
      <c r="M58" s="145"/>
      <c r="N58" s="65"/>
      <c r="O58" s="65"/>
    </row>
    <row r="59" spans="2:15" x14ac:dyDescent="0.25">
      <c r="F59" s="91"/>
      <c r="K59" s="272"/>
      <c r="L59" s="273"/>
      <c r="M59" s="119"/>
      <c r="N59" s="65"/>
      <c r="O59" s="65"/>
    </row>
    <row r="60" spans="2:15" x14ac:dyDescent="0.25">
      <c r="F60" s="91"/>
      <c r="K60" s="272"/>
      <c r="L60" s="232"/>
      <c r="M60" s="119"/>
      <c r="N60" s="65"/>
      <c r="O60" s="65"/>
    </row>
    <row r="61" spans="2:15" x14ac:dyDescent="0.25">
      <c r="F61" s="91"/>
      <c r="K61" s="272"/>
      <c r="L61" s="273"/>
      <c r="M61" s="119"/>
      <c r="N61" s="65"/>
      <c r="O61" s="65"/>
    </row>
    <row r="62" spans="2:15" x14ac:dyDescent="0.25">
      <c r="F62" s="91"/>
      <c r="K62" s="272"/>
      <c r="L62" s="273"/>
      <c r="M62" s="119"/>
      <c r="N62" s="65"/>
      <c r="O62" s="65"/>
    </row>
    <row r="63" spans="2:15" x14ac:dyDescent="0.25">
      <c r="F63" s="91"/>
      <c r="K63" s="272"/>
      <c r="L63" s="273"/>
      <c r="M63" s="119"/>
    </row>
    <row r="64" spans="2:15" x14ac:dyDescent="0.25">
      <c r="F64" s="91"/>
      <c r="K64" s="272"/>
      <c r="L64" s="273"/>
      <c r="M64" s="119"/>
    </row>
    <row r="65" spans="6:13" x14ac:dyDescent="0.25">
      <c r="F65" s="91"/>
      <c r="K65" s="272"/>
      <c r="L65" s="274"/>
      <c r="M65" s="119"/>
    </row>
    <row r="66" spans="6:13" x14ac:dyDescent="0.25">
      <c r="F66" s="91"/>
      <c r="K66" s="272"/>
      <c r="L66" s="273"/>
      <c r="M66" s="119"/>
    </row>
    <row r="67" spans="6:13" x14ac:dyDescent="0.25">
      <c r="F67" s="91"/>
      <c r="K67" s="272"/>
      <c r="L67" s="275"/>
      <c r="M67" s="119"/>
    </row>
    <row r="68" spans="6:13" x14ac:dyDescent="0.25">
      <c r="F68" s="145"/>
      <c r="K68" s="272"/>
      <c r="L68" s="272"/>
      <c r="M68" s="119"/>
    </row>
    <row r="69" spans="6:13" x14ac:dyDescent="0.25">
      <c r="K69" s="272"/>
      <c r="L69" s="272"/>
      <c r="M69" s="119"/>
    </row>
    <row r="70" spans="6:13" x14ac:dyDescent="0.25">
      <c r="M70" s="4"/>
    </row>
    <row r="71" spans="6:13" x14ac:dyDescent="0.25">
      <c r="M71" s="4"/>
    </row>
    <row r="72" spans="6:13" x14ac:dyDescent="0.25">
      <c r="M72" s="4"/>
    </row>
    <row r="73" spans="6:13" x14ac:dyDescent="0.25">
      <c r="M73" s="4"/>
    </row>
    <row r="74" spans="6:13" x14ac:dyDescent="0.25">
      <c r="M74" s="4"/>
    </row>
    <row r="75" spans="6:13" x14ac:dyDescent="0.25">
      <c r="M75" s="4"/>
    </row>
    <row r="76" spans="6:13" x14ac:dyDescent="0.25">
      <c r="M76" s="4"/>
    </row>
    <row r="77" spans="6:13" x14ac:dyDescent="0.25">
      <c r="M77" s="4"/>
    </row>
    <row r="78" spans="6:13" x14ac:dyDescent="0.25">
      <c r="M78" s="4"/>
    </row>
    <row r="79" spans="6:13" x14ac:dyDescent="0.25">
      <c r="M79" s="4"/>
    </row>
    <row r="80" spans="6:13" x14ac:dyDescent="0.25">
      <c r="M80" s="4"/>
    </row>
    <row r="81" spans="13:13" x14ac:dyDescent="0.25">
      <c r="M81" s="4"/>
    </row>
  </sheetData>
  <mergeCells count="17">
    <mergeCell ref="M44:N44"/>
    <mergeCell ref="C1:K1"/>
    <mergeCell ref="E2:F3"/>
    <mergeCell ref="B3:C3"/>
    <mergeCell ref="E4:F4"/>
    <mergeCell ref="H4:I4"/>
    <mergeCell ref="H45:I45"/>
    <mergeCell ref="K45:L45"/>
    <mergeCell ref="D46:E46"/>
    <mergeCell ref="D47:E47"/>
    <mergeCell ref="I47:J47"/>
    <mergeCell ref="K47:L47"/>
    <mergeCell ref="K49:L49"/>
    <mergeCell ref="D51:E51"/>
    <mergeCell ref="I51:J51"/>
    <mergeCell ref="K51:L51"/>
    <mergeCell ref="D54:E54"/>
  </mergeCells>
  <pageMargins left="0.15748031496062992" right="0.15748031496062992" top="0.22" bottom="0.27559055118110237" header="0.31496062992125984" footer="0.23"/>
  <pageSetup scale="70" orientation="landscape" horizontalDpi="0" verticalDpi="0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D2969-2D0F-43C0-962E-E73CE3E76166}">
  <sheetPr>
    <tabColor theme="9" tint="-0.249977111117893"/>
  </sheetPr>
  <dimension ref="A1:F87"/>
  <sheetViews>
    <sheetView topLeftCell="A7" workbookViewId="0">
      <selection activeCell="H23" sqref="H23"/>
    </sheetView>
  </sheetViews>
  <sheetFormatPr baseColWidth="10" defaultRowHeight="15" x14ac:dyDescent="0.25"/>
  <cols>
    <col min="1" max="1" width="13.42578125" style="65" bestFit="1" customWidth="1"/>
    <col min="2" max="2" width="12.85546875" bestFit="1" customWidth="1"/>
    <col min="3" max="3" width="15.85546875" style="13" bestFit="1" customWidth="1"/>
    <col min="4" max="4" width="12.42578125" bestFit="1" customWidth="1"/>
    <col min="5" max="5" width="15.140625" style="13" bestFit="1" customWidth="1"/>
    <col min="6" max="6" width="19.5703125" style="13" bestFit="1" customWidth="1"/>
  </cols>
  <sheetData>
    <row r="1" spans="1:6" ht="36.75" customHeight="1" x14ac:dyDescent="0.35">
      <c r="B1" s="146" t="s">
        <v>177</v>
      </c>
      <c r="C1" s="147"/>
      <c r="D1" s="148"/>
      <c r="E1" s="147"/>
      <c r="F1" s="149"/>
    </row>
    <row r="2" spans="1:6" ht="16.5" thickBot="1" x14ac:dyDescent="0.3">
      <c r="A2" s="150" t="s">
        <v>64</v>
      </c>
      <c r="B2" s="150" t="s">
        <v>65</v>
      </c>
      <c r="C2" s="151" t="s">
        <v>66</v>
      </c>
      <c r="D2" s="150" t="s">
        <v>67</v>
      </c>
      <c r="E2" s="151" t="s">
        <v>68</v>
      </c>
      <c r="F2" s="151" t="s">
        <v>66</v>
      </c>
    </row>
    <row r="3" spans="1:6" x14ac:dyDescent="0.25">
      <c r="A3" s="156">
        <v>43958</v>
      </c>
      <c r="B3" s="157">
        <v>14095</v>
      </c>
      <c r="C3" s="97">
        <v>79581.399999999994</v>
      </c>
      <c r="D3" s="154"/>
      <c r="E3" s="56"/>
      <c r="F3" s="155">
        <f>C3-E3</f>
        <v>79581.399999999994</v>
      </c>
    </row>
    <row r="4" spans="1:6" x14ac:dyDescent="0.25">
      <c r="A4" s="156">
        <v>43959</v>
      </c>
      <c r="B4" s="157">
        <v>14233</v>
      </c>
      <c r="C4" s="97">
        <v>3666</v>
      </c>
      <c r="D4" s="158">
        <v>43959</v>
      </c>
      <c r="E4" s="97">
        <v>83247.399999999994</v>
      </c>
      <c r="F4" s="155">
        <f>F3+C4-E4</f>
        <v>0</v>
      </c>
    </row>
    <row r="5" spans="1:6" x14ac:dyDescent="0.25">
      <c r="A5" s="158">
        <v>43960</v>
      </c>
      <c r="B5" s="157">
        <v>14387</v>
      </c>
      <c r="C5" s="97">
        <v>133106</v>
      </c>
      <c r="D5" s="158"/>
      <c r="E5" s="97"/>
      <c r="F5" s="155">
        <f t="shared" ref="F5:F50" si="0">F4+C5-E5</f>
        <v>133106</v>
      </c>
    </row>
    <row r="6" spans="1:6" x14ac:dyDescent="0.25">
      <c r="A6" s="158">
        <v>43960</v>
      </c>
      <c r="B6" s="157">
        <v>14388</v>
      </c>
      <c r="C6" s="97">
        <v>79782.67</v>
      </c>
      <c r="D6" s="158"/>
      <c r="E6" s="97"/>
      <c r="F6" s="155">
        <f t="shared" si="0"/>
        <v>212888.66999999998</v>
      </c>
    </row>
    <row r="7" spans="1:6" x14ac:dyDescent="0.25">
      <c r="A7" s="158">
        <v>43960</v>
      </c>
      <c r="B7" s="157">
        <v>14390</v>
      </c>
      <c r="C7" s="97">
        <v>28090.400000000001</v>
      </c>
      <c r="D7" s="158"/>
      <c r="E7" s="97"/>
      <c r="F7" s="155">
        <f t="shared" si="0"/>
        <v>240979.06999999998</v>
      </c>
    </row>
    <row r="8" spans="1:6" x14ac:dyDescent="0.25">
      <c r="A8" s="158">
        <v>43961</v>
      </c>
      <c r="B8" s="157">
        <v>14487</v>
      </c>
      <c r="C8" s="97">
        <v>25851.5</v>
      </c>
      <c r="D8" s="158"/>
      <c r="E8" s="97"/>
      <c r="F8" s="155">
        <f t="shared" si="0"/>
        <v>266830.56999999995</v>
      </c>
    </row>
    <row r="9" spans="1:6" x14ac:dyDescent="0.25">
      <c r="A9" s="158">
        <v>43962</v>
      </c>
      <c r="B9" s="157">
        <v>14648</v>
      </c>
      <c r="C9" s="97">
        <v>84770.49</v>
      </c>
      <c r="D9" s="158"/>
      <c r="E9" s="97"/>
      <c r="F9" s="155">
        <f t="shared" si="0"/>
        <v>351601.05999999994</v>
      </c>
    </row>
    <row r="10" spans="1:6" x14ac:dyDescent="0.25">
      <c r="A10" s="158">
        <v>43963</v>
      </c>
      <c r="B10" s="157">
        <v>14766</v>
      </c>
      <c r="C10" s="97">
        <v>3075.79</v>
      </c>
      <c r="D10" s="158"/>
      <c r="E10" s="97"/>
      <c r="F10" s="155">
        <f t="shared" si="0"/>
        <v>354676.84999999992</v>
      </c>
    </row>
    <row r="11" spans="1:6" x14ac:dyDescent="0.25">
      <c r="A11" s="156">
        <v>43964</v>
      </c>
      <c r="B11" s="157">
        <v>14779</v>
      </c>
      <c r="C11" s="97">
        <v>103355</v>
      </c>
      <c r="D11" s="158"/>
      <c r="E11" s="97"/>
      <c r="F11" s="155">
        <f t="shared" si="0"/>
        <v>458031.84999999992</v>
      </c>
    </row>
    <row r="12" spans="1:6" x14ac:dyDescent="0.25">
      <c r="A12" s="158">
        <v>43964</v>
      </c>
      <c r="B12" s="157">
        <v>14872</v>
      </c>
      <c r="C12" s="97">
        <v>77501.89</v>
      </c>
      <c r="D12" s="158"/>
      <c r="E12" s="97"/>
      <c r="F12" s="155">
        <f t="shared" si="0"/>
        <v>535533.73999999987</v>
      </c>
    </row>
    <row r="13" spans="1:6" x14ac:dyDescent="0.25">
      <c r="A13" s="158">
        <v>43965</v>
      </c>
      <c r="B13" s="157">
        <v>14894</v>
      </c>
      <c r="C13" s="97">
        <v>1261.5</v>
      </c>
      <c r="D13" s="158">
        <v>43966</v>
      </c>
      <c r="E13" s="97">
        <v>536795.24</v>
      </c>
      <c r="F13" s="155">
        <f t="shared" si="0"/>
        <v>0</v>
      </c>
    </row>
    <row r="14" spans="1:6" x14ac:dyDescent="0.25">
      <c r="A14" s="158">
        <v>43967</v>
      </c>
      <c r="B14" s="157">
        <v>15178</v>
      </c>
      <c r="C14" s="97">
        <v>12104</v>
      </c>
      <c r="D14" s="158"/>
      <c r="E14" s="97"/>
      <c r="F14" s="155">
        <f t="shared" si="0"/>
        <v>12104</v>
      </c>
    </row>
    <row r="15" spans="1:6" x14ac:dyDescent="0.25">
      <c r="A15" s="158">
        <v>43967</v>
      </c>
      <c r="B15" s="157">
        <v>15258</v>
      </c>
      <c r="C15" s="97">
        <v>37598.54</v>
      </c>
      <c r="D15" s="158"/>
      <c r="E15" s="97"/>
      <c r="F15" s="155">
        <f t="shared" si="0"/>
        <v>49702.54</v>
      </c>
    </row>
    <row r="16" spans="1:6" x14ac:dyDescent="0.25">
      <c r="A16" s="158">
        <v>43968</v>
      </c>
      <c r="B16" s="157">
        <v>15278</v>
      </c>
      <c r="C16" s="97">
        <v>1428</v>
      </c>
      <c r="D16" s="158"/>
      <c r="E16" s="97"/>
      <c r="F16" s="155">
        <f t="shared" si="0"/>
        <v>51130.54</v>
      </c>
    </row>
    <row r="17" spans="1:6" x14ac:dyDescent="0.25">
      <c r="A17" s="158">
        <v>43969</v>
      </c>
      <c r="B17" s="157">
        <v>15364</v>
      </c>
      <c r="C17" s="97">
        <v>34928.9</v>
      </c>
      <c r="D17" s="158"/>
      <c r="E17" s="97"/>
      <c r="F17" s="155">
        <f t="shared" si="0"/>
        <v>86059.44</v>
      </c>
    </row>
    <row r="18" spans="1:6" x14ac:dyDescent="0.25">
      <c r="A18" s="158">
        <v>43970</v>
      </c>
      <c r="B18" s="157">
        <v>15498</v>
      </c>
      <c r="C18" s="97">
        <v>12930.6</v>
      </c>
      <c r="D18" s="158"/>
      <c r="E18" s="97"/>
      <c r="F18" s="155">
        <f t="shared" si="0"/>
        <v>98990.040000000008</v>
      </c>
    </row>
    <row r="19" spans="1:6" x14ac:dyDescent="0.25">
      <c r="A19" s="158">
        <v>43971</v>
      </c>
      <c r="B19" s="157">
        <v>15635</v>
      </c>
      <c r="C19" s="97">
        <v>36627.279999999999</v>
      </c>
      <c r="D19" s="158"/>
      <c r="E19" s="97"/>
      <c r="F19" s="155">
        <f t="shared" si="0"/>
        <v>135617.32</v>
      </c>
    </row>
    <row r="20" spans="1:6" x14ac:dyDescent="0.25">
      <c r="A20" s="158">
        <v>43971</v>
      </c>
      <c r="B20" s="157">
        <v>15638</v>
      </c>
      <c r="C20" s="97">
        <v>14591.08</v>
      </c>
      <c r="D20" s="158"/>
      <c r="E20" s="97"/>
      <c r="F20" s="155">
        <f t="shared" si="0"/>
        <v>150208.4</v>
      </c>
    </row>
    <row r="21" spans="1:6" x14ac:dyDescent="0.25">
      <c r="A21" s="158">
        <v>43971</v>
      </c>
      <c r="B21" s="157">
        <v>15708</v>
      </c>
      <c r="C21" s="97">
        <v>4401.3999999999996</v>
      </c>
      <c r="D21" s="158"/>
      <c r="E21" s="97"/>
      <c r="F21" s="155">
        <f t="shared" si="0"/>
        <v>154609.79999999999</v>
      </c>
    </row>
    <row r="22" spans="1:6" x14ac:dyDescent="0.25">
      <c r="A22" s="158">
        <v>43971</v>
      </c>
      <c r="B22" s="157">
        <v>15711</v>
      </c>
      <c r="C22" s="97">
        <v>4428</v>
      </c>
      <c r="D22" s="158"/>
      <c r="E22" s="97"/>
      <c r="F22" s="155">
        <f t="shared" si="0"/>
        <v>159037.79999999999</v>
      </c>
    </row>
    <row r="23" spans="1:6" x14ac:dyDescent="0.25">
      <c r="A23" s="158">
        <v>43972</v>
      </c>
      <c r="B23" s="157">
        <v>15845</v>
      </c>
      <c r="C23" s="97">
        <v>75141.94</v>
      </c>
      <c r="D23" s="158"/>
      <c r="E23" s="97"/>
      <c r="F23" s="155">
        <f t="shared" si="0"/>
        <v>234179.74</v>
      </c>
    </row>
    <row r="24" spans="1:6" x14ac:dyDescent="0.25">
      <c r="A24" s="158">
        <v>43973</v>
      </c>
      <c r="B24" s="157">
        <v>15893</v>
      </c>
      <c r="C24" s="97">
        <v>19906</v>
      </c>
      <c r="D24" s="158">
        <v>43974</v>
      </c>
      <c r="E24" s="97">
        <v>254085.74</v>
      </c>
      <c r="F24" s="155">
        <f t="shared" si="0"/>
        <v>0</v>
      </c>
    </row>
    <row r="25" spans="1:6" x14ac:dyDescent="0.25">
      <c r="A25" s="158">
        <v>43974</v>
      </c>
      <c r="B25" s="157">
        <v>16046</v>
      </c>
      <c r="C25" s="97">
        <v>66341.899999999994</v>
      </c>
      <c r="D25" s="158"/>
      <c r="E25" s="97"/>
      <c r="F25" s="155">
        <f t="shared" si="0"/>
        <v>66341.899999999994</v>
      </c>
    </row>
    <row r="26" spans="1:6" x14ac:dyDescent="0.25">
      <c r="A26" s="158">
        <v>43974</v>
      </c>
      <c r="B26" s="157">
        <v>16109</v>
      </c>
      <c r="C26" s="97">
        <v>42381.72</v>
      </c>
      <c r="D26" s="158"/>
      <c r="E26" s="97"/>
      <c r="F26" s="155">
        <f t="shared" si="0"/>
        <v>108723.62</v>
      </c>
    </row>
    <row r="27" spans="1:6" x14ac:dyDescent="0.25">
      <c r="A27" s="158">
        <v>43975</v>
      </c>
      <c r="B27" s="157">
        <v>16148</v>
      </c>
      <c r="C27" s="97">
        <v>23473.9</v>
      </c>
      <c r="D27" s="158"/>
      <c r="E27" s="97"/>
      <c r="F27" s="155">
        <f t="shared" si="0"/>
        <v>132197.51999999999</v>
      </c>
    </row>
    <row r="28" spans="1:6" x14ac:dyDescent="0.25">
      <c r="A28" s="156">
        <v>43975</v>
      </c>
      <c r="B28" s="157">
        <v>16198</v>
      </c>
      <c r="C28" s="97">
        <v>24648</v>
      </c>
      <c r="D28" s="158"/>
      <c r="E28" s="97"/>
      <c r="F28" s="155">
        <f t="shared" si="0"/>
        <v>156845.51999999999</v>
      </c>
    </row>
    <row r="29" spans="1:6" x14ac:dyDescent="0.25">
      <c r="A29" s="156">
        <v>43976</v>
      </c>
      <c r="B29" s="157">
        <v>16268</v>
      </c>
      <c r="C29" s="97">
        <v>35223.24</v>
      </c>
      <c r="D29" s="158"/>
      <c r="E29" s="97"/>
      <c r="F29" s="155">
        <f t="shared" si="0"/>
        <v>192068.75999999998</v>
      </c>
    </row>
    <row r="30" spans="1:6" x14ac:dyDescent="0.25">
      <c r="A30" s="156">
        <v>43977</v>
      </c>
      <c r="B30" s="157">
        <v>16335</v>
      </c>
      <c r="C30" s="97">
        <v>13000.32</v>
      </c>
      <c r="D30" s="158"/>
      <c r="E30" s="97"/>
      <c r="F30" s="155">
        <f t="shared" si="0"/>
        <v>205069.08</v>
      </c>
    </row>
    <row r="31" spans="1:6" x14ac:dyDescent="0.25">
      <c r="A31" s="156">
        <v>43978</v>
      </c>
      <c r="B31" s="157">
        <v>16485</v>
      </c>
      <c r="C31" s="97">
        <v>44075.09</v>
      </c>
      <c r="D31" s="158"/>
      <c r="E31" s="97"/>
      <c r="F31" s="155">
        <f t="shared" si="0"/>
        <v>249144.16999999998</v>
      </c>
    </row>
    <row r="32" spans="1:6" x14ac:dyDescent="0.25">
      <c r="A32" s="156">
        <v>43978</v>
      </c>
      <c r="B32" s="157">
        <v>16499</v>
      </c>
      <c r="C32" s="97">
        <v>2259.6</v>
      </c>
      <c r="D32" s="158"/>
      <c r="E32" s="97"/>
      <c r="F32" s="155">
        <f t="shared" si="0"/>
        <v>251403.77</v>
      </c>
    </row>
    <row r="33" spans="1:6" x14ac:dyDescent="0.25">
      <c r="A33" s="156">
        <v>43978</v>
      </c>
      <c r="B33" s="157">
        <v>16557</v>
      </c>
      <c r="C33" s="97">
        <v>32743.56</v>
      </c>
      <c r="D33" s="158"/>
      <c r="E33" s="97"/>
      <c r="F33" s="155">
        <f t="shared" si="0"/>
        <v>284147.33</v>
      </c>
    </row>
    <row r="34" spans="1:6" x14ac:dyDescent="0.25">
      <c r="A34" s="156">
        <v>43979</v>
      </c>
      <c r="B34" s="157">
        <v>16574</v>
      </c>
      <c r="C34" s="97">
        <v>27533.4</v>
      </c>
      <c r="D34" s="158"/>
      <c r="E34" s="97"/>
      <c r="F34" s="155">
        <f t="shared" si="0"/>
        <v>311680.73000000004</v>
      </c>
    </row>
    <row r="35" spans="1:6" x14ac:dyDescent="0.25">
      <c r="A35" s="156">
        <v>43979</v>
      </c>
      <c r="B35" s="157">
        <v>16648</v>
      </c>
      <c r="C35" s="97">
        <v>137280.17000000001</v>
      </c>
      <c r="D35" s="158"/>
      <c r="E35" s="97"/>
      <c r="F35" s="155">
        <f t="shared" si="0"/>
        <v>448960.9</v>
      </c>
    </row>
    <row r="36" spans="1:6" x14ac:dyDescent="0.25">
      <c r="A36" s="156">
        <v>43979</v>
      </c>
      <c r="B36" s="157">
        <v>16649</v>
      </c>
      <c r="C36" s="97">
        <v>1834.8</v>
      </c>
      <c r="D36" s="158"/>
      <c r="E36" s="97"/>
      <c r="F36" s="155">
        <f t="shared" si="0"/>
        <v>450795.7</v>
      </c>
    </row>
    <row r="37" spans="1:6" x14ac:dyDescent="0.25">
      <c r="A37" s="156">
        <v>43980</v>
      </c>
      <c r="B37" s="157">
        <v>16702</v>
      </c>
      <c r="C37" s="97">
        <v>18531.599999999999</v>
      </c>
      <c r="D37" s="158">
        <v>43980</v>
      </c>
      <c r="E37" s="97">
        <v>469327.3</v>
      </c>
      <c r="F37" s="155">
        <f t="shared" si="0"/>
        <v>0</v>
      </c>
    </row>
    <row r="38" spans="1:6" x14ac:dyDescent="0.25">
      <c r="A38" s="156">
        <v>43981</v>
      </c>
      <c r="B38" s="276">
        <v>16910</v>
      </c>
      <c r="C38" s="97">
        <v>26087.84</v>
      </c>
      <c r="D38" s="158"/>
      <c r="E38" s="97"/>
      <c r="F38" s="155">
        <f t="shared" si="0"/>
        <v>26087.84</v>
      </c>
    </row>
    <row r="39" spans="1:6" x14ac:dyDescent="0.25">
      <c r="A39" s="156">
        <v>43981</v>
      </c>
      <c r="B39" s="276">
        <v>16967</v>
      </c>
      <c r="C39" s="97">
        <v>76968.05</v>
      </c>
      <c r="D39" s="158"/>
      <c r="E39" s="97"/>
      <c r="F39" s="155">
        <f t="shared" si="0"/>
        <v>103055.89</v>
      </c>
    </row>
    <row r="40" spans="1:6" x14ac:dyDescent="0.25">
      <c r="A40" s="156">
        <v>43982</v>
      </c>
      <c r="B40" s="276">
        <v>16973</v>
      </c>
      <c r="C40" s="97">
        <v>1492.4</v>
      </c>
      <c r="D40" s="158"/>
      <c r="E40" s="97"/>
      <c r="F40" s="155">
        <f t="shared" si="0"/>
        <v>104548.29</v>
      </c>
    </row>
    <row r="41" spans="1:6" x14ac:dyDescent="0.25">
      <c r="A41" s="156">
        <v>43982</v>
      </c>
      <c r="B41" s="276">
        <v>16975</v>
      </c>
      <c r="C41" s="97">
        <v>1120</v>
      </c>
      <c r="D41" s="158"/>
      <c r="E41" s="97"/>
      <c r="F41" s="155">
        <f t="shared" si="0"/>
        <v>105668.29</v>
      </c>
    </row>
    <row r="42" spans="1:6" x14ac:dyDescent="0.25">
      <c r="A42" s="156">
        <v>43983</v>
      </c>
      <c r="B42" s="276">
        <v>17106</v>
      </c>
      <c r="C42" s="97">
        <v>75463.360000000001</v>
      </c>
      <c r="D42" s="158"/>
      <c r="E42" s="97"/>
      <c r="F42" s="155">
        <f t="shared" si="0"/>
        <v>181131.65</v>
      </c>
    </row>
    <row r="43" spans="1:6" x14ac:dyDescent="0.25">
      <c r="A43" s="156">
        <v>43984</v>
      </c>
      <c r="B43" s="276">
        <v>17221</v>
      </c>
      <c r="C43" s="97">
        <v>62772.95</v>
      </c>
      <c r="D43" s="158"/>
      <c r="E43" s="97"/>
      <c r="F43" s="155">
        <f t="shared" si="0"/>
        <v>243904.59999999998</v>
      </c>
    </row>
    <row r="44" spans="1:6" x14ac:dyDescent="0.25">
      <c r="A44" s="156">
        <v>43985</v>
      </c>
      <c r="B44" s="276">
        <v>17271</v>
      </c>
      <c r="C44" s="97">
        <v>3032.8</v>
      </c>
      <c r="D44" s="158"/>
      <c r="E44" s="97"/>
      <c r="F44" s="155">
        <f>F43+C44-E44</f>
        <v>246937.39999999997</v>
      </c>
    </row>
    <row r="45" spans="1:6" x14ac:dyDescent="0.25">
      <c r="A45" s="156">
        <v>43985</v>
      </c>
      <c r="B45" s="276">
        <v>17353</v>
      </c>
      <c r="C45" s="97">
        <v>477</v>
      </c>
      <c r="D45" s="158">
        <v>43956</v>
      </c>
      <c r="E45" s="97"/>
      <c r="F45" s="155">
        <f>F44+C45-E45</f>
        <v>247414.39999999997</v>
      </c>
    </row>
    <row r="46" spans="1:6" x14ac:dyDescent="0.25">
      <c r="A46" s="156"/>
      <c r="B46" s="157"/>
      <c r="C46" s="97">
        <v>0</v>
      </c>
      <c r="D46" s="158"/>
      <c r="E46" s="97"/>
      <c r="F46" s="155">
        <f t="shared" si="0"/>
        <v>247414.39999999997</v>
      </c>
    </row>
    <row r="47" spans="1:6" x14ac:dyDescent="0.25">
      <c r="A47" s="156"/>
      <c r="B47" s="157"/>
      <c r="C47" s="97">
        <v>0</v>
      </c>
      <c r="D47" s="158"/>
      <c r="E47" s="97"/>
      <c r="F47" s="155">
        <f t="shared" si="0"/>
        <v>247414.39999999997</v>
      </c>
    </row>
    <row r="48" spans="1:6" x14ac:dyDescent="0.25">
      <c r="A48" s="156"/>
      <c r="B48" s="157"/>
      <c r="C48" s="97">
        <v>0</v>
      </c>
      <c r="D48" s="158"/>
      <c r="E48" s="97"/>
      <c r="F48" s="155">
        <f t="shared" si="0"/>
        <v>247414.39999999997</v>
      </c>
    </row>
    <row r="49" spans="1:6" x14ac:dyDescent="0.25">
      <c r="A49" s="156"/>
      <c r="B49" s="157"/>
      <c r="C49" s="97">
        <v>0</v>
      </c>
      <c r="D49" s="158"/>
      <c r="E49" s="97"/>
      <c r="F49" s="155">
        <f t="shared" si="0"/>
        <v>247414.39999999997</v>
      </c>
    </row>
    <row r="50" spans="1:6" ht="15.75" thickBot="1" x14ac:dyDescent="0.3">
      <c r="A50" s="159"/>
      <c r="B50" s="160"/>
      <c r="C50" s="161">
        <v>0</v>
      </c>
      <c r="D50" s="162"/>
      <c r="E50" s="161"/>
      <c r="F50" s="155">
        <f t="shared" si="0"/>
        <v>247414.39999999997</v>
      </c>
    </row>
    <row r="51" spans="1:6" ht="19.5" thickTop="1" x14ac:dyDescent="0.3">
      <c r="B51" s="65"/>
      <c r="C51" s="4">
        <f>SUM(C3:C50)</f>
        <v>1590870.0800000005</v>
      </c>
      <c r="D51" s="1"/>
      <c r="E51" s="4">
        <f>SUM(E3:E50)</f>
        <v>1343455.68</v>
      </c>
      <c r="F51" s="163">
        <f>F50</f>
        <v>247414.39999999997</v>
      </c>
    </row>
    <row r="52" spans="1:6" x14ac:dyDescent="0.25">
      <c r="B52" s="65"/>
      <c r="C52" s="4"/>
      <c r="D52" s="1"/>
      <c r="E52" s="5"/>
      <c r="F52" s="4"/>
    </row>
    <row r="53" spans="1:6" x14ac:dyDescent="0.25">
      <c r="B53" s="65"/>
      <c r="C53" s="4"/>
      <c r="D53" s="1"/>
      <c r="E53" s="5"/>
      <c r="F53" s="4"/>
    </row>
    <row r="54" spans="1:6" x14ac:dyDescent="0.25">
      <c r="A54"/>
      <c r="B54" s="23"/>
      <c r="D54" s="23"/>
    </row>
    <row r="55" spans="1:6" x14ac:dyDescent="0.25">
      <c r="A55"/>
      <c r="B55" s="23"/>
      <c r="D55" s="23"/>
    </row>
    <row r="56" spans="1:6" x14ac:dyDescent="0.25">
      <c r="A56"/>
      <c r="B56" s="23"/>
      <c r="D56" s="23"/>
    </row>
    <row r="57" spans="1:6" x14ac:dyDescent="0.25">
      <c r="A57"/>
      <c r="B57" s="23"/>
      <c r="D57" s="23"/>
      <c r="F57"/>
    </row>
    <row r="58" spans="1:6" x14ac:dyDescent="0.25">
      <c r="A58"/>
      <c r="B58" s="23"/>
      <c r="D58" s="23"/>
      <c r="F58"/>
    </row>
    <row r="59" spans="1:6" x14ac:dyDescent="0.25">
      <c r="A59"/>
      <c r="B59" s="23"/>
      <c r="D59" s="23"/>
      <c r="F59"/>
    </row>
    <row r="60" spans="1:6" x14ac:dyDescent="0.25">
      <c r="A60"/>
      <c r="B60" s="23"/>
      <c r="D60" s="23"/>
      <c r="F60"/>
    </row>
    <row r="61" spans="1:6" x14ac:dyDescent="0.25">
      <c r="A61"/>
      <c r="B61" s="23"/>
      <c r="D61" s="23"/>
      <c r="F61"/>
    </row>
    <row r="62" spans="1:6" x14ac:dyDescent="0.25">
      <c r="A62"/>
      <c r="B62" s="23"/>
      <c r="D62" s="23"/>
      <c r="F62"/>
    </row>
    <row r="63" spans="1:6" x14ac:dyDescent="0.25">
      <c r="A63"/>
      <c r="B63" s="23"/>
      <c r="D63" s="23"/>
      <c r="F63"/>
    </row>
    <row r="64" spans="1:6" x14ac:dyDescent="0.25">
      <c r="A64"/>
      <c r="B64" s="23"/>
      <c r="D64" s="23"/>
      <c r="F64"/>
    </row>
    <row r="65" spans="1:6" x14ac:dyDescent="0.25">
      <c r="A65"/>
      <c r="B65" s="23"/>
      <c r="D65" s="23"/>
      <c r="F65"/>
    </row>
    <row r="66" spans="1:6" x14ac:dyDescent="0.25">
      <c r="A66"/>
      <c r="B66" s="23"/>
      <c r="D66" s="23"/>
      <c r="E66"/>
      <c r="F66"/>
    </row>
    <row r="67" spans="1:6" x14ac:dyDescent="0.25">
      <c r="A67"/>
      <c r="B67" s="23"/>
      <c r="D67" s="23"/>
      <c r="E67"/>
      <c r="F67"/>
    </row>
    <row r="68" spans="1:6" x14ac:dyDescent="0.25">
      <c r="A68"/>
      <c r="B68" s="23"/>
      <c r="D68" s="23"/>
      <c r="E68"/>
      <c r="F68"/>
    </row>
    <row r="69" spans="1:6" x14ac:dyDescent="0.25">
      <c r="A69"/>
      <c r="B69" s="23"/>
      <c r="D69" s="23"/>
      <c r="E69"/>
      <c r="F69"/>
    </row>
    <row r="70" spans="1:6" x14ac:dyDescent="0.25">
      <c r="A70"/>
      <c r="B70" s="23"/>
      <c r="D70" s="23"/>
      <c r="E70"/>
      <c r="F70"/>
    </row>
    <row r="71" spans="1:6" x14ac:dyDescent="0.25">
      <c r="A71"/>
      <c r="B71" s="23"/>
      <c r="D71" s="23"/>
      <c r="E71"/>
      <c r="F71"/>
    </row>
    <row r="72" spans="1:6" x14ac:dyDescent="0.25">
      <c r="B72" s="23"/>
      <c r="D72" s="23"/>
      <c r="E72"/>
    </row>
    <row r="73" spans="1:6" x14ac:dyDescent="0.25">
      <c r="B73" s="23"/>
      <c r="D73" s="23"/>
      <c r="E73"/>
    </row>
    <row r="74" spans="1:6" x14ac:dyDescent="0.25">
      <c r="B74" s="23"/>
      <c r="D74" s="23"/>
      <c r="E74"/>
    </row>
    <row r="75" spans="1:6" x14ac:dyDescent="0.25">
      <c r="B75" s="23"/>
      <c r="D75" s="23"/>
      <c r="E75"/>
    </row>
    <row r="76" spans="1:6" x14ac:dyDescent="0.25">
      <c r="B76" s="23"/>
      <c r="D76" s="23"/>
      <c r="E76"/>
    </row>
    <row r="77" spans="1:6" x14ac:dyDescent="0.25">
      <c r="B77" s="23"/>
      <c r="D77" s="23"/>
      <c r="E77"/>
    </row>
    <row r="78" spans="1:6" x14ac:dyDescent="0.25">
      <c r="B78" s="23"/>
      <c r="D78" s="23"/>
      <c r="E78"/>
    </row>
    <row r="79" spans="1:6" x14ac:dyDescent="0.25">
      <c r="B79" s="23"/>
      <c r="D79" s="23"/>
      <c r="E79"/>
    </row>
    <row r="80" spans="1:6" x14ac:dyDescent="0.25">
      <c r="B80" s="23"/>
      <c r="D80" s="23"/>
      <c r="E80"/>
    </row>
    <row r="81" spans="2:4" x14ac:dyDescent="0.25">
      <c r="B81" s="23"/>
    </row>
    <row r="82" spans="2:4" x14ac:dyDescent="0.25">
      <c r="B82" s="23"/>
    </row>
    <row r="83" spans="2:4" x14ac:dyDescent="0.25">
      <c r="B83" s="23"/>
      <c r="D83" s="23"/>
    </row>
    <row r="84" spans="2:4" x14ac:dyDescent="0.25">
      <c r="B84" s="23"/>
    </row>
    <row r="85" spans="2:4" x14ac:dyDescent="0.25">
      <c r="B85" s="23"/>
    </row>
    <row r="86" spans="2:4" x14ac:dyDescent="0.25">
      <c r="B86" s="23"/>
    </row>
    <row r="87" spans="2:4" ht="18.75" x14ac:dyDescent="0.3">
      <c r="C87" s="143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EC976-D518-4466-BA01-94BF9F014F92}">
  <sheetPr>
    <tabColor rgb="FFFFFF00"/>
  </sheetPr>
  <dimension ref="A1:N104"/>
  <sheetViews>
    <sheetView topLeftCell="A43" workbookViewId="0">
      <selection activeCell="K57" sqref="K57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13" customWidth="1"/>
    <col min="4" max="4" width="15.28515625" customWidth="1"/>
    <col min="6" max="6" width="17.85546875" style="13" customWidth="1"/>
    <col min="7" max="7" width="2.85546875" customWidth="1"/>
    <col min="9" max="9" width="14.140625" style="13" customWidth="1"/>
    <col min="10" max="10" width="11.7109375" style="251" customWidth="1"/>
    <col min="11" max="11" width="17.28515625" customWidth="1"/>
    <col min="12" max="12" width="14.5703125" customWidth="1"/>
    <col min="13" max="13" width="18.140625" style="13" customWidth="1"/>
    <col min="14" max="14" width="14.140625" style="4" customWidth="1"/>
  </cols>
  <sheetData>
    <row r="1" spans="1:14" ht="23.25" x14ac:dyDescent="0.35">
      <c r="C1" s="353" t="s">
        <v>248</v>
      </c>
      <c r="D1" s="353"/>
      <c r="E1" s="353"/>
      <c r="F1" s="353"/>
      <c r="G1" s="353"/>
      <c r="H1" s="353"/>
      <c r="I1" s="353"/>
      <c r="J1" s="353"/>
      <c r="K1" s="353"/>
      <c r="L1" s="2"/>
      <c r="M1" s="3"/>
    </row>
    <row r="2" spans="1:14" ht="15.75" x14ac:dyDescent="0.25">
      <c r="C2" s="5"/>
      <c r="H2" s="284" t="s">
        <v>1</v>
      </c>
      <c r="I2" s="3"/>
      <c r="J2" s="243"/>
      <c r="M2" s="3"/>
      <c r="N2" s="56"/>
    </row>
    <row r="3" spans="1:14" ht="21.75" thickBot="1" x14ac:dyDescent="0.35">
      <c r="B3" s="354" t="s">
        <v>2</v>
      </c>
      <c r="C3" s="355"/>
      <c r="D3" s="12"/>
      <c r="E3" s="285"/>
      <c r="F3" s="285"/>
      <c r="H3" s="383" t="s">
        <v>135</v>
      </c>
      <c r="I3" s="383"/>
      <c r="K3" s="185" t="s">
        <v>3</v>
      </c>
      <c r="L3" s="187" t="s">
        <v>136</v>
      </c>
      <c r="M3" s="187"/>
    </row>
    <row r="4" spans="1:14" ht="20.25" thickTop="1" thickBot="1" x14ac:dyDescent="0.35">
      <c r="A4" s="16" t="s">
        <v>5</v>
      </c>
      <c r="B4" s="17"/>
      <c r="C4" s="245">
        <v>258902.98</v>
      </c>
      <c r="D4" s="246">
        <v>43985</v>
      </c>
      <c r="E4" s="356" t="s">
        <v>6</v>
      </c>
      <c r="F4" s="357"/>
      <c r="H4" s="358" t="s">
        <v>7</v>
      </c>
      <c r="I4" s="359"/>
      <c r="J4" s="247"/>
      <c r="K4" s="20"/>
      <c r="L4" s="20"/>
      <c r="M4" s="21" t="s">
        <v>8</v>
      </c>
      <c r="N4" s="22" t="s">
        <v>9</v>
      </c>
    </row>
    <row r="5" spans="1:14" ht="15.75" thickBot="1" x14ac:dyDescent="0.3">
      <c r="A5" s="23" t="s">
        <v>10</v>
      </c>
      <c r="B5" s="248">
        <v>43986</v>
      </c>
      <c r="C5" s="249">
        <v>1628</v>
      </c>
      <c r="D5" s="250" t="s">
        <v>19</v>
      </c>
      <c r="E5" s="27">
        <v>43986</v>
      </c>
      <c r="F5" s="28">
        <v>63308</v>
      </c>
      <c r="H5" s="29">
        <v>43986</v>
      </c>
      <c r="I5" s="30">
        <v>0</v>
      </c>
      <c r="M5" s="31">
        <v>60417</v>
      </c>
      <c r="N5" s="32">
        <v>1263</v>
      </c>
    </row>
    <row r="6" spans="1:14" ht="16.5" thickBot="1" x14ac:dyDescent="0.3">
      <c r="A6" s="23"/>
      <c r="B6" s="248">
        <v>43987</v>
      </c>
      <c r="C6" s="249">
        <v>2529</v>
      </c>
      <c r="D6" s="252" t="s">
        <v>30</v>
      </c>
      <c r="E6" s="27">
        <v>43987</v>
      </c>
      <c r="F6" s="28">
        <v>111162</v>
      </c>
      <c r="H6" s="29">
        <v>43987</v>
      </c>
      <c r="I6" s="34">
        <v>10020</v>
      </c>
      <c r="J6" s="55">
        <v>44010</v>
      </c>
      <c r="K6" s="40" t="s">
        <v>13</v>
      </c>
      <c r="L6" s="41">
        <v>1450</v>
      </c>
      <c r="M6" s="31">
        <v>96999</v>
      </c>
      <c r="N6" s="32">
        <v>1614</v>
      </c>
    </row>
    <row r="7" spans="1:14" ht="15.75" thickBot="1" x14ac:dyDescent="0.3">
      <c r="A7" s="23"/>
      <c r="B7" s="248">
        <v>43988</v>
      </c>
      <c r="C7" s="249">
        <v>1537</v>
      </c>
      <c r="D7" s="253" t="s">
        <v>249</v>
      </c>
      <c r="E7" s="27">
        <v>43988</v>
      </c>
      <c r="F7" s="28">
        <v>90597</v>
      </c>
      <c r="H7" s="29">
        <v>43988</v>
      </c>
      <c r="I7" s="34">
        <v>0</v>
      </c>
      <c r="J7" s="254"/>
      <c r="K7" s="286" t="s">
        <v>15</v>
      </c>
      <c r="L7" s="45">
        <v>27661</v>
      </c>
      <c r="M7" s="31">
        <v>76979</v>
      </c>
      <c r="N7" s="32">
        <v>2131</v>
      </c>
    </row>
    <row r="8" spans="1:14" ht="15.75" thickBot="1" x14ac:dyDescent="0.3">
      <c r="A8" s="23"/>
      <c r="B8" s="248">
        <v>43989</v>
      </c>
      <c r="C8" s="287">
        <v>2981.7</v>
      </c>
      <c r="D8" s="255" t="s">
        <v>72</v>
      </c>
      <c r="E8" s="288">
        <v>43989</v>
      </c>
      <c r="F8" s="289">
        <v>163567</v>
      </c>
      <c r="H8" s="29">
        <v>43989</v>
      </c>
      <c r="I8" s="290">
        <f>14990+1800+990+120+38</f>
        <v>17938</v>
      </c>
      <c r="J8" s="291" t="s">
        <v>250</v>
      </c>
      <c r="K8" s="48" t="s">
        <v>251</v>
      </c>
      <c r="L8" s="49">
        <v>20000</v>
      </c>
      <c r="M8" s="31">
        <f>48800+90+51400+52850</f>
        <v>153140</v>
      </c>
      <c r="N8" s="32">
        <v>7614</v>
      </c>
    </row>
    <row r="9" spans="1:14" ht="15.75" thickBot="1" x14ac:dyDescent="0.3">
      <c r="A9" s="23"/>
      <c r="B9" s="248">
        <v>43990</v>
      </c>
      <c r="C9" s="292">
        <v>0</v>
      </c>
      <c r="D9" s="257"/>
      <c r="E9" s="293">
        <v>43990</v>
      </c>
      <c r="F9" s="294">
        <v>0</v>
      </c>
      <c r="H9" s="29">
        <v>43990</v>
      </c>
      <c r="I9" s="295">
        <v>0</v>
      </c>
      <c r="J9" s="296" t="s">
        <v>252</v>
      </c>
      <c r="K9" s="297"/>
      <c r="L9" s="41">
        <v>0</v>
      </c>
      <c r="M9" s="298">
        <v>0</v>
      </c>
      <c r="N9" s="299">
        <v>0</v>
      </c>
    </row>
    <row r="10" spans="1:14" ht="15.75" thickBot="1" x14ac:dyDescent="0.3">
      <c r="A10" s="23"/>
      <c r="B10" s="248">
        <v>43991</v>
      </c>
      <c r="C10" s="292">
        <v>0</v>
      </c>
      <c r="D10" s="253"/>
      <c r="E10" s="293">
        <v>43991</v>
      </c>
      <c r="F10" s="294">
        <v>0</v>
      </c>
      <c r="H10" s="29">
        <v>43991</v>
      </c>
      <c r="I10" s="295">
        <v>0</v>
      </c>
      <c r="J10" s="296" t="s">
        <v>252</v>
      </c>
      <c r="K10" s="300"/>
      <c r="L10" s="58"/>
      <c r="M10" s="298">
        <v>0</v>
      </c>
      <c r="N10" s="299">
        <v>0</v>
      </c>
    </row>
    <row r="11" spans="1:14" ht="15.75" thickBot="1" x14ac:dyDescent="0.3">
      <c r="A11" s="23"/>
      <c r="B11" s="248">
        <v>43992</v>
      </c>
      <c r="C11" s="249">
        <v>5416</v>
      </c>
      <c r="D11" s="252" t="s">
        <v>253</v>
      </c>
      <c r="E11" s="27">
        <v>43992</v>
      </c>
      <c r="F11" s="28">
        <v>58587</v>
      </c>
      <c r="H11" s="29">
        <v>43992</v>
      </c>
      <c r="I11" s="34">
        <v>1499</v>
      </c>
      <c r="J11" s="259"/>
      <c r="K11" s="54"/>
      <c r="L11" s="52"/>
      <c r="M11" s="31">
        <v>48424</v>
      </c>
      <c r="N11" s="32">
        <v>3248</v>
      </c>
    </row>
    <row r="12" spans="1:14" ht="15.75" thickBot="1" x14ac:dyDescent="0.3">
      <c r="A12" s="23"/>
      <c r="B12" s="248">
        <v>43993</v>
      </c>
      <c r="C12" s="249">
        <v>2545</v>
      </c>
      <c r="D12" s="252" t="s">
        <v>72</v>
      </c>
      <c r="E12" s="27">
        <v>43993</v>
      </c>
      <c r="F12" s="28">
        <v>73669</v>
      </c>
      <c r="H12" s="29">
        <v>43993</v>
      </c>
      <c r="I12" s="34">
        <v>0</v>
      </c>
      <c r="J12" s="55">
        <v>43988</v>
      </c>
      <c r="K12" s="48" t="s">
        <v>254</v>
      </c>
      <c r="L12" s="52">
        <f>14394.42+400+4000</f>
        <v>18794.419999999998</v>
      </c>
      <c r="M12" s="31">
        <v>65800</v>
      </c>
      <c r="N12" s="32">
        <v>5327</v>
      </c>
    </row>
    <row r="13" spans="1:14" ht="15.75" thickBot="1" x14ac:dyDescent="0.3">
      <c r="A13" s="23"/>
      <c r="B13" s="248">
        <v>43994</v>
      </c>
      <c r="C13" s="249">
        <v>2532</v>
      </c>
      <c r="D13" s="255" t="s">
        <v>255</v>
      </c>
      <c r="E13" s="27">
        <v>43994</v>
      </c>
      <c r="F13" s="28">
        <v>74415</v>
      </c>
      <c r="H13" s="29">
        <v>43994</v>
      </c>
      <c r="I13" s="34">
        <v>12000</v>
      </c>
      <c r="J13" s="55">
        <v>43995</v>
      </c>
      <c r="K13" s="48" t="s">
        <v>256</v>
      </c>
      <c r="L13" s="52">
        <f>13827.16+4000</f>
        <v>17827.16</v>
      </c>
      <c r="M13" s="31">
        <v>56323</v>
      </c>
      <c r="N13" s="32">
        <v>3560</v>
      </c>
    </row>
    <row r="14" spans="1:14" ht="15.75" thickBot="1" x14ac:dyDescent="0.3">
      <c r="A14" s="23"/>
      <c r="B14" s="248">
        <v>43995</v>
      </c>
      <c r="C14" s="249">
        <v>1160</v>
      </c>
      <c r="D14" s="253" t="s">
        <v>257</v>
      </c>
      <c r="E14" s="27">
        <v>43995</v>
      </c>
      <c r="F14" s="28">
        <v>99608</v>
      </c>
      <c r="H14" s="29">
        <v>43995</v>
      </c>
      <c r="I14" s="34">
        <v>0</v>
      </c>
      <c r="J14" s="55">
        <v>43996</v>
      </c>
      <c r="K14" s="48" t="s">
        <v>256</v>
      </c>
      <c r="L14" s="52">
        <v>400</v>
      </c>
      <c r="M14" s="31">
        <v>83411</v>
      </c>
      <c r="N14" s="32">
        <v>5756</v>
      </c>
    </row>
    <row r="15" spans="1:14" ht="15.75" thickBot="1" x14ac:dyDescent="0.3">
      <c r="A15" s="23"/>
      <c r="B15" s="248">
        <v>43996</v>
      </c>
      <c r="C15" s="249">
        <v>12071</v>
      </c>
      <c r="D15" s="252" t="s">
        <v>258</v>
      </c>
      <c r="E15" s="27">
        <v>43996</v>
      </c>
      <c r="F15" s="28">
        <v>80402</v>
      </c>
      <c r="H15" s="29">
        <v>43996</v>
      </c>
      <c r="I15" s="34">
        <v>0</v>
      </c>
      <c r="J15" s="55">
        <v>44002</v>
      </c>
      <c r="K15" s="48" t="s">
        <v>259</v>
      </c>
      <c r="L15" s="52">
        <f>15085.71+4000+400</f>
        <v>19485.71</v>
      </c>
      <c r="M15" s="31">
        <v>62436</v>
      </c>
      <c r="N15" s="32">
        <v>5495</v>
      </c>
    </row>
    <row r="16" spans="1:14" ht="15.75" thickBot="1" x14ac:dyDescent="0.3">
      <c r="A16" s="23"/>
      <c r="B16" s="248">
        <v>43997</v>
      </c>
      <c r="C16" s="249">
        <v>1875</v>
      </c>
      <c r="D16" s="252" t="s">
        <v>19</v>
      </c>
      <c r="E16" s="27">
        <v>43997</v>
      </c>
      <c r="F16" s="28">
        <v>58690</v>
      </c>
      <c r="H16" s="29">
        <v>43997</v>
      </c>
      <c r="I16" s="34">
        <v>400</v>
      </c>
      <c r="J16" s="55">
        <v>44009</v>
      </c>
      <c r="K16" s="48" t="s">
        <v>260</v>
      </c>
      <c r="L16" s="56">
        <f>12360.87+4000</f>
        <v>16360.87</v>
      </c>
      <c r="M16" s="31">
        <v>54259</v>
      </c>
      <c r="N16" s="32">
        <v>2156</v>
      </c>
    </row>
    <row r="17" spans="1:14" ht="15.75" thickBot="1" x14ac:dyDescent="0.3">
      <c r="A17" s="23"/>
      <c r="B17" s="248">
        <v>43998</v>
      </c>
      <c r="C17" s="249">
        <v>298.8</v>
      </c>
      <c r="D17" s="255" t="s">
        <v>87</v>
      </c>
      <c r="E17" s="27">
        <v>43998</v>
      </c>
      <c r="F17" s="28">
        <v>55065</v>
      </c>
      <c r="H17" s="29">
        <v>43998</v>
      </c>
      <c r="I17" s="34">
        <v>932</v>
      </c>
      <c r="J17" s="57">
        <v>44010</v>
      </c>
      <c r="K17" s="48" t="s">
        <v>228</v>
      </c>
      <c r="L17" s="58">
        <v>400</v>
      </c>
      <c r="M17" s="31">
        <v>50358</v>
      </c>
      <c r="N17" s="32">
        <v>3476</v>
      </c>
    </row>
    <row r="18" spans="1:14" ht="15.75" thickBot="1" x14ac:dyDescent="0.3">
      <c r="A18" s="23"/>
      <c r="B18" s="248">
        <v>43999</v>
      </c>
      <c r="C18" s="249">
        <v>5807.82</v>
      </c>
      <c r="D18" s="252" t="s">
        <v>261</v>
      </c>
      <c r="E18" s="27">
        <v>43999</v>
      </c>
      <c r="F18" s="28">
        <v>70382</v>
      </c>
      <c r="H18" s="29">
        <v>43999</v>
      </c>
      <c r="I18" s="34">
        <v>3000</v>
      </c>
      <c r="J18" s="57">
        <v>44015</v>
      </c>
      <c r="K18" s="59" t="s">
        <v>262</v>
      </c>
      <c r="L18" s="52">
        <f>13732.3+4000+400</f>
        <v>18132.3</v>
      </c>
      <c r="M18" s="31">
        <v>59681</v>
      </c>
      <c r="N18" s="32">
        <v>1893</v>
      </c>
    </row>
    <row r="19" spans="1:14" ht="15.75" thickBot="1" x14ac:dyDescent="0.3">
      <c r="A19" s="23"/>
      <c r="B19" s="248">
        <v>44000</v>
      </c>
      <c r="C19" s="249">
        <v>854</v>
      </c>
      <c r="D19" s="252" t="s">
        <v>19</v>
      </c>
      <c r="E19" s="27">
        <v>44000</v>
      </c>
      <c r="F19" s="28">
        <v>70688</v>
      </c>
      <c r="H19" s="29">
        <v>44000</v>
      </c>
      <c r="I19" s="34">
        <v>0</v>
      </c>
      <c r="J19" s="57">
        <v>44023</v>
      </c>
      <c r="K19" s="59" t="s">
        <v>263</v>
      </c>
      <c r="L19" s="61">
        <f>11274.59+4000+400</f>
        <v>15674.59</v>
      </c>
      <c r="M19" s="31">
        <v>68185</v>
      </c>
      <c r="N19" s="32">
        <v>1649</v>
      </c>
    </row>
    <row r="20" spans="1:14" ht="15.75" thickBot="1" x14ac:dyDescent="0.3">
      <c r="A20" s="23"/>
      <c r="B20" s="248">
        <v>44001</v>
      </c>
      <c r="C20" s="249">
        <v>11305</v>
      </c>
      <c r="D20" s="252" t="s">
        <v>264</v>
      </c>
      <c r="E20" s="27">
        <v>44001</v>
      </c>
      <c r="F20" s="28">
        <v>100344</v>
      </c>
      <c r="H20" s="29">
        <v>44001</v>
      </c>
      <c r="I20" s="34">
        <v>10020</v>
      </c>
      <c r="J20" s="55"/>
      <c r="K20" s="62"/>
      <c r="L20" s="58"/>
      <c r="M20" s="31">
        <v>76170</v>
      </c>
      <c r="N20" s="32">
        <v>2849</v>
      </c>
    </row>
    <row r="21" spans="1:14" ht="16.5" thickBot="1" x14ac:dyDescent="0.3">
      <c r="A21" s="23"/>
      <c r="B21" s="248">
        <v>44002</v>
      </c>
      <c r="C21" s="249">
        <v>5569</v>
      </c>
      <c r="D21" s="252" t="s">
        <v>265</v>
      </c>
      <c r="E21" s="27">
        <v>44002</v>
      </c>
      <c r="F21" s="28">
        <v>132341</v>
      </c>
      <c r="H21" s="29">
        <v>44002</v>
      </c>
      <c r="I21" s="34">
        <v>50.82</v>
      </c>
      <c r="J21" s="57"/>
      <c r="K21" s="63"/>
      <c r="L21" s="58"/>
      <c r="M21" s="31">
        <f>70000+38982</f>
        <v>108982</v>
      </c>
      <c r="N21" s="32">
        <v>7175</v>
      </c>
    </row>
    <row r="22" spans="1:14" ht="15.75" thickBot="1" x14ac:dyDescent="0.3">
      <c r="A22" s="23"/>
      <c r="B22" s="248">
        <v>44003</v>
      </c>
      <c r="C22" s="249">
        <v>2634</v>
      </c>
      <c r="D22" s="252" t="s">
        <v>266</v>
      </c>
      <c r="E22" s="27">
        <v>44003</v>
      </c>
      <c r="F22" s="28">
        <v>126332</v>
      </c>
      <c r="H22" s="29">
        <v>44003</v>
      </c>
      <c r="I22" s="34">
        <v>0</v>
      </c>
      <c r="J22" s="64"/>
      <c r="K22" s="65"/>
      <c r="L22" s="66"/>
      <c r="M22" s="31">
        <v>117788</v>
      </c>
      <c r="N22" s="32">
        <v>5910</v>
      </c>
    </row>
    <row r="23" spans="1:14" ht="15.75" thickBot="1" x14ac:dyDescent="0.3">
      <c r="A23" s="23"/>
      <c r="B23" s="248">
        <v>44004</v>
      </c>
      <c r="C23" s="249">
        <v>0</v>
      </c>
      <c r="D23" s="252"/>
      <c r="E23" s="27">
        <v>44004</v>
      </c>
      <c r="F23" s="28">
        <v>68769</v>
      </c>
      <c r="H23" s="29">
        <v>44004</v>
      </c>
      <c r="I23" s="34">
        <v>0</v>
      </c>
      <c r="J23" s="221"/>
      <c r="K23" s="222"/>
      <c r="L23" s="223"/>
      <c r="M23" s="31">
        <v>64930</v>
      </c>
      <c r="N23" s="32">
        <v>3839</v>
      </c>
    </row>
    <row r="24" spans="1:14" ht="15.75" thickBot="1" x14ac:dyDescent="0.3">
      <c r="A24" s="23"/>
      <c r="B24" s="248">
        <v>44005</v>
      </c>
      <c r="C24" s="249">
        <v>10976</v>
      </c>
      <c r="D24" s="252" t="s">
        <v>267</v>
      </c>
      <c r="E24" s="27">
        <v>44005</v>
      </c>
      <c r="F24" s="28">
        <v>59178</v>
      </c>
      <c r="H24" s="29">
        <v>44005</v>
      </c>
      <c r="I24" s="34">
        <v>426</v>
      </c>
      <c r="J24" s="224" t="s">
        <v>268</v>
      </c>
      <c r="K24" s="228" t="s">
        <v>269</v>
      </c>
      <c r="L24" s="226">
        <v>6500</v>
      </c>
      <c r="M24" s="31">
        <v>47086</v>
      </c>
      <c r="N24" s="32">
        <v>690</v>
      </c>
    </row>
    <row r="25" spans="1:14" ht="15.75" thickBot="1" x14ac:dyDescent="0.3">
      <c r="A25" s="23"/>
      <c r="B25" s="248">
        <v>44006</v>
      </c>
      <c r="C25" s="249">
        <v>3935</v>
      </c>
      <c r="D25" s="252" t="s">
        <v>270</v>
      </c>
      <c r="E25" s="27">
        <v>44006</v>
      </c>
      <c r="F25" s="28">
        <v>66092</v>
      </c>
      <c r="H25" s="29">
        <v>44006</v>
      </c>
      <c r="I25" s="34">
        <v>450</v>
      </c>
      <c r="J25" s="227" t="s">
        <v>268</v>
      </c>
      <c r="K25" s="86" t="s">
        <v>176</v>
      </c>
      <c r="L25" s="178">
        <f>10260+9345</f>
        <v>19605</v>
      </c>
      <c r="M25" s="31">
        <v>57772</v>
      </c>
      <c r="N25" s="32">
        <v>3935</v>
      </c>
    </row>
    <row r="26" spans="1:14" ht="15.75" thickBot="1" x14ac:dyDescent="0.3">
      <c r="A26" s="23"/>
      <c r="B26" s="248">
        <v>44007</v>
      </c>
      <c r="C26" s="249">
        <v>6279</v>
      </c>
      <c r="D26" s="252" t="s">
        <v>271</v>
      </c>
      <c r="E26" s="27">
        <v>44007</v>
      </c>
      <c r="F26" s="28">
        <v>57063</v>
      </c>
      <c r="H26" s="29">
        <v>44007</v>
      </c>
      <c r="I26" s="34">
        <v>0</v>
      </c>
      <c r="J26" s="57" t="s">
        <v>268</v>
      </c>
      <c r="K26" s="228" t="s">
        <v>165</v>
      </c>
      <c r="L26" s="223">
        <v>10000</v>
      </c>
      <c r="M26" s="31">
        <v>48139</v>
      </c>
      <c r="N26" s="32">
        <v>2645</v>
      </c>
    </row>
    <row r="27" spans="1:14" ht="15.75" thickBot="1" x14ac:dyDescent="0.3">
      <c r="A27" s="23"/>
      <c r="B27" s="248">
        <v>44008</v>
      </c>
      <c r="C27" s="249">
        <v>8880</v>
      </c>
      <c r="D27" s="252" t="s">
        <v>272</v>
      </c>
      <c r="E27" s="27">
        <v>44008</v>
      </c>
      <c r="F27" s="28">
        <v>98558</v>
      </c>
      <c r="H27" s="29">
        <v>44008</v>
      </c>
      <c r="I27" s="34">
        <v>12020</v>
      </c>
      <c r="J27" s="176" t="s">
        <v>268</v>
      </c>
      <c r="K27" s="96" t="s">
        <v>192</v>
      </c>
      <c r="L27" s="178">
        <v>986</v>
      </c>
      <c r="M27" s="31">
        <f>72343+935</f>
        <v>73278</v>
      </c>
      <c r="N27" s="32">
        <v>4380</v>
      </c>
    </row>
    <row r="28" spans="1:14" ht="15.75" thickBot="1" x14ac:dyDescent="0.3">
      <c r="A28" s="23"/>
      <c r="B28" s="248">
        <v>44009</v>
      </c>
      <c r="C28" s="249">
        <v>2416</v>
      </c>
      <c r="D28" s="260" t="s">
        <v>273</v>
      </c>
      <c r="E28" s="27">
        <v>44009</v>
      </c>
      <c r="F28" s="28">
        <v>111522</v>
      </c>
      <c r="H28" s="29">
        <v>44009</v>
      </c>
      <c r="I28" s="34">
        <v>0</v>
      </c>
      <c r="J28" s="176" t="s">
        <v>268</v>
      </c>
      <c r="K28" s="301" t="s">
        <v>274</v>
      </c>
      <c r="L28" s="178">
        <v>15196</v>
      </c>
      <c r="M28" s="31">
        <v>97570</v>
      </c>
      <c r="N28" s="32">
        <v>3419</v>
      </c>
    </row>
    <row r="29" spans="1:14" ht="15.75" thickBot="1" x14ac:dyDescent="0.3">
      <c r="A29" s="23"/>
      <c r="B29" s="248">
        <v>44010</v>
      </c>
      <c r="C29" s="249">
        <v>5855</v>
      </c>
      <c r="D29" s="261" t="s">
        <v>275</v>
      </c>
      <c r="E29" s="27">
        <v>44010</v>
      </c>
      <c r="F29" s="28">
        <v>70842</v>
      </c>
      <c r="H29" s="29">
        <v>44010</v>
      </c>
      <c r="I29" s="34">
        <v>88</v>
      </c>
      <c r="J29" s="176" t="s">
        <v>268</v>
      </c>
      <c r="K29" s="86" t="s">
        <v>276</v>
      </c>
      <c r="L29" s="178">
        <v>6828.96</v>
      </c>
      <c r="M29" s="31">
        <v>56789</v>
      </c>
      <c r="N29" s="32">
        <v>6260</v>
      </c>
    </row>
    <row r="30" spans="1:14" ht="15.75" thickBot="1" x14ac:dyDescent="0.3">
      <c r="A30" s="23"/>
      <c r="B30" s="248">
        <v>44011</v>
      </c>
      <c r="C30" s="249">
        <v>1160</v>
      </c>
      <c r="D30" s="261" t="s">
        <v>277</v>
      </c>
      <c r="E30" s="27">
        <v>44011</v>
      </c>
      <c r="F30" s="28">
        <v>73563</v>
      </c>
      <c r="H30" s="29">
        <v>44011</v>
      </c>
      <c r="I30" s="199">
        <v>0</v>
      </c>
      <c r="J30" s="176" t="s">
        <v>268</v>
      </c>
      <c r="K30" s="231" t="s">
        <v>46</v>
      </c>
      <c r="L30" s="232">
        <v>1315.86</v>
      </c>
      <c r="M30" s="31">
        <v>72771</v>
      </c>
      <c r="N30" s="32">
        <v>2109</v>
      </c>
    </row>
    <row r="31" spans="1:14" ht="15.75" thickBot="1" x14ac:dyDescent="0.3">
      <c r="A31" s="23"/>
      <c r="B31" s="248">
        <v>44012</v>
      </c>
      <c r="C31" s="262">
        <v>6640</v>
      </c>
      <c r="D31" s="261" t="s">
        <v>278</v>
      </c>
      <c r="E31" s="27">
        <v>44012</v>
      </c>
      <c r="F31" s="28">
        <v>62116</v>
      </c>
      <c r="H31" s="29">
        <v>44012</v>
      </c>
      <c r="I31" s="199">
        <v>678</v>
      </c>
      <c r="J31" s="176" t="s">
        <v>268</v>
      </c>
      <c r="K31" s="86" t="s">
        <v>279</v>
      </c>
      <c r="L31" s="178">
        <v>1914</v>
      </c>
      <c r="M31" s="31">
        <v>52032</v>
      </c>
      <c r="N31" s="32">
        <v>2766</v>
      </c>
    </row>
    <row r="32" spans="1:14" ht="15.75" thickBot="1" x14ac:dyDescent="0.3">
      <c r="A32" s="23"/>
      <c r="B32" s="248">
        <v>44013</v>
      </c>
      <c r="C32" s="262">
        <v>1915</v>
      </c>
      <c r="D32" s="261" t="s">
        <v>280</v>
      </c>
      <c r="E32" s="27">
        <v>44013</v>
      </c>
      <c r="F32" s="202">
        <v>68656</v>
      </c>
      <c r="H32" s="29">
        <v>44013</v>
      </c>
      <c r="I32" s="199">
        <v>2000</v>
      </c>
      <c r="J32" s="176" t="s">
        <v>268</v>
      </c>
      <c r="K32" s="302" t="s">
        <v>281</v>
      </c>
      <c r="L32" s="178">
        <v>1148.0999999999999</v>
      </c>
      <c r="M32" s="31">
        <v>58984</v>
      </c>
      <c r="N32" s="32">
        <v>5757</v>
      </c>
    </row>
    <row r="33" spans="1:14" ht="16.5" thickBot="1" x14ac:dyDescent="0.3">
      <c r="A33" s="23"/>
      <c r="B33" s="248">
        <v>44014</v>
      </c>
      <c r="C33" s="262">
        <v>1753</v>
      </c>
      <c r="D33" s="263" t="s">
        <v>19</v>
      </c>
      <c r="E33" s="27">
        <v>44014</v>
      </c>
      <c r="F33" s="97">
        <v>73032</v>
      </c>
      <c r="H33" s="29">
        <v>44014</v>
      </c>
      <c r="I33" s="199">
        <v>0</v>
      </c>
      <c r="J33" s="176" t="s">
        <v>268</v>
      </c>
      <c r="K33" s="303" t="s">
        <v>282</v>
      </c>
      <c r="L33" s="178">
        <v>1508</v>
      </c>
      <c r="M33" s="31">
        <v>67373</v>
      </c>
      <c r="N33" s="32">
        <v>3906</v>
      </c>
    </row>
    <row r="34" spans="1:14" ht="15.75" thickBot="1" x14ac:dyDescent="0.3">
      <c r="A34" s="23"/>
      <c r="B34" s="248">
        <v>44015</v>
      </c>
      <c r="C34" s="262">
        <v>5579</v>
      </c>
      <c r="D34" s="304" t="s">
        <v>283</v>
      </c>
      <c r="E34" s="27">
        <v>44015</v>
      </c>
      <c r="F34" s="97">
        <v>93850</v>
      </c>
      <c r="H34" s="29">
        <v>44015</v>
      </c>
      <c r="I34" s="199">
        <v>14652.99</v>
      </c>
      <c r="J34" s="176" t="s">
        <v>268</v>
      </c>
      <c r="K34" s="86" t="s">
        <v>243</v>
      </c>
      <c r="L34" s="178">
        <v>1899.74</v>
      </c>
      <c r="M34" s="31">
        <v>50825</v>
      </c>
      <c r="N34" s="32">
        <v>2793</v>
      </c>
    </row>
    <row r="35" spans="1:14" ht="15.75" thickBot="1" x14ac:dyDescent="0.3">
      <c r="A35" s="23"/>
      <c r="B35" s="248">
        <v>44016</v>
      </c>
      <c r="C35" s="262">
        <v>10900</v>
      </c>
      <c r="D35" s="263" t="s">
        <v>284</v>
      </c>
      <c r="E35" s="27">
        <v>44016</v>
      </c>
      <c r="F35" s="97">
        <v>99053</v>
      </c>
      <c r="H35" s="29">
        <v>44016</v>
      </c>
      <c r="I35" s="199">
        <v>0</v>
      </c>
      <c r="J35" s="176"/>
      <c r="K35" s="96" t="s">
        <v>285</v>
      </c>
      <c r="L35" s="233">
        <v>11600</v>
      </c>
      <c r="M35" s="31">
        <f>73069+135+570</f>
        <v>73774</v>
      </c>
      <c r="N35" s="32">
        <v>4940</v>
      </c>
    </row>
    <row r="36" spans="1:14" ht="15.75" thickBot="1" x14ac:dyDescent="0.3">
      <c r="A36" s="23"/>
      <c r="B36" s="248">
        <v>44017</v>
      </c>
      <c r="C36" s="262">
        <v>9059</v>
      </c>
      <c r="D36" s="263" t="s">
        <v>286</v>
      </c>
      <c r="E36" s="27">
        <v>44017</v>
      </c>
      <c r="F36" s="97">
        <v>72452</v>
      </c>
      <c r="H36" s="29">
        <v>44017</v>
      </c>
      <c r="I36" s="199">
        <v>0</v>
      </c>
      <c r="J36" s="176" t="s">
        <v>268</v>
      </c>
      <c r="K36" s="86" t="s">
        <v>287</v>
      </c>
      <c r="L36" s="178">
        <v>20</v>
      </c>
      <c r="M36" s="31">
        <v>61030</v>
      </c>
      <c r="N36" s="32">
        <v>2363</v>
      </c>
    </row>
    <row r="37" spans="1:14" ht="15.75" thickBot="1" x14ac:dyDescent="0.3">
      <c r="A37" s="23"/>
      <c r="B37" s="248">
        <v>44018</v>
      </c>
      <c r="C37" s="262">
        <v>3220</v>
      </c>
      <c r="D37" s="305" t="s">
        <v>288</v>
      </c>
      <c r="E37" s="27">
        <v>44018</v>
      </c>
      <c r="F37" s="97">
        <v>73507</v>
      </c>
      <c r="H37" s="29">
        <v>44018</v>
      </c>
      <c r="I37" s="199">
        <v>0</v>
      </c>
      <c r="J37" s="176" t="s">
        <v>268</v>
      </c>
      <c r="K37" s="86" t="s">
        <v>289</v>
      </c>
      <c r="L37" s="178">
        <v>8394.5</v>
      </c>
      <c r="M37" s="31">
        <v>68986</v>
      </c>
      <c r="N37" s="32">
        <v>1301</v>
      </c>
    </row>
    <row r="38" spans="1:14" ht="15.75" thickBot="1" x14ac:dyDescent="0.3">
      <c r="A38" s="23"/>
      <c r="B38" s="248">
        <v>44019</v>
      </c>
      <c r="C38" s="306">
        <v>3535</v>
      </c>
      <c r="D38" s="305" t="s">
        <v>290</v>
      </c>
      <c r="E38" s="27">
        <v>44019</v>
      </c>
      <c r="F38" s="97">
        <v>69909</v>
      </c>
      <c r="H38" s="29">
        <v>44019</v>
      </c>
      <c r="I38" s="199">
        <v>118</v>
      </c>
      <c r="J38" s="176" t="s">
        <v>268</v>
      </c>
      <c r="K38" s="109" t="s">
        <v>238</v>
      </c>
      <c r="L38" s="235">
        <v>10180.040000000001</v>
      </c>
      <c r="M38" s="31">
        <v>62096</v>
      </c>
      <c r="N38" s="32">
        <v>4160</v>
      </c>
    </row>
    <row r="39" spans="1:14" ht="15.75" thickBot="1" x14ac:dyDescent="0.3">
      <c r="A39" s="23"/>
      <c r="B39" s="248">
        <v>44020</v>
      </c>
      <c r="C39" s="306">
        <v>2705</v>
      </c>
      <c r="D39" s="46" t="s">
        <v>291</v>
      </c>
      <c r="E39" s="27">
        <v>44020</v>
      </c>
      <c r="F39" s="97">
        <v>81573</v>
      </c>
      <c r="H39" s="29">
        <v>44020</v>
      </c>
      <c r="I39" s="307">
        <v>0</v>
      </c>
      <c r="J39" s="176" t="s">
        <v>268</v>
      </c>
      <c r="K39" s="109" t="s">
        <v>292</v>
      </c>
      <c r="L39" s="235">
        <v>2075</v>
      </c>
      <c r="M39" s="31">
        <v>76950</v>
      </c>
      <c r="N39" s="32">
        <v>1920</v>
      </c>
    </row>
    <row r="40" spans="1:14" ht="15.75" thickBot="1" x14ac:dyDescent="0.3">
      <c r="A40" s="23"/>
      <c r="B40" s="248">
        <v>44021</v>
      </c>
      <c r="C40" s="306">
        <v>2880</v>
      </c>
      <c r="D40" s="46" t="s">
        <v>293</v>
      </c>
      <c r="E40" s="27">
        <v>44021</v>
      </c>
      <c r="F40" s="97">
        <v>60427</v>
      </c>
      <c r="G40" s="308"/>
      <c r="H40" s="90">
        <v>44021</v>
      </c>
      <c r="I40" s="307">
        <f>35767</f>
        <v>35767</v>
      </c>
      <c r="J40" s="309" t="s">
        <v>294</v>
      </c>
      <c r="K40" s="109"/>
      <c r="L40" s="235"/>
      <c r="M40" s="31">
        <v>55412</v>
      </c>
      <c r="N40" s="32">
        <v>2135</v>
      </c>
    </row>
    <row r="41" spans="1:14" ht="15.75" thickBot="1" x14ac:dyDescent="0.3">
      <c r="A41" s="102"/>
      <c r="B41" s="248">
        <v>44022</v>
      </c>
      <c r="C41" s="310">
        <v>9694</v>
      </c>
      <c r="D41" s="311" t="s">
        <v>295</v>
      </c>
      <c r="E41" s="171">
        <v>44022</v>
      </c>
      <c r="F41" s="312">
        <v>121105</v>
      </c>
      <c r="G41" s="313"/>
      <c r="H41" s="90">
        <v>44022</v>
      </c>
      <c r="I41" s="104">
        <v>12020</v>
      </c>
      <c r="J41" s="85"/>
      <c r="K41" s="213"/>
      <c r="L41" s="66"/>
      <c r="M41" s="97">
        <v>93691</v>
      </c>
      <c r="N41" s="97">
        <v>5700</v>
      </c>
    </row>
    <row r="42" spans="1:14" ht="15.75" thickBot="1" x14ac:dyDescent="0.3">
      <c r="A42" s="102"/>
      <c r="B42" s="248">
        <v>44023</v>
      </c>
      <c r="C42" s="310">
        <v>2148</v>
      </c>
      <c r="D42" s="46" t="s">
        <v>12</v>
      </c>
      <c r="E42" s="314">
        <v>44023</v>
      </c>
      <c r="F42" s="104">
        <v>124490</v>
      </c>
      <c r="G42" s="313"/>
      <c r="H42" s="90">
        <v>44023</v>
      </c>
      <c r="I42" s="104">
        <v>238</v>
      </c>
      <c r="J42" s="315" t="s">
        <v>296</v>
      </c>
      <c r="K42" s="316" t="s">
        <v>297</v>
      </c>
      <c r="L42" s="66">
        <v>4792</v>
      </c>
      <c r="M42" s="97">
        <v>108611</v>
      </c>
      <c r="N42" s="97">
        <v>5657</v>
      </c>
    </row>
    <row r="43" spans="1:14" ht="15.75" thickBot="1" x14ac:dyDescent="0.3">
      <c r="A43" s="102"/>
      <c r="B43" s="248">
        <v>44024</v>
      </c>
      <c r="C43" s="310">
        <v>3042</v>
      </c>
      <c r="D43" s="46" t="s">
        <v>298</v>
      </c>
      <c r="E43" s="27">
        <v>44024</v>
      </c>
      <c r="F43" s="104">
        <v>68031</v>
      </c>
      <c r="G43" s="313"/>
      <c r="H43" s="90">
        <v>44024</v>
      </c>
      <c r="I43" s="104">
        <v>0</v>
      </c>
      <c r="J43" s="85"/>
      <c r="K43" s="316"/>
      <c r="L43" s="66"/>
      <c r="M43" s="97">
        <v>63676</v>
      </c>
      <c r="N43" s="97">
        <v>1313</v>
      </c>
    </row>
    <row r="44" spans="1:14" ht="15.75" thickBot="1" x14ac:dyDescent="0.3">
      <c r="A44" s="102"/>
      <c r="B44" s="248">
        <v>44025</v>
      </c>
      <c r="C44" s="317">
        <v>6560.96</v>
      </c>
      <c r="D44" s="46" t="s">
        <v>299</v>
      </c>
      <c r="E44" s="27">
        <v>44025</v>
      </c>
      <c r="F44" s="104">
        <v>88944</v>
      </c>
      <c r="G44" s="313"/>
      <c r="H44" s="90">
        <v>44025</v>
      </c>
      <c r="I44" s="104">
        <v>0</v>
      </c>
      <c r="J44" s="85"/>
      <c r="K44" s="316"/>
      <c r="L44" s="66"/>
      <c r="M44" s="97">
        <v>78406</v>
      </c>
      <c r="N44" s="97">
        <v>3977</v>
      </c>
    </row>
    <row r="45" spans="1:14" ht="15.75" thickBot="1" x14ac:dyDescent="0.3">
      <c r="A45" s="102"/>
      <c r="B45" s="318">
        <v>44026</v>
      </c>
      <c r="C45" s="319">
        <v>4450</v>
      </c>
      <c r="D45" s="46" t="s">
        <v>300</v>
      </c>
      <c r="E45" s="27">
        <v>44026</v>
      </c>
      <c r="F45" s="104">
        <v>83382</v>
      </c>
      <c r="G45" s="313"/>
      <c r="H45" s="90">
        <v>44026</v>
      </c>
      <c r="I45" s="104">
        <v>39</v>
      </c>
      <c r="J45" s="320"/>
      <c r="K45" s="316"/>
      <c r="L45" s="66"/>
      <c r="M45" s="97">
        <v>77874</v>
      </c>
      <c r="N45" s="97">
        <v>1019</v>
      </c>
    </row>
    <row r="46" spans="1:14" x14ac:dyDescent="0.25">
      <c r="A46" s="102"/>
      <c r="B46" s="321"/>
      <c r="C46" s="319"/>
      <c r="D46" s="46"/>
      <c r="E46" s="322"/>
      <c r="F46" s="119"/>
      <c r="H46" s="90"/>
      <c r="I46" s="119"/>
      <c r="J46" s="323"/>
      <c r="K46" s="316"/>
      <c r="L46" s="66"/>
      <c r="M46" s="97">
        <v>0</v>
      </c>
      <c r="N46" s="97">
        <v>0</v>
      </c>
    </row>
    <row r="47" spans="1:14" x14ac:dyDescent="0.25">
      <c r="A47" s="102"/>
      <c r="B47" s="248">
        <v>43986</v>
      </c>
      <c r="C47" s="319">
        <v>20490.72</v>
      </c>
      <c r="D47" s="46" t="s">
        <v>301</v>
      </c>
      <c r="E47" s="90"/>
      <c r="F47" s="119"/>
      <c r="H47" s="90"/>
      <c r="I47" s="119"/>
      <c r="J47" s="323"/>
      <c r="K47" s="316"/>
      <c r="L47" s="66"/>
      <c r="M47" s="97">
        <v>0</v>
      </c>
      <c r="N47" s="97">
        <v>0</v>
      </c>
    </row>
    <row r="48" spans="1:14" x14ac:dyDescent="0.25">
      <c r="A48" s="102"/>
      <c r="B48" s="248">
        <v>43988</v>
      </c>
      <c r="C48" s="319">
        <v>17866.36</v>
      </c>
      <c r="D48" s="46" t="s">
        <v>301</v>
      </c>
      <c r="E48" s="90"/>
      <c r="F48" s="119"/>
      <c r="H48" s="90"/>
      <c r="I48" s="119"/>
      <c r="J48" s="323"/>
      <c r="K48" s="316"/>
      <c r="L48" s="66"/>
      <c r="M48" s="97">
        <v>0</v>
      </c>
      <c r="N48" s="97">
        <v>0</v>
      </c>
    </row>
    <row r="49" spans="1:14" x14ac:dyDescent="0.25">
      <c r="A49" s="102"/>
      <c r="B49" s="248">
        <v>43992</v>
      </c>
      <c r="C49" s="319">
        <v>13936.04</v>
      </c>
      <c r="D49" s="46" t="s">
        <v>301</v>
      </c>
      <c r="E49" s="90"/>
      <c r="F49" s="119"/>
      <c r="H49" s="90"/>
      <c r="I49" s="119"/>
      <c r="J49" s="323"/>
      <c r="K49" s="316"/>
      <c r="L49" s="66"/>
      <c r="M49" s="97">
        <v>0</v>
      </c>
      <c r="N49" s="97">
        <v>0</v>
      </c>
    </row>
    <row r="50" spans="1:14" x14ac:dyDescent="0.25">
      <c r="A50" s="102"/>
      <c r="B50" s="324">
        <v>43993</v>
      </c>
      <c r="C50" s="319">
        <v>25553.72</v>
      </c>
      <c r="D50" s="46" t="s">
        <v>301</v>
      </c>
      <c r="E50" s="90"/>
      <c r="F50" s="119"/>
      <c r="H50" s="90"/>
      <c r="I50" s="119"/>
      <c r="J50" s="323"/>
      <c r="K50" s="316"/>
      <c r="L50" s="66"/>
      <c r="M50" s="97">
        <v>0</v>
      </c>
      <c r="N50" s="97">
        <v>0</v>
      </c>
    </row>
    <row r="51" spans="1:14" x14ac:dyDescent="0.25">
      <c r="A51" s="102"/>
      <c r="B51" s="324">
        <v>43995</v>
      </c>
      <c r="C51" s="325">
        <v>5188.4799999999996</v>
      </c>
      <c r="D51" s="46" t="s">
        <v>302</v>
      </c>
      <c r="E51" s="90"/>
      <c r="F51" s="119"/>
      <c r="H51" s="90"/>
      <c r="I51" s="119"/>
      <c r="J51" s="323"/>
      <c r="K51" s="316"/>
      <c r="L51" s="66"/>
      <c r="M51" s="97">
        <v>0</v>
      </c>
      <c r="N51" s="97">
        <v>0</v>
      </c>
    </row>
    <row r="52" spans="1:14" x14ac:dyDescent="0.25">
      <c r="A52" s="102"/>
      <c r="B52" s="324">
        <v>43997</v>
      </c>
      <c r="C52" s="319">
        <v>15549.93</v>
      </c>
      <c r="D52" s="46" t="s">
        <v>301</v>
      </c>
      <c r="E52" s="90"/>
      <c r="F52" s="119"/>
      <c r="H52" s="90"/>
      <c r="I52" s="119"/>
      <c r="J52" s="323"/>
      <c r="K52" s="316"/>
      <c r="L52" s="66"/>
      <c r="M52" s="97">
        <v>0</v>
      </c>
      <c r="N52" s="97">
        <v>0</v>
      </c>
    </row>
    <row r="53" spans="1:14" x14ac:dyDescent="0.25">
      <c r="A53" s="102"/>
      <c r="B53" s="324">
        <v>43999</v>
      </c>
      <c r="C53" s="326">
        <v>30243.02</v>
      </c>
      <c r="D53" s="46" t="s">
        <v>303</v>
      </c>
      <c r="E53" s="90"/>
      <c r="F53" s="119"/>
      <c r="H53" s="90"/>
      <c r="I53" s="119"/>
      <c r="J53" s="323"/>
      <c r="K53" s="316"/>
      <c r="L53" s="66"/>
      <c r="M53" s="97">
        <v>0</v>
      </c>
      <c r="N53" s="97">
        <v>0</v>
      </c>
    </row>
    <row r="54" spans="1:14" x14ac:dyDescent="0.25">
      <c r="A54" s="102"/>
      <c r="B54" s="324">
        <v>44002</v>
      </c>
      <c r="C54" s="327">
        <v>15580.51</v>
      </c>
      <c r="D54" s="46" t="s">
        <v>41</v>
      </c>
      <c r="E54" s="90"/>
      <c r="F54" s="119"/>
      <c r="H54" s="90"/>
      <c r="I54" s="119"/>
      <c r="J54" s="323"/>
      <c r="K54" s="316"/>
      <c r="L54" s="66"/>
      <c r="M54" s="97">
        <v>0</v>
      </c>
      <c r="N54" s="97">
        <v>0</v>
      </c>
    </row>
    <row r="55" spans="1:14" x14ac:dyDescent="0.25">
      <c r="A55" s="102"/>
      <c r="B55" s="324">
        <v>44004</v>
      </c>
      <c r="C55" s="326">
        <v>16551.009999999998</v>
      </c>
      <c r="D55" s="46" t="s">
        <v>304</v>
      </c>
      <c r="E55" s="90"/>
      <c r="F55" s="119"/>
      <c r="H55" s="90"/>
      <c r="I55" s="119"/>
      <c r="J55" s="323"/>
      <c r="K55" s="316"/>
      <c r="L55" s="66"/>
      <c r="M55" s="97">
        <v>0</v>
      </c>
      <c r="N55" s="97">
        <v>0</v>
      </c>
    </row>
    <row r="56" spans="1:14" x14ac:dyDescent="0.25">
      <c r="A56" s="102"/>
      <c r="B56" s="324">
        <v>44006</v>
      </c>
      <c r="C56" s="326">
        <v>14103.63</v>
      </c>
      <c r="D56" s="46" t="s">
        <v>305</v>
      </c>
      <c r="E56" s="90"/>
      <c r="F56" s="119"/>
      <c r="H56" s="90"/>
      <c r="I56" s="119"/>
      <c r="J56" s="323"/>
      <c r="K56" s="316"/>
      <c r="L56" s="66"/>
      <c r="M56" s="97">
        <v>0</v>
      </c>
      <c r="N56" s="97">
        <v>0</v>
      </c>
    </row>
    <row r="57" spans="1:14" x14ac:dyDescent="0.25">
      <c r="A57" s="102"/>
      <c r="B57" s="324">
        <v>44011</v>
      </c>
      <c r="C57" s="326">
        <v>18181.38</v>
      </c>
      <c r="D57" s="46" t="s">
        <v>306</v>
      </c>
      <c r="E57" s="90"/>
      <c r="F57" s="119"/>
      <c r="H57" s="90"/>
      <c r="I57" s="119"/>
      <c r="J57" s="323"/>
      <c r="K57" s="316"/>
      <c r="L57" s="66"/>
      <c r="M57" s="97">
        <v>0</v>
      </c>
      <c r="N57" s="97">
        <v>0</v>
      </c>
    </row>
    <row r="58" spans="1:14" x14ac:dyDescent="0.25">
      <c r="A58" s="102"/>
      <c r="B58" s="324">
        <v>44015</v>
      </c>
      <c r="C58" s="326">
        <v>20548.68</v>
      </c>
      <c r="D58" s="46" t="s">
        <v>307</v>
      </c>
      <c r="E58" s="90"/>
      <c r="F58" s="119"/>
      <c r="H58" s="90"/>
      <c r="I58" s="119"/>
      <c r="J58" s="323"/>
      <c r="K58" s="316"/>
      <c r="L58" s="66"/>
      <c r="M58" s="97">
        <v>0</v>
      </c>
      <c r="N58" s="97">
        <v>0</v>
      </c>
    </row>
    <row r="59" spans="1:14" x14ac:dyDescent="0.25">
      <c r="A59" s="102"/>
      <c r="B59" s="324">
        <v>44019</v>
      </c>
      <c r="C59" s="327">
        <v>18086.080000000002</v>
      </c>
      <c r="D59" s="46" t="s">
        <v>41</v>
      </c>
      <c r="E59" s="90"/>
      <c r="F59" s="119"/>
      <c r="H59" s="90"/>
      <c r="I59" s="119"/>
      <c r="J59" s="323"/>
      <c r="K59" s="316"/>
      <c r="L59" s="66"/>
      <c r="M59" s="97">
        <v>0</v>
      </c>
      <c r="N59" s="97">
        <v>0</v>
      </c>
    </row>
    <row r="60" spans="1:14" x14ac:dyDescent="0.25">
      <c r="A60" s="102"/>
      <c r="B60" s="324">
        <v>44022</v>
      </c>
      <c r="C60" s="326">
        <v>20753.509999999998</v>
      </c>
      <c r="D60" s="46" t="s">
        <v>308</v>
      </c>
      <c r="E60" s="90"/>
      <c r="F60" s="119"/>
      <c r="H60" s="328"/>
      <c r="I60" s="91"/>
      <c r="J60" s="323"/>
      <c r="K60" s="316"/>
      <c r="L60" s="66"/>
      <c r="M60" s="97">
        <v>0</v>
      </c>
      <c r="N60" s="97">
        <v>0</v>
      </c>
    </row>
    <row r="61" spans="1:14" ht="17.25" x14ac:dyDescent="0.3">
      <c r="A61" s="102"/>
      <c r="B61" s="324">
        <v>44004</v>
      </c>
      <c r="C61" s="317">
        <v>25135.38</v>
      </c>
      <c r="D61" s="46" t="s">
        <v>309</v>
      </c>
      <c r="E61" s="90"/>
      <c r="F61" s="119"/>
      <c r="H61" s="328"/>
      <c r="I61" s="329"/>
      <c r="J61" s="323"/>
      <c r="K61" s="316"/>
      <c r="L61" s="66"/>
      <c r="M61" s="97">
        <v>0</v>
      </c>
      <c r="N61" s="97">
        <v>0</v>
      </c>
    </row>
    <row r="62" spans="1:14" ht="17.25" x14ac:dyDescent="0.3">
      <c r="A62" s="330"/>
      <c r="B62" s="324">
        <v>44006</v>
      </c>
      <c r="C62" s="317">
        <v>41675.78</v>
      </c>
      <c r="D62" s="46" t="s">
        <v>310</v>
      </c>
      <c r="E62" s="90"/>
      <c r="F62" s="119"/>
      <c r="H62" s="331"/>
      <c r="I62" s="329"/>
      <c r="J62" s="323"/>
      <c r="K62" s="316"/>
      <c r="L62" s="66"/>
      <c r="M62" s="332"/>
      <c r="N62" s="332"/>
    </row>
    <row r="63" spans="1:14" ht="17.25" x14ac:dyDescent="0.3">
      <c r="A63" s="102"/>
      <c r="B63" s="324">
        <v>44012</v>
      </c>
      <c r="C63" s="317">
        <v>50865.279999999999</v>
      </c>
      <c r="D63" s="46" t="s">
        <v>309</v>
      </c>
      <c r="E63" s="90"/>
      <c r="F63" s="119"/>
      <c r="H63" s="331"/>
      <c r="I63" s="333"/>
      <c r="J63" s="323"/>
      <c r="K63" s="316"/>
      <c r="L63" s="66"/>
      <c r="M63" s="332"/>
      <c r="N63" s="332"/>
    </row>
    <row r="64" spans="1:14" ht="17.25" x14ac:dyDescent="0.3">
      <c r="A64" s="102"/>
      <c r="B64" s="324"/>
      <c r="C64" s="317"/>
      <c r="D64" s="46"/>
      <c r="E64" s="90"/>
      <c r="F64" s="119"/>
      <c r="H64" s="331"/>
      <c r="I64" s="333"/>
      <c r="J64" s="323"/>
      <c r="K64" s="316"/>
      <c r="L64" s="66"/>
      <c r="M64" s="332"/>
      <c r="N64" s="332"/>
    </row>
    <row r="65" spans="1:14" ht="15.75" thickBot="1" x14ac:dyDescent="0.3">
      <c r="A65" s="102"/>
      <c r="B65" s="324"/>
      <c r="C65" s="334"/>
      <c r="D65" s="46"/>
      <c r="E65" s="90"/>
      <c r="F65" s="119"/>
      <c r="H65" s="90"/>
      <c r="I65" s="119"/>
      <c r="J65" s="323"/>
      <c r="K65" s="316"/>
      <c r="L65" s="66"/>
      <c r="M65" s="99">
        <v>0</v>
      </c>
      <c r="N65" s="99">
        <v>0</v>
      </c>
    </row>
    <row r="66" spans="1:14" ht="16.5" thickBot="1" x14ac:dyDescent="0.3">
      <c r="B66" s="335" t="s">
        <v>51</v>
      </c>
      <c r="C66" s="336">
        <f>SUM(C5:C65)</f>
        <v>544634.79000000015</v>
      </c>
      <c r="D66" s="114"/>
      <c r="E66" s="237" t="s">
        <v>51</v>
      </c>
      <c r="F66" s="238">
        <f>SUM(F5:F45)</f>
        <v>3275271</v>
      </c>
      <c r="G66" s="114"/>
      <c r="H66" s="117" t="s">
        <v>245</v>
      </c>
      <c r="I66" s="118">
        <f>SUM(I5:I65)</f>
        <v>134356.81</v>
      </c>
      <c r="J66" s="265"/>
      <c r="K66" s="120" t="s">
        <v>246</v>
      </c>
      <c r="L66" s="121">
        <f>SUM(L6:L65)</f>
        <v>260149.24999999997</v>
      </c>
      <c r="M66" s="126">
        <f>SUM(M5:M65)</f>
        <v>2807407</v>
      </c>
      <c r="N66" s="126">
        <f>SUM(N5:N65)</f>
        <v>138100</v>
      </c>
    </row>
    <row r="67" spans="1:14" ht="16.5" thickTop="1" thickBot="1" x14ac:dyDescent="0.3">
      <c r="C67" s="5" t="s">
        <v>10</v>
      </c>
    </row>
    <row r="68" spans="1:14" ht="19.5" thickBot="1" x14ac:dyDescent="0.3">
      <c r="A68" s="65"/>
      <c r="B68" s="122"/>
      <c r="C68" s="4"/>
      <c r="H68" s="362" t="s">
        <v>52</v>
      </c>
      <c r="I68" s="363"/>
      <c r="J68" s="266"/>
      <c r="K68" s="364">
        <f>I66+L66</f>
        <v>394506.05999999994</v>
      </c>
      <c r="L68" s="365"/>
      <c r="M68" s="360">
        <f>M66+N66</f>
        <v>2945507</v>
      </c>
      <c r="N68" s="361"/>
    </row>
    <row r="69" spans="1:14" ht="15.75" x14ac:dyDescent="0.25">
      <c r="D69" s="367" t="s">
        <v>53</v>
      </c>
      <c r="E69" s="367"/>
      <c r="F69" s="124">
        <f>F66-K68-C66</f>
        <v>2336130.15</v>
      </c>
      <c r="I69" s="125"/>
      <c r="J69" s="267"/>
    </row>
    <row r="70" spans="1:14" ht="18.75" x14ac:dyDescent="0.3">
      <c r="D70" s="368" t="s">
        <v>54</v>
      </c>
      <c r="E70" s="368"/>
      <c r="F70" s="126">
        <v>-2046393.89</v>
      </c>
      <c r="I70" s="369" t="s">
        <v>55</v>
      </c>
      <c r="J70" s="370"/>
      <c r="K70" s="371">
        <f>F75</f>
        <v>528592.64000000001</v>
      </c>
      <c r="L70" s="372"/>
    </row>
    <row r="71" spans="1:14" ht="19.5" thickBot="1" x14ac:dyDescent="0.35">
      <c r="D71" s="127"/>
      <c r="E71" s="128"/>
      <c r="F71" s="129">
        <v>0</v>
      </c>
      <c r="I71" s="130"/>
      <c r="J71" s="268"/>
      <c r="K71" s="131"/>
      <c r="L71" s="131"/>
    </row>
    <row r="72" spans="1:14" ht="19.5" thickTop="1" x14ac:dyDescent="0.3">
      <c r="C72" s="13" t="s">
        <v>10</v>
      </c>
      <c r="E72" s="65" t="s">
        <v>56</v>
      </c>
      <c r="F72" s="126">
        <f>SUM(F69:F71)</f>
        <v>289736.26</v>
      </c>
      <c r="H72" s="23"/>
      <c r="I72" s="132" t="s">
        <v>57</v>
      </c>
      <c r="J72" s="269"/>
      <c r="K72" s="373">
        <f>-C4</f>
        <v>-258902.98</v>
      </c>
      <c r="L72" s="374"/>
      <c r="M72" s="134"/>
    </row>
    <row r="73" spans="1:14" ht="16.5" thickBot="1" x14ac:dyDescent="0.3">
      <c r="D73" s="135" t="s">
        <v>58</v>
      </c>
      <c r="E73" s="65" t="s">
        <v>59</v>
      </c>
      <c r="F73" s="136">
        <v>9148</v>
      </c>
    </row>
    <row r="74" spans="1:14" ht="20.25" thickTop="1" thickBot="1" x14ac:dyDescent="0.35">
      <c r="C74" s="137">
        <v>44026</v>
      </c>
      <c r="D74" s="375" t="s">
        <v>60</v>
      </c>
      <c r="E74" s="376"/>
      <c r="F74" s="138">
        <v>229708.38</v>
      </c>
      <c r="I74" s="377" t="s">
        <v>61</v>
      </c>
      <c r="J74" s="378"/>
      <c r="K74" s="379">
        <f>K70+K72</f>
        <v>269689.66000000003</v>
      </c>
      <c r="L74" s="380"/>
    </row>
    <row r="75" spans="1:14" ht="18.75" x14ac:dyDescent="0.3">
      <c r="C75" s="139"/>
      <c r="D75" s="140"/>
      <c r="E75" s="141" t="s">
        <v>62</v>
      </c>
      <c r="F75" s="142">
        <f>F72+F73+F74</f>
        <v>528592.64000000001</v>
      </c>
      <c r="J75" s="270"/>
      <c r="M75" s="143"/>
    </row>
    <row r="77" spans="1:14" x14ac:dyDescent="0.25">
      <c r="B77"/>
      <c r="C77"/>
      <c r="D77" s="366"/>
      <c r="E77" s="366"/>
      <c r="M77" s="144"/>
      <c r="N77" s="65"/>
    </row>
    <row r="78" spans="1:14" x14ac:dyDescent="0.25">
      <c r="B78"/>
      <c r="C78"/>
      <c r="M78" s="144"/>
      <c r="N78" s="65"/>
    </row>
    <row r="79" spans="1:14" x14ac:dyDescent="0.25">
      <c r="B79"/>
      <c r="C79"/>
      <c r="N79" s="65"/>
    </row>
    <row r="80" spans="1:14" x14ac:dyDescent="0.25">
      <c r="B80"/>
      <c r="C80"/>
      <c r="F80"/>
      <c r="I80"/>
      <c r="J80" s="271"/>
      <c r="L80" s="273"/>
      <c r="M80"/>
      <c r="N80" s="65"/>
    </row>
    <row r="81" spans="2:14" x14ac:dyDescent="0.25">
      <c r="B81"/>
      <c r="C81"/>
      <c r="F81" s="145"/>
      <c r="L81" s="273"/>
      <c r="N81" s="65"/>
    </row>
    <row r="82" spans="2:14" x14ac:dyDescent="0.25">
      <c r="F82" s="91"/>
      <c r="L82" s="273"/>
      <c r="M82" s="4"/>
      <c r="N82" s="65"/>
    </row>
    <row r="83" spans="2:14" x14ac:dyDescent="0.25">
      <c r="F83" s="91"/>
      <c r="L83" s="232"/>
      <c r="M83" s="4"/>
      <c r="N83" s="65"/>
    </row>
    <row r="84" spans="2:14" x14ac:dyDescent="0.25">
      <c r="F84" s="91"/>
      <c r="L84" s="273"/>
      <c r="M84" s="4"/>
      <c r="N84" s="65"/>
    </row>
    <row r="85" spans="2:14" x14ac:dyDescent="0.25">
      <c r="F85" s="91"/>
      <c r="L85" s="273"/>
      <c r="M85" s="4"/>
      <c r="N85" s="65"/>
    </row>
    <row r="86" spans="2:14" x14ac:dyDescent="0.25">
      <c r="F86" s="91"/>
      <c r="L86" s="273"/>
      <c r="M86" s="4"/>
    </row>
    <row r="87" spans="2:14" x14ac:dyDescent="0.25">
      <c r="F87" s="91"/>
      <c r="L87" s="273"/>
      <c r="M87" s="4"/>
    </row>
    <row r="88" spans="2:14" x14ac:dyDescent="0.25">
      <c r="F88" s="91"/>
      <c r="L88" s="46"/>
      <c r="M88" s="4"/>
    </row>
    <row r="89" spans="2:14" x14ac:dyDescent="0.25">
      <c r="F89" s="91"/>
      <c r="L89" s="273"/>
      <c r="M89" s="4"/>
    </row>
    <row r="90" spans="2:14" x14ac:dyDescent="0.25">
      <c r="F90" s="91"/>
      <c r="L90" s="337"/>
      <c r="M90" s="4"/>
    </row>
    <row r="91" spans="2:14" x14ac:dyDescent="0.25">
      <c r="F91" s="145"/>
      <c r="M91" s="4"/>
    </row>
    <row r="92" spans="2:14" x14ac:dyDescent="0.25">
      <c r="M92" s="4"/>
    </row>
    <row r="93" spans="2:14" x14ac:dyDescent="0.25">
      <c r="M93" s="4"/>
    </row>
    <row r="94" spans="2:14" x14ac:dyDescent="0.25">
      <c r="M94" s="4"/>
    </row>
    <row r="95" spans="2:14" x14ac:dyDescent="0.25">
      <c r="M95" s="4"/>
    </row>
    <row r="96" spans="2:14" x14ac:dyDescent="0.25">
      <c r="M96" s="4"/>
    </row>
    <row r="97" spans="13:13" x14ac:dyDescent="0.25">
      <c r="M97" s="4"/>
    </row>
    <row r="98" spans="13:13" x14ac:dyDescent="0.25">
      <c r="M98" s="4"/>
    </row>
    <row r="99" spans="13:13" x14ac:dyDescent="0.25">
      <c r="M99" s="4"/>
    </row>
    <row r="100" spans="13:13" x14ac:dyDescent="0.25">
      <c r="M100" s="4"/>
    </row>
    <row r="101" spans="13:13" x14ac:dyDescent="0.25">
      <c r="M101" s="4"/>
    </row>
    <row r="102" spans="13:13" x14ac:dyDescent="0.25">
      <c r="M102" s="4"/>
    </row>
    <row r="103" spans="13:13" x14ac:dyDescent="0.25">
      <c r="M103" s="4"/>
    </row>
    <row r="104" spans="13:13" x14ac:dyDescent="0.25">
      <c r="M104" s="4"/>
    </row>
  </sheetData>
  <mergeCells count="17">
    <mergeCell ref="C1:K1"/>
    <mergeCell ref="B3:C3"/>
    <mergeCell ref="H3:I3"/>
    <mergeCell ref="E4:F4"/>
    <mergeCell ref="H4:I4"/>
    <mergeCell ref="D74:E74"/>
    <mergeCell ref="I74:J74"/>
    <mergeCell ref="K74:L74"/>
    <mergeCell ref="D77:E77"/>
    <mergeCell ref="M68:N68"/>
    <mergeCell ref="D69:E69"/>
    <mergeCell ref="D70:E70"/>
    <mergeCell ref="I70:J70"/>
    <mergeCell ref="K70:L70"/>
    <mergeCell ref="K72:L72"/>
    <mergeCell ref="H68:I68"/>
    <mergeCell ref="K68:L68"/>
  </mergeCells>
  <pageMargins left="0.27559055118110237" right="0.15748031496062992" top="0.35433070866141736" bottom="0.35433070866141736" header="0.31496062992125984" footer="0.31496062992125984"/>
  <pageSetup scale="73" orientation="landscape" horizontalDpi="0" verticalDpi="0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F8C43-3063-40CF-B1A8-B94EC49ED489}">
  <sheetPr>
    <tabColor rgb="FFFFFF00"/>
  </sheetPr>
  <dimension ref="A1:F89"/>
  <sheetViews>
    <sheetView workbookViewId="0">
      <selection activeCell="K17" sqref="K16:K17"/>
    </sheetView>
  </sheetViews>
  <sheetFormatPr baseColWidth="10" defaultRowHeight="15" x14ac:dyDescent="0.25"/>
  <cols>
    <col min="1" max="1" width="13.42578125" style="65" bestFit="1" customWidth="1"/>
    <col min="2" max="2" width="12.85546875" bestFit="1" customWidth="1"/>
    <col min="3" max="3" width="15.85546875" style="13" bestFit="1" customWidth="1"/>
    <col min="4" max="4" width="12.42578125" bestFit="1" customWidth="1"/>
    <col min="5" max="5" width="15.140625" style="13" bestFit="1" customWidth="1"/>
    <col min="6" max="6" width="19.5703125" style="13" bestFit="1" customWidth="1"/>
  </cols>
  <sheetData>
    <row r="1" spans="1:6" ht="36.75" customHeight="1" x14ac:dyDescent="0.35">
      <c r="B1" s="146" t="s">
        <v>177</v>
      </c>
      <c r="C1" s="147"/>
      <c r="D1" s="148"/>
      <c r="E1" s="147"/>
      <c r="F1" s="149"/>
    </row>
    <row r="2" spans="1:6" ht="16.5" thickBot="1" x14ac:dyDescent="0.3">
      <c r="A2" s="150" t="s">
        <v>64</v>
      </c>
      <c r="B2" s="150" t="s">
        <v>65</v>
      </c>
      <c r="C2" s="151" t="s">
        <v>66</v>
      </c>
      <c r="D2" s="150" t="s">
        <v>67</v>
      </c>
      <c r="E2" s="151" t="s">
        <v>68</v>
      </c>
      <c r="F2" s="151" t="s">
        <v>66</v>
      </c>
    </row>
    <row r="3" spans="1:6" x14ac:dyDescent="0.25">
      <c r="A3" s="156">
        <v>43986</v>
      </c>
      <c r="B3" s="157">
        <v>17378</v>
      </c>
      <c r="C3" s="97">
        <v>28849.86</v>
      </c>
      <c r="D3" s="154"/>
      <c r="E3" s="56"/>
      <c r="F3" s="155">
        <f>C3-E3</f>
        <v>28849.86</v>
      </c>
    </row>
    <row r="4" spans="1:6" x14ac:dyDescent="0.25">
      <c r="A4" s="156">
        <v>43986</v>
      </c>
      <c r="B4" s="157">
        <v>17457</v>
      </c>
      <c r="C4" s="97">
        <v>85417.1</v>
      </c>
      <c r="D4" s="158"/>
      <c r="E4" s="97"/>
      <c r="F4" s="155">
        <f>F3+C4-E4</f>
        <v>114266.96</v>
      </c>
    </row>
    <row r="5" spans="1:6" x14ac:dyDescent="0.25">
      <c r="A5" s="158">
        <v>43986</v>
      </c>
      <c r="B5" s="157">
        <v>17458</v>
      </c>
      <c r="C5" s="97">
        <v>445</v>
      </c>
      <c r="D5" s="158">
        <v>43987</v>
      </c>
      <c r="E5" s="97">
        <v>114711.96</v>
      </c>
      <c r="F5" s="155">
        <f t="shared" ref="F5:F52" si="0">F4+C5-E5</f>
        <v>0</v>
      </c>
    </row>
    <row r="6" spans="1:6" x14ac:dyDescent="0.25">
      <c r="A6" s="158">
        <v>43987</v>
      </c>
      <c r="B6" s="157">
        <v>17514</v>
      </c>
      <c r="C6" s="97">
        <v>971.95</v>
      </c>
      <c r="D6" s="158"/>
      <c r="E6" s="97"/>
      <c r="F6" s="155">
        <f t="shared" si="0"/>
        <v>971.95</v>
      </c>
    </row>
    <row r="7" spans="1:6" x14ac:dyDescent="0.25">
      <c r="A7" s="158">
        <v>43987</v>
      </c>
      <c r="B7" s="157">
        <v>17587</v>
      </c>
      <c r="C7" s="97">
        <v>1839</v>
      </c>
      <c r="D7" s="158"/>
      <c r="E7" s="97"/>
      <c r="F7" s="155">
        <f t="shared" si="0"/>
        <v>2810.95</v>
      </c>
    </row>
    <row r="8" spans="1:6" x14ac:dyDescent="0.25">
      <c r="A8" s="158">
        <v>43988</v>
      </c>
      <c r="B8" s="157">
        <v>17702</v>
      </c>
      <c r="C8" s="97">
        <v>61426.15</v>
      </c>
      <c r="D8" s="158"/>
      <c r="E8" s="97"/>
      <c r="F8" s="155">
        <f t="shared" si="0"/>
        <v>64237.1</v>
      </c>
    </row>
    <row r="9" spans="1:6" x14ac:dyDescent="0.25">
      <c r="A9" s="158">
        <v>43988</v>
      </c>
      <c r="B9" s="157">
        <v>17718</v>
      </c>
      <c r="C9" s="97">
        <v>8660.4</v>
      </c>
      <c r="D9" s="158"/>
      <c r="E9" s="97"/>
      <c r="F9" s="155">
        <f t="shared" si="0"/>
        <v>72897.5</v>
      </c>
    </row>
    <row r="10" spans="1:6" x14ac:dyDescent="0.25">
      <c r="A10" s="158">
        <v>43988</v>
      </c>
      <c r="B10" s="157">
        <v>17725</v>
      </c>
      <c r="C10" s="97">
        <v>48913.2</v>
      </c>
      <c r="D10" s="158"/>
      <c r="E10" s="97"/>
      <c r="F10" s="155">
        <f t="shared" si="0"/>
        <v>121810.7</v>
      </c>
    </row>
    <row r="11" spans="1:6" x14ac:dyDescent="0.25">
      <c r="A11" s="156">
        <v>43991</v>
      </c>
      <c r="B11" s="157">
        <v>18039</v>
      </c>
      <c r="C11" s="97">
        <v>87558.8</v>
      </c>
      <c r="D11" s="158"/>
      <c r="E11" s="97"/>
      <c r="F11" s="155">
        <f t="shared" si="0"/>
        <v>209369.5</v>
      </c>
    </row>
    <row r="12" spans="1:6" x14ac:dyDescent="0.25">
      <c r="A12" s="158">
        <v>43991</v>
      </c>
      <c r="B12" s="157">
        <v>18040</v>
      </c>
      <c r="C12" s="97">
        <v>28949.32</v>
      </c>
      <c r="D12" s="158"/>
      <c r="E12" s="97"/>
      <c r="F12" s="155">
        <f t="shared" si="0"/>
        <v>238318.82</v>
      </c>
    </row>
    <row r="13" spans="1:6" x14ac:dyDescent="0.25">
      <c r="A13" s="158">
        <v>43992</v>
      </c>
      <c r="B13" s="157">
        <v>18144</v>
      </c>
      <c r="C13" s="97">
        <v>640</v>
      </c>
      <c r="D13" s="158">
        <v>43998</v>
      </c>
      <c r="E13" s="97">
        <v>238958.82</v>
      </c>
      <c r="F13" s="155">
        <f t="shared" si="0"/>
        <v>0</v>
      </c>
    </row>
    <row r="14" spans="1:6" x14ac:dyDescent="0.25">
      <c r="A14" s="158">
        <v>43993</v>
      </c>
      <c r="B14" s="157">
        <v>18176</v>
      </c>
      <c r="C14" s="97">
        <v>47703.4</v>
      </c>
      <c r="D14" s="158"/>
      <c r="E14" s="97"/>
      <c r="F14" s="155">
        <f t="shared" si="0"/>
        <v>47703.4</v>
      </c>
    </row>
    <row r="15" spans="1:6" x14ac:dyDescent="0.25">
      <c r="A15" s="158">
        <v>43994</v>
      </c>
      <c r="B15" s="157">
        <v>18421</v>
      </c>
      <c r="C15" s="97">
        <v>56510.8</v>
      </c>
      <c r="D15" s="158"/>
      <c r="E15" s="97"/>
      <c r="F15" s="155">
        <f t="shared" si="0"/>
        <v>104214.20000000001</v>
      </c>
    </row>
    <row r="16" spans="1:6" x14ac:dyDescent="0.25">
      <c r="A16" s="158">
        <v>43995</v>
      </c>
      <c r="B16" s="157">
        <v>18539</v>
      </c>
      <c r="C16" s="97">
        <v>51466.7</v>
      </c>
      <c r="D16" s="158"/>
      <c r="E16" s="97"/>
      <c r="F16" s="155">
        <f t="shared" si="0"/>
        <v>155680.90000000002</v>
      </c>
    </row>
    <row r="17" spans="1:6" x14ac:dyDescent="0.25">
      <c r="A17" s="158">
        <v>43997</v>
      </c>
      <c r="B17" s="157">
        <v>18620</v>
      </c>
      <c r="C17" s="97">
        <v>40253.699999999997</v>
      </c>
      <c r="D17" s="158"/>
      <c r="E17" s="97"/>
      <c r="F17" s="155">
        <f t="shared" si="0"/>
        <v>195934.60000000003</v>
      </c>
    </row>
    <row r="18" spans="1:6" x14ac:dyDescent="0.25">
      <c r="A18" s="158">
        <v>43998</v>
      </c>
      <c r="B18" s="157">
        <v>18854</v>
      </c>
      <c r="C18" s="97">
        <v>51598.7</v>
      </c>
      <c r="D18" s="158"/>
      <c r="E18" s="97"/>
      <c r="F18" s="155">
        <f t="shared" si="0"/>
        <v>247533.30000000005</v>
      </c>
    </row>
    <row r="19" spans="1:6" x14ac:dyDescent="0.25">
      <c r="A19" s="158">
        <v>44000</v>
      </c>
      <c r="B19" s="157">
        <v>18990</v>
      </c>
      <c r="C19" s="97">
        <v>68060.2</v>
      </c>
      <c r="D19" s="158"/>
      <c r="E19" s="97"/>
      <c r="F19" s="155">
        <f t="shared" si="0"/>
        <v>315593.50000000006</v>
      </c>
    </row>
    <row r="20" spans="1:6" x14ac:dyDescent="0.25">
      <c r="A20" s="158">
        <v>44000</v>
      </c>
      <c r="B20" s="157">
        <v>19037</v>
      </c>
      <c r="C20" s="97">
        <v>8960.4</v>
      </c>
      <c r="D20" s="158"/>
      <c r="E20" s="97"/>
      <c r="F20" s="155">
        <f t="shared" si="0"/>
        <v>324553.90000000008</v>
      </c>
    </row>
    <row r="21" spans="1:6" x14ac:dyDescent="0.25">
      <c r="A21" s="158">
        <v>44001</v>
      </c>
      <c r="B21" s="157">
        <v>19137</v>
      </c>
      <c r="C21" s="97">
        <v>43781.88</v>
      </c>
      <c r="D21" s="158"/>
      <c r="E21" s="97"/>
      <c r="F21" s="155">
        <f t="shared" si="0"/>
        <v>368335.78000000009</v>
      </c>
    </row>
    <row r="22" spans="1:6" x14ac:dyDescent="0.25">
      <c r="A22" s="158">
        <v>44001</v>
      </c>
      <c r="B22" s="157">
        <v>19141</v>
      </c>
      <c r="C22" s="97">
        <v>4339.2</v>
      </c>
      <c r="D22" s="158">
        <v>44002</v>
      </c>
      <c r="E22" s="97">
        <v>372674.98</v>
      </c>
      <c r="F22" s="155">
        <f t="shared" si="0"/>
        <v>0</v>
      </c>
    </row>
    <row r="23" spans="1:6" x14ac:dyDescent="0.25">
      <c r="A23" s="158">
        <v>44001</v>
      </c>
      <c r="B23" s="157">
        <v>19221</v>
      </c>
      <c r="C23" s="97">
        <v>15091.8</v>
      </c>
      <c r="D23" s="158"/>
      <c r="E23" s="97"/>
      <c r="F23" s="155">
        <f t="shared" si="0"/>
        <v>15091.8</v>
      </c>
    </row>
    <row r="24" spans="1:6" x14ac:dyDescent="0.25">
      <c r="A24" s="158">
        <v>44002</v>
      </c>
      <c r="B24" s="157">
        <v>19267</v>
      </c>
      <c r="C24" s="97">
        <v>109081.68</v>
      </c>
      <c r="D24" s="158"/>
      <c r="E24" s="97"/>
      <c r="F24" s="155">
        <f t="shared" si="0"/>
        <v>124173.48</v>
      </c>
    </row>
    <row r="25" spans="1:6" x14ac:dyDescent="0.25">
      <c r="A25" s="158">
        <v>44002</v>
      </c>
      <c r="B25" s="157">
        <v>19269</v>
      </c>
      <c r="C25" s="97">
        <v>21909.599999999999</v>
      </c>
      <c r="D25" s="158"/>
      <c r="E25" s="97"/>
      <c r="F25" s="155">
        <f t="shared" si="0"/>
        <v>146083.07999999999</v>
      </c>
    </row>
    <row r="26" spans="1:6" x14ac:dyDescent="0.25">
      <c r="A26" s="158">
        <v>44002</v>
      </c>
      <c r="B26" s="157">
        <v>19375</v>
      </c>
      <c r="C26" s="97">
        <v>50248.2</v>
      </c>
      <c r="D26" s="158"/>
      <c r="E26" s="97"/>
      <c r="F26" s="155">
        <f t="shared" si="0"/>
        <v>196331.27999999997</v>
      </c>
    </row>
    <row r="27" spans="1:6" x14ac:dyDescent="0.25">
      <c r="A27" s="158">
        <v>44005</v>
      </c>
      <c r="B27" s="157">
        <v>19711</v>
      </c>
      <c r="C27" s="97">
        <v>31477.4</v>
      </c>
      <c r="D27" s="158"/>
      <c r="E27" s="97"/>
      <c r="F27" s="155">
        <f t="shared" si="0"/>
        <v>227808.67999999996</v>
      </c>
    </row>
    <row r="28" spans="1:6" x14ac:dyDescent="0.25">
      <c r="A28" s="156">
        <v>44006</v>
      </c>
      <c r="B28" s="157">
        <v>19786</v>
      </c>
      <c r="C28" s="97">
        <v>55823.4</v>
      </c>
      <c r="D28" s="158"/>
      <c r="E28" s="97"/>
      <c r="F28" s="155">
        <f t="shared" si="0"/>
        <v>283632.07999999996</v>
      </c>
    </row>
    <row r="29" spans="1:6" x14ac:dyDescent="0.25">
      <c r="A29" s="156">
        <v>44007</v>
      </c>
      <c r="B29" s="157">
        <v>19841</v>
      </c>
      <c r="C29" s="97">
        <v>57456.2</v>
      </c>
      <c r="D29" s="158"/>
      <c r="E29" s="97"/>
      <c r="F29" s="155">
        <f t="shared" si="0"/>
        <v>341088.27999999997</v>
      </c>
    </row>
    <row r="30" spans="1:6" x14ac:dyDescent="0.25">
      <c r="A30" s="156">
        <v>44007</v>
      </c>
      <c r="B30" s="157">
        <v>19892</v>
      </c>
      <c r="C30" s="97">
        <v>8515</v>
      </c>
      <c r="D30" s="158"/>
      <c r="E30" s="97"/>
      <c r="F30" s="155">
        <f t="shared" si="0"/>
        <v>349603.27999999997</v>
      </c>
    </row>
    <row r="31" spans="1:6" x14ac:dyDescent="0.25">
      <c r="A31" s="156">
        <v>44008</v>
      </c>
      <c r="B31" s="157">
        <v>20017</v>
      </c>
      <c r="C31" s="97">
        <v>2835</v>
      </c>
      <c r="D31" s="158">
        <v>44009</v>
      </c>
      <c r="E31" s="97">
        <v>352438.28</v>
      </c>
      <c r="F31" s="155">
        <f t="shared" si="0"/>
        <v>0</v>
      </c>
    </row>
    <row r="32" spans="1:6" x14ac:dyDescent="0.25">
      <c r="A32" s="156">
        <v>44009</v>
      </c>
      <c r="B32" s="157">
        <v>20128</v>
      </c>
      <c r="C32" s="97">
        <v>64865.599999999999</v>
      </c>
      <c r="D32" s="158"/>
      <c r="E32" s="97"/>
      <c r="F32" s="155">
        <f t="shared" si="0"/>
        <v>64865.599999999999</v>
      </c>
    </row>
    <row r="33" spans="1:6" x14ac:dyDescent="0.25">
      <c r="A33" s="156">
        <v>44009</v>
      </c>
      <c r="B33" s="157">
        <v>20167</v>
      </c>
      <c r="C33" s="97">
        <v>45689.8</v>
      </c>
      <c r="D33" s="158"/>
      <c r="E33" s="97"/>
      <c r="F33" s="155">
        <f t="shared" si="0"/>
        <v>110555.4</v>
      </c>
    </row>
    <row r="34" spans="1:6" x14ac:dyDescent="0.25">
      <c r="A34" s="156">
        <v>44010</v>
      </c>
      <c r="B34" s="157">
        <v>20268</v>
      </c>
      <c r="C34" s="97">
        <v>856</v>
      </c>
      <c r="D34" s="158"/>
      <c r="E34" s="97"/>
      <c r="F34" s="155">
        <f t="shared" si="0"/>
        <v>111411.4</v>
      </c>
    </row>
    <row r="35" spans="1:6" x14ac:dyDescent="0.25">
      <c r="A35" s="156">
        <v>44010</v>
      </c>
      <c r="B35" s="157">
        <v>20275</v>
      </c>
      <c r="C35" s="97">
        <v>62299.3</v>
      </c>
      <c r="D35" s="158"/>
      <c r="E35" s="97"/>
      <c r="F35" s="155">
        <f t="shared" si="0"/>
        <v>173710.7</v>
      </c>
    </row>
    <row r="36" spans="1:6" x14ac:dyDescent="0.25">
      <c r="A36" s="156">
        <v>44012</v>
      </c>
      <c r="B36" s="157">
        <v>20435</v>
      </c>
      <c r="C36" s="97">
        <v>52181.99</v>
      </c>
      <c r="D36" s="158">
        <v>44013</v>
      </c>
      <c r="E36" s="97">
        <v>225892.69</v>
      </c>
      <c r="F36" s="155">
        <f t="shared" si="0"/>
        <v>0</v>
      </c>
    </row>
    <row r="37" spans="1:6" x14ac:dyDescent="0.25">
      <c r="A37" s="156">
        <v>44014</v>
      </c>
      <c r="B37" s="157">
        <v>20748</v>
      </c>
      <c r="C37" s="97">
        <v>98374.46</v>
      </c>
      <c r="D37" s="158"/>
      <c r="E37" s="97"/>
      <c r="F37" s="155">
        <f t="shared" si="0"/>
        <v>98374.46</v>
      </c>
    </row>
    <row r="38" spans="1:6" x14ac:dyDescent="0.25">
      <c r="A38" s="156">
        <v>44015</v>
      </c>
      <c r="B38" s="157">
        <v>20924</v>
      </c>
      <c r="C38" s="97">
        <v>117708.8</v>
      </c>
      <c r="D38" s="158"/>
      <c r="E38" s="97"/>
      <c r="F38" s="155">
        <f t="shared" si="0"/>
        <v>216083.26</v>
      </c>
    </row>
    <row r="39" spans="1:6" x14ac:dyDescent="0.25">
      <c r="A39" s="156">
        <v>44016</v>
      </c>
      <c r="B39" s="157">
        <v>21028</v>
      </c>
      <c r="C39" s="97">
        <v>7143.5</v>
      </c>
      <c r="D39" s="158"/>
      <c r="E39" s="97"/>
      <c r="F39" s="155">
        <f t="shared" si="0"/>
        <v>223226.76</v>
      </c>
    </row>
    <row r="40" spans="1:6" x14ac:dyDescent="0.25">
      <c r="A40" s="156">
        <v>44017</v>
      </c>
      <c r="B40" s="157">
        <v>21111</v>
      </c>
      <c r="C40" s="97">
        <v>58593.1</v>
      </c>
      <c r="D40" s="158"/>
      <c r="E40" s="97"/>
      <c r="F40" s="155">
        <f t="shared" si="0"/>
        <v>281819.86</v>
      </c>
    </row>
    <row r="41" spans="1:6" x14ac:dyDescent="0.25">
      <c r="A41" s="156">
        <v>44018</v>
      </c>
      <c r="B41" s="157">
        <v>21153</v>
      </c>
      <c r="C41" s="97">
        <v>2093</v>
      </c>
      <c r="D41" s="158">
        <v>44019</v>
      </c>
      <c r="E41" s="97">
        <v>283912.86</v>
      </c>
      <c r="F41" s="155">
        <f t="shared" si="0"/>
        <v>0</v>
      </c>
    </row>
    <row r="42" spans="1:6" x14ac:dyDescent="0.25">
      <c r="A42" s="156">
        <v>44019</v>
      </c>
      <c r="B42" s="276">
        <v>21280</v>
      </c>
      <c r="C42" s="338">
        <v>83504.08</v>
      </c>
      <c r="D42" s="158"/>
      <c r="E42" s="97"/>
      <c r="F42" s="155">
        <f t="shared" si="0"/>
        <v>83504.08</v>
      </c>
    </row>
    <row r="43" spans="1:6" x14ac:dyDescent="0.25">
      <c r="A43" s="156">
        <v>44020</v>
      </c>
      <c r="B43" s="276">
        <v>21407</v>
      </c>
      <c r="C43" s="338">
        <v>78252.399999999994</v>
      </c>
      <c r="D43" s="158"/>
      <c r="E43" s="97"/>
      <c r="F43" s="155">
        <f t="shared" si="0"/>
        <v>161756.47999999998</v>
      </c>
    </row>
    <row r="44" spans="1:6" x14ac:dyDescent="0.25">
      <c r="A44" s="156">
        <v>44021</v>
      </c>
      <c r="B44" s="276">
        <v>21580</v>
      </c>
      <c r="C44" s="338">
        <v>82036.7</v>
      </c>
      <c r="D44" s="158"/>
      <c r="E44" s="97"/>
      <c r="F44" s="155">
        <f>F43+C44-E44</f>
        <v>243793.18</v>
      </c>
    </row>
    <row r="45" spans="1:6" x14ac:dyDescent="0.25">
      <c r="A45" s="156">
        <v>44022</v>
      </c>
      <c r="B45" s="276">
        <v>21673</v>
      </c>
      <c r="C45" s="338">
        <v>2840</v>
      </c>
      <c r="D45" s="158"/>
      <c r="E45" s="97"/>
      <c r="F45" s="155">
        <f>F44+C45-E45</f>
        <v>246633.18</v>
      </c>
    </row>
    <row r="46" spans="1:6" x14ac:dyDescent="0.25">
      <c r="A46" s="156">
        <v>44023</v>
      </c>
      <c r="B46" s="276">
        <v>21786</v>
      </c>
      <c r="C46" s="338">
        <v>93406.42</v>
      </c>
      <c r="D46" s="158"/>
      <c r="E46" s="97"/>
      <c r="F46" s="155">
        <f t="shared" si="0"/>
        <v>340039.6</v>
      </c>
    </row>
    <row r="47" spans="1:6" x14ac:dyDescent="0.25">
      <c r="A47" s="156">
        <v>44023</v>
      </c>
      <c r="B47" s="276">
        <v>21789</v>
      </c>
      <c r="C47" s="338">
        <v>8207.5</v>
      </c>
      <c r="D47" s="158"/>
      <c r="E47" s="97"/>
      <c r="F47" s="155">
        <f t="shared" si="0"/>
        <v>348247.1</v>
      </c>
    </row>
    <row r="48" spans="1:6" x14ac:dyDescent="0.25">
      <c r="A48" s="156">
        <v>44024</v>
      </c>
      <c r="B48" s="276">
        <v>21894</v>
      </c>
      <c r="C48" s="338">
        <v>1512.5</v>
      </c>
      <c r="D48" s="158"/>
      <c r="E48" s="97"/>
      <c r="F48" s="155">
        <f t="shared" si="0"/>
        <v>349759.6</v>
      </c>
    </row>
    <row r="49" spans="1:6" x14ac:dyDescent="0.25">
      <c r="A49" s="156">
        <v>44024</v>
      </c>
      <c r="B49" s="276">
        <v>21932</v>
      </c>
      <c r="C49" s="338">
        <v>58770.6</v>
      </c>
      <c r="D49" s="158"/>
      <c r="E49" s="97"/>
      <c r="F49" s="155">
        <f t="shared" si="0"/>
        <v>408530.19999999995</v>
      </c>
    </row>
    <row r="50" spans="1:6" x14ac:dyDescent="0.25">
      <c r="A50" s="156">
        <v>44026</v>
      </c>
      <c r="B50" s="276">
        <v>22120</v>
      </c>
      <c r="C50" s="338">
        <v>42102.9</v>
      </c>
      <c r="D50" s="154"/>
      <c r="E50" s="91"/>
      <c r="F50" s="155">
        <f t="shared" si="0"/>
        <v>450633.1</v>
      </c>
    </row>
    <row r="51" spans="1:6" x14ac:dyDescent="0.25">
      <c r="A51" s="156">
        <v>44026</v>
      </c>
      <c r="B51" s="276">
        <v>22134</v>
      </c>
      <c r="C51" s="338">
        <v>7171.2</v>
      </c>
      <c r="D51" s="154"/>
      <c r="E51" s="91"/>
      <c r="F51" s="155">
        <f t="shared" si="0"/>
        <v>457804.3</v>
      </c>
    </row>
    <row r="52" spans="1:6" ht="15.75" thickBot="1" x14ac:dyDescent="0.3">
      <c r="A52" s="159"/>
      <c r="B52" s="339"/>
      <c r="C52" s="340">
        <v>0</v>
      </c>
      <c r="D52" s="162"/>
      <c r="E52" s="161"/>
      <c r="F52" s="155">
        <f t="shared" si="0"/>
        <v>457804.3</v>
      </c>
    </row>
    <row r="53" spans="1:6" ht="19.5" thickTop="1" x14ac:dyDescent="0.3">
      <c r="B53" s="65"/>
      <c r="C53" s="4">
        <f>SUM(C3:C52)</f>
        <v>2046393.8900000001</v>
      </c>
      <c r="D53" s="1"/>
      <c r="E53" s="4">
        <f>SUM(E3:E52)</f>
        <v>1588589.5899999999</v>
      </c>
      <c r="F53" s="163">
        <f>F52</f>
        <v>457804.3</v>
      </c>
    </row>
    <row r="54" spans="1:6" x14ac:dyDescent="0.25">
      <c r="B54" s="65"/>
      <c r="C54" s="4"/>
      <c r="D54" s="1"/>
      <c r="E54" s="5"/>
      <c r="F54" s="4"/>
    </row>
    <row r="55" spans="1:6" x14ac:dyDescent="0.25">
      <c r="B55" s="65"/>
      <c r="C55" s="4"/>
      <c r="D55" s="1"/>
      <c r="E55" s="5"/>
      <c r="F55" s="4"/>
    </row>
    <row r="56" spans="1:6" x14ac:dyDescent="0.25">
      <c r="A56"/>
      <c r="B56" s="23"/>
      <c r="D56" s="23"/>
    </row>
    <row r="57" spans="1:6" x14ac:dyDescent="0.25">
      <c r="A57"/>
      <c r="B57" s="23"/>
      <c r="D57" s="23"/>
    </row>
    <row r="58" spans="1:6" x14ac:dyDescent="0.25">
      <c r="A58"/>
      <c r="B58" s="23"/>
      <c r="D58" s="23"/>
    </row>
    <row r="59" spans="1:6" x14ac:dyDescent="0.25">
      <c r="A59"/>
      <c r="B59" s="23"/>
      <c r="D59" s="23"/>
      <c r="F59"/>
    </row>
    <row r="60" spans="1:6" x14ac:dyDescent="0.25">
      <c r="A60"/>
      <c r="B60" s="23"/>
      <c r="D60" s="23"/>
      <c r="F60"/>
    </row>
    <row r="61" spans="1:6" x14ac:dyDescent="0.25">
      <c r="A61"/>
      <c r="B61" s="23"/>
      <c r="D61" s="23"/>
      <c r="F61"/>
    </row>
    <row r="62" spans="1:6" x14ac:dyDescent="0.25">
      <c r="A62"/>
      <c r="B62" s="23"/>
      <c r="D62" s="23"/>
      <c r="F62"/>
    </row>
    <row r="63" spans="1:6" x14ac:dyDescent="0.25">
      <c r="A63"/>
      <c r="B63" s="23"/>
      <c r="D63" s="23"/>
      <c r="F63"/>
    </row>
    <row r="64" spans="1:6" x14ac:dyDescent="0.25">
      <c r="A64"/>
      <c r="B64" s="23"/>
      <c r="D64" s="23"/>
      <c r="F64"/>
    </row>
    <row r="65" spans="1:6" x14ac:dyDescent="0.25">
      <c r="A65"/>
      <c r="B65" s="23"/>
      <c r="D65" s="23"/>
      <c r="F65"/>
    </row>
    <row r="66" spans="1:6" x14ac:dyDescent="0.25">
      <c r="A66"/>
      <c r="B66" s="23"/>
      <c r="D66" s="23"/>
      <c r="F66"/>
    </row>
    <row r="67" spans="1:6" x14ac:dyDescent="0.25">
      <c r="A67"/>
      <c r="B67" s="23"/>
      <c r="D67" s="23"/>
      <c r="F67"/>
    </row>
    <row r="68" spans="1:6" x14ac:dyDescent="0.25">
      <c r="A68"/>
      <c r="B68" s="23"/>
      <c r="D68" s="23"/>
      <c r="E68"/>
      <c r="F68"/>
    </row>
    <row r="69" spans="1:6" x14ac:dyDescent="0.25">
      <c r="A69"/>
      <c r="B69" s="23"/>
      <c r="D69" s="23"/>
      <c r="E69"/>
      <c r="F69"/>
    </row>
    <row r="70" spans="1:6" x14ac:dyDescent="0.25">
      <c r="A70"/>
      <c r="B70" s="23"/>
      <c r="D70" s="23"/>
      <c r="E70"/>
      <c r="F70"/>
    </row>
    <row r="71" spans="1:6" x14ac:dyDescent="0.25">
      <c r="A71"/>
      <c r="B71" s="23"/>
      <c r="D71" s="23"/>
      <c r="E71"/>
      <c r="F71"/>
    </row>
    <row r="72" spans="1:6" x14ac:dyDescent="0.25">
      <c r="A72"/>
      <c r="B72" s="23"/>
      <c r="D72" s="23"/>
      <c r="E72"/>
      <c r="F72"/>
    </row>
    <row r="73" spans="1:6" x14ac:dyDescent="0.25">
      <c r="A73"/>
      <c r="B73" s="23"/>
      <c r="D73" s="23"/>
      <c r="E73"/>
      <c r="F73"/>
    </row>
    <row r="74" spans="1:6" x14ac:dyDescent="0.25">
      <c r="B74" s="23"/>
      <c r="D74" s="23"/>
      <c r="E74"/>
    </row>
    <row r="75" spans="1:6" x14ac:dyDescent="0.25">
      <c r="B75" s="23"/>
      <c r="D75" s="23"/>
      <c r="E75"/>
    </row>
    <row r="76" spans="1:6" x14ac:dyDescent="0.25">
      <c r="B76" s="23"/>
      <c r="D76" s="23"/>
      <c r="E76"/>
    </row>
    <row r="77" spans="1:6" x14ac:dyDescent="0.25">
      <c r="B77" s="23"/>
      <c r="D77" s="23"/>
      <c r="E77"/>
    </row>
    <row r="78" spans="1:6" x14ac:dyDescent="0.25">
      <c r="B78" s="23"/>
      <c r="D78" s="23"/>
      <c r="E78"/>
    </row>
    <row r="79" spans="1:6" x14ac:dyDescent="0.25">
      <c r="B79" s="23"/>
      <c r="D79" s="23"/>
      <c r="E79"/>
    </row>
    <row r="80" spans="1:6" x14ac:dyDescent="0.25">
      <c r="B80" s="23"/>
      <c r="D80" s="23"/>
      <c r="E80"/>
    </row>
    <row r="81" spans="2:5" x14ac:dyDescent="0.25">
      <c r="B81" s="23"/>
      <c r="D81" s="23"/>
      <c r="E81"/>
    </row>
    <row r="82" spans="2:5" x14ac:dyDescent="0.25">
      <c r="B82" s="23"/>
      <c r="D82" s="23"/>
      <c r="E82"/>
    </row>
    <row r="83" spans="2:5" x14ac:dyDescent="0.25">
      <c r="B83" s="23"/>
    </row>
    <row r="84" spans="2:5" x14ac:dyDescent="0.25">
      <c r="B84" s="23"/>
    </row>
    <row r="85" spans="2:5" x14ac:dyDescent="0.25">
      <c r="B85" s="23"/>
      <c r="D85" s="23"/>
    </row>
    <row r="86" spans="2:5" x14ac:dyDescent="0.25">
      <c r="B86" s="23"/>
    </row>
    <row r="87" spans="2:5" x14ac:dyDescent="0.25">
      <c r="B87" s="23"/>
    </row>
    <row r="88" spans="2:5" x14ac:dyDescent="0.25">
      <c r="B88" s="23"/>
    </row>
    <row r="89" spans="2:5" ht="18.75" x14ac:dyDescent="0.3">
      <c r="C89" s="143"/>
    </row>
  </sheetData>
  <pageMargins left="0.97" right="0.23622047244094491" top="0.35433070866141736" bottom="0.39370078740157483" header="0.31496062992125984" footer="0.31496062992125984"/>
  <pageSetup scale="90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D5630-70AD-431A-BA3C-2A36D5098357}">
  <sheetPr>
    <tabColor rgb="FF92D050"/>
  </sheetPr>
  <dimension ref="A1:O78"/>
  <sheetViews>
    <sheetView tabSelected="1" topLeftCell="A16" workbookViewId="0">
      <selection activeCell="E35" sqref="E35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13" customWidth="1"/>
    <col min="4" max="4" width="15.28515625" customWidth="1"/>
    <col min="6" max="6" width="17.85546875" style="13" customWidth="1"/>
    <col min="7" max="7" width="2.85546875" customWidth="1"/>
    <col min="9" max="9" width="14.140625" style="13" customWidth="1"/>
    <col min="10" max="10" width="11.7109375" style="251" customWidth="1"/>
    <col min="11" max="11" width="17.28515625" customWidth="1"/>
    <col min="12" max="12" width="14.5703125" customWidth="1"/>
    <col min="13" max="13" width="18.140625" style="13" customWidth="1"/>
    <col min="14" max="14" width="14.140625" style="4" customWidth="1"/>
    <col min="15" max="15" width="8.42578125" style="4" customWidth="1"/>
  </cols>
  <sheetData>
    <row r="1" spans="1:15" ht="23.25" x14ac:dyDescent="0.35">
      <c r="C1" s="353" t="s">
        <v>248</v>
      </c>
      <c r="D1" s="353"/>
      <c r="E1" s="353"/>
      <c r="F1" s="353"/>
      <c r="G1" s="353"/>
      <c r="H1" s="353"/>
      <c r="I1" s="353"/>
      <c r="J1" s="353"/>
      <c r="K1" s="353"/>
      <c r="L1" s="2"/>
      <c r="M1" s="3"/>
    </row>
    <row r="2" spans="1:15" ht="15.75" x14ac:dyDescent="0.25">
      <c r="C2" s="5"/>
      <c r="H2" s="284" t="s">
        <v>1</v>
      </c>
      <c r="I2" s="3"/>
      <c r="J2" s="243"/>
      <c r="M2" s="3"/>
      <c r="N2" s="56"/>
      <c r="O2" s="56"/>
    </row>
    <row r="3" spans="1:15" ht="21.75" thickBot="1" x14ac:dyDescent="0.35">
      <c r="B3" s="354" t="s">
        <v>2</v>
      </c>
      <c r="C3" s="355"/>
      <c r="D3" s="12"/>
      <c r="E3" s="285"/>
      <c r="F3" s="285"/>
      <c r="H3" s="383" t="s">
        <v>135</v>
      </c>
      <c r="I3" s="383"/>
      <c r="K3" s="185" t="s">
        <v>3</v>
      </c>
      <c r="L3" s="187" t="s">
        <v>136</v>
      </c>
      <c r="M3" s="187"/>
    </row>
    <row r="4" spans="1:15" ht="20.25" thickTop="1" thickBot="1" x14ac:dyDescent="0.35">
      <c r="A4" s="16" t="s">
        <v>5</v>
      </c>
      <c r="B4" s="17"/>
      <c r="C4" s="245">
        <v>229708.38</v>
      </c>
      <c r="D4" s="246">
        <v>44026</v>
      </c>
      <c r="E4" s="356" t="s">
        <v>6</v>
      </c>
      <c r="F4" s="357"/>
      <c r="H4" s="358" t="s">
        <v>7</v>
      </c>
      <c r="I4" s="359"/>
      <c r="J4" s="247"/>
      <c r="K4" s="20"/>
      <c r="L4" s="20"/>
      <c r="M4" s="21" t="s">
        <v>8</v>
      </c>
      <c r="N4" s="22" t="s">
        <v>9</v>
      </c>
      <c r="O4" s="165"/>
    </row>
    <row r="5" spans="1:15" ht="15.75" thickBot="1" x14ac:dyDescent="0.3">
      <c r="A5" s="23" t="s">
        <v>10</v>
      </c>
      <c r="B5" s="248">
        <v>44027</v>
      </c>
      <c r="C5" s="249">
        <v>4000</v>
      </c>
      <c r="D5" s="250" t="s">
        <v>72</v>
      </c>
      <c r="E5" s="27">
        <v>44027</v>
      </c>
      <c r="F5" s="28">
        <v>74887</v>
      </c>
      <c r="H5" s="29">
        <v>44027</v>
      </c>
      <c r="I5" s="30">
        <v>0</v>
      </c>
      <c r="M5" s="31">
        <v>67037</v>
      </c>
      <c r="N5" s="32">
        <v>3850</v>
      </c>
      <c r="O5" s="91"/>
    </row>
    <row r="6" spans="1:15" ht="16.5" thickBot="1" x14ac:dyDescent="0.3">
      <c r="A6" s="23"/>
      <c r="B6" s="248">
        <v>44028</v>
      </c>
      <c r="C6" s="249">
        <v>9328</v>
      </c>
      <c r="D6" s="252" t="s">
        <v>311</v>
      </c>
      <c r="E6" s="27">
        <v>44028</v>
      </c>
      <c r="F6" s="28">
        <v>121220</v>
      </c>
      <c r="H6" s="29">
        <v>44028</v>
      </c>
      <c r="I6" s="34">
        <v>407</v>
      </c>
      <c r="J6" s="55"/>
      <c r="K6" s="40" t="s">
        <v>13</v>
      </c>
      <c r="L6" s="41">
        <v>0</v>
      </c>
      <c r="M6" s="31">
        <v>111098</v>
      </c>
      <c r="N6" s="32">
        <v>3780</v>
      </c>
      <c r="O6" s="217"/>
    </row>
    <row r="7" spans="1:15" ht="15.75" thickBot="1" x14ac:dyDescent="0.3">
      <c r="A7" s="23"/>
      <c r="B7" s="248">
        <v>44029</v>
      </c>
      <c r="C7" s="249">
        <v>1568</v>
      </c>
      <c r="D7" s="253" t="s">
        <v>18</v>
      </c>
      <c r="E7" s="27">
        <v>44029</v>
      </c>
      <c r="F7" s="28">
        <v>141835</v>
      </c>
      <c r="H7" s="29">
        <v>44029</v>
      </c>
      <c r="I7" s="34">
        <v>12059</v>
      </c>
      <c r="J7" s="254">
        <v>44036</v>
      </c>
      <c r="K7" s="286" t="s">
        <v>15</v>
      </c>
      <c r="L7" s="45">
        <v>26562</v>
      </c>
      <c r="M7" s="31">
        <v>123197</v>
      </c>
      <c r="N7" s="32">
        <v>5011</v>
      </c>
      <c r="O7" s="219"/>
    </row>
    <row r="8" spans="1:15" ht="15.75" thickBot="1" x14ac:dyDescent="0.3">
      <c r="A8" s="23"/>
      <c r="B8" s="248">
        <v>44030</v>
      </c>
      <c r="C8" s="249">
        <v>5660</v>
      </c>
      <c r="D8" s="255" t="s">
        <v>312</v>
      </c>
      <c r="E8" s="27">
        <v>44030</v>
      </c>
      <c r="F8" s="28">
        <v>106369</v>
      </c>
      <c r="H8" s="29">
        <v>44030</v>
      </c>
      <c r="I8" s="34">
        <v>0</v>
      </c>
      <c r="J8" s="341">
        <v>44042</v>
      </c>
      <c r="K8" s="48" t="s">
        <v>313</v>
      </c>
      <c r="L8" s="49">
        <v>20000</v>
      </c>
      <c r="M8" s="31">
        <f>50000+37914.5</f>
        <v>87914.5</v>
      </c>
      <c r="N8" s="32">
        <v>4910</v>
      </c>
      <c r="O8" s="217"/>
    </row>
    <row r="9" spans="1:15" ht="15.75" thickBot="1" x14ac:dyDescent="0.3">
      <c r="A9" s="23"/>
      <c r="B9" s="248">
        <v>44031</v>
      </c>
      <c r="C9" s="249">
        <v>9229</v>
      </c>
      <c r="D9" s="257" t="s">
        <v>314</v>
      </c>
      <c r="E9" s="27">
        <v>44031</v>
      </c>
      <c r="F9" s="28">
        <v>102692</v>
      </c>
      <c r="H9" s="29">
        <v>44031</v>
      </c>
      <c r="I9" s="34">
        <v>0</v>
      </c>
      <c r="J9" s="342"/>
      <c r="K9" s="297"/>
      <c r="L9" s="41">
        <v>0</v>
      </c>
      <c r="M9" s="31">
        <v>90004</v>
      </c>
      <c r="N9" s="32">
        <v>3465</v>
      </c>
      <c r="O9" s="217"/>
    </row>
    <row r="10" spans="1:15" ht="15.75" thickBot="1" x14ac:dyDescent="0.3">
      <c r="A10" s="23"/>
      <c r="B10" s="248">
        <v>44032</v>
      </c>
      <c r="C10" s="249">
        <v>7458</v>
      </c>
      <c r="D10" s="253" t="s">
        <v>315</v>
      </c>
      <c r="E10" s="27">
        <v>44032</v>
      </c>
      <c r="F10" s="28">
        <v>86696</v>
      </c>
      <c r="H10" s="29">
        <v>44032</v>
      </c>
      <c r="I10" s="34">
        <v>0</v>
      </c>
      <c r="J10" s="342"/>
      <c r="K10" s="300"/>
      <c r="L10" s="58"/>
      <c r="M10" s="31">
        <v>77605</v>
      </c>
      <c r="N10" s="32">
        <v>1633</v>
      </c>
      <c r="O10" s="219"/>
    </row>
    <row r="11" spans="1:15" ht="15.75" thickBot="1" x14ac:dyDescent="0.3">
      <c r="A11" s="23"/>
      <c r="B11" s="248">
        <v>44033</v>
      </c>
      <c r="C11" s="249">
        <v>900</v>
      </c>
      <c r="D11" s="252" t="s">
        <v>19</v>
      </c>
      <c r="E11" s="27">
        <v>44033</v>
      </c>
      <c r="F11" s="28">
        <v>58292</v>
      </c>
      <c r="H11" s="29">
        <v>44033</v>
      </c>
      <c r="I11" s="34">
        <v>8</v>
      </c>
      <c r="J11" s="259"/>
      <c r="K11" s="54"/>
      <c r="L11" s="52"/>
      <c r="M11" s="31">
        <v>55051</v>
      </c>
      <c r="N11" s="32">
        <v>1933</v>
      </c>
      <c r="O11" s="217"/>
    </row>
    <row r="12" spans="1:15" ht="15.75" thickBot="1" x14ac:dyDescent="0.3">
      <c r="A12" s="23"/>
      <c r="B12" s="248">
        <v>44034</v>
      </c>
      <c r="C12" s="249">
        <v>10424</v>
      </c>
      <c r="D12" s="252" t="s">
        <v>316</v>
      </c>
      <c r="E12" s="27">
        <v>44034</v>
      </c>
      <c r="F12" s="28">
        <v>80051</v>
      </c>
      <c r="H12" s="29">
        <v>44034</v>
      </c>
      <c r="I12" s="34">
        <v>4703</v>
      </c>
      <c r="J12" s="55">
        <v>44030</v>
      </c>
      <c r="K12" s="48" t="s">
        <v>317</v>
      </c>
      <c r="L12" s="52">
        <f>11723.25+4571</f>
        <v>16294.25</v>
      </c>
      <c r="M12" s="31">
        <v>63129</v>
      </c>
      <c r="N12" s="32">
        <v>1795</v>
      </c>
      <c r="O12" s="220"/>
    </row>
    <row r="13" spans="1:15" ht="15.75" thickBot="1" x14ac:dyDescent="0.3">
      <c r="A13" s="23"/>
      <c r="B13" s="248">
        <v>44035</v>
      </c>
      <c r="C13" s="249">
        <v>4897</v>
      </c>
      <c r="D13" s="255" t="s">
        <v>283</v>
      </c>
      <c r="E13" s="27">
        <v>44035</v>
      </c>
      <c r="F13" s="28">
        <v>100131</v>
      </c>
      <c r="H13" s="29">
        <v>44035</v>
      </c>
      <c r="I13" s="34">
        <v>0</v>
      </c>
      <c r="J13" s="55">
        <v>44033</v>
      </c>
      <c r="K13" s="48" t="s">
        <v>317</v>
      </c>
      <c r="L13" s="52">
        <v>400</v>
      </c>
      <c r="M13" s="31">
        <f>81785+10209</f>
        <v>91994</v>
      </c>
      <c r="N13" s="32">
        <v>3510</v>
      </c>
      <c r="O13" s="217"/>
    </row>
    <row r="14" spans="1:15" ht="15.75" thickBot="1" x14ac:dyDescent="0.3">
      <c r="A14" s="23"/>
      <c r="B14" s="248">
        <v>44036</v>
      </c>
      <c r="C14" s="249">
        <v>3330</v>
      </c>
      <c r="D14" s="253" t="s">
        <v>318</v>
      </c>
      <c r="E14" s="27">
        <v>44036</v>
      </c>
      <c r="F14" s="28">
        <v>104283</v>
      </c>
      <c r="H14" s="29">
        <v>44036</v>
      </c>
      <c r="I14" s="34">
        <v>10059</v>
      </c>
      <c r="J14" s="55">
        <v>44037</v>
      </c>
      <c r="K14" s="48" t="s">
        <v>319</v>
      </c>
      <c r="L14" s="52">
        <f>13738.08+4000+400</f>
        <v>18138.080000000002</v>
      </c>
      <c r="M14" s="31">
        <v>84797</v>
      </c>
      <c r="N14" s="32">
        <v>6097</v>
      </c>
      <c r="O14" s="217"/>
    </row>
    <row r="15" spans="1:15" ht="15.75" thickBot="1" x14ac:dyDescent="0.3">
      <c r="A15" s="23"/>
      <c r="B15" s="248">
        <v>44037</v>
      </c>
      <c r="C15" s="249">
        <v>6355</v>
      </c>
      <c r="D15" s="252" t="s">
        <v>284</v>
      </c>
      <c r="E15" s="27">
        <v>44037</v>
      </c>
      <c r="F15" s="28">
        <v>107667</v>
      </c>
      <c r="H15" s="29">
        <v>44037</v>
      </c>
      <c r="I15" s="34">
        <v>50</v>
      </c>
      <c r="J15" s="55">
        <v>44044</v>
      </c>
      <c r="K15" s="48" t="s">
        <v>320</v>
      </c>
      <c r="L15" s="52">
        <f>10938.87+400+4571</f>
        <v>15909.87</v>
      </c>
      <c r="M15" s="31">
        <v>86609</v>
      </c>
      <c r="N15" s="32">
        <v>4353</v>
      </c>
      <c r="O15" s="343" t="s">
        <v>189</v>
      </c>
    </row>
    <row r="16" spans="1:15" ht="15.75" thickBot="1" x14ac:dyDescent="0.3">
      <c r="A16" s="23"/>
      <c r="B16" s="248">
        <v>44038</v>
      </c>
      <c r="C16" s="249">
        <v>3547</v>
      </c>
      <c r="D16" s="252" t="s">
        <v>321</v>
      </c>
      <c r="E16" s="27">
        <v>44038</v>
      </c>
      <c r="F16" s="28">
        <v>82478</v>
      </c>
      <c r="H16" s="29">
        <v>44038</v>
      </c>
      <c r="I16" s="34">
        <v>533</v>
      </c>
      <c r="J16" s="55"/>
      <c r="K16" s="48" t="s">
        <v>28</v>
      </c>
      <c r="L16" s="56">
        <v>0</v>
      </c>
      <c r="M16" s="31">
        <v>73187</v>
      </c>
      <c r="N16" s="32">
        <v>5211</v>
      </c>
      <c r="O16" s="343" t="s">
        <v>189</v>
      </c>
    </row>
    <row r="17" spans="1:15" ht="15.75" thickBot="1" x14ac:dyDescent="0.3">
      <c r="A17" s="23"/>
      <c r="B17" s="248">
        <v>44039</v>
      </c>
      <c r="C17" s="249">
        <v>2617</v>
      </c>
      <c r="D17" s="255" t="s">
        <v>322</v>
      </c>
      <c r="E17" s="27">
        <v>44039</v>
      </c>
      <c r="F17" s="28">
        <v>85099</v>
      </c>
      <c r="H17" s="29">
        <v>44039</v>
      </c>
      <c r="I17" s="34">
        <v>500</v>
      </c>
      <c r="J17" s="57"/>
      <c r="K17" s="48"/>
      <c r="L17" s="58">
        <v>0</v>
      </c>
      <c r="M17" s="31">
        <v>80663</v>
      </c>
      <c r="N17" s="32">
        <v>3412</v>
      </c>
      <c r="O17" s="217"/>
    </row>
    <row r="18" spans="1:15" ht="15.75" thickBot="1" x14ac:dyDescent="0.3">
      <c r="A18" s="23"/>
      <c r="B18" s="248">
        <v>44040</v>
      </c>
      <c r="C18" s="249">
        <v>2054</v>
      </c>
      <c r="D18" s="252" t="s">
        <v>323</v>
      </c>
      <c r="E18" s="27">
        <v>44040</v>
      </c>
      <c r="F18" s="28">
        <v>62584</v>
      </c>
      <c r="H18" s="29">
        <v>44040</v>
      </c>
      <c r="I18" s="34">
        <v>539</v>
      </c>
      <c r="J18" s="57"/>
      <c r="K18" s="59"/>
      <c r="L18" s="52"/>
      <c r="M18" s="31">
        <v>61179</v>
      </c>
      <c r="N18" s="32">
        <v>2016</v>
      </c>
      <c r="O18" s="217"/>
    </row>
    <row r="19" spans="1:15" ht="15.75" thickBot="1" x14ac:dyDescent="0.3">
      <c r="A19" s="23"/>
      <c r="B19" s="248">
        <v>44041</v>
      </c>
      <c r="C19" s="249">
        <v>4880</v>
      </c>
      <c r="D19" s="252" t="s">
        <v>324</v>
      </c>
      <c r="E19" s="27">
        <v>44041</v>
      </c>
      <c r="F19" s="28">
        <v>89999</v>
      </c>
      <c r="H19" s="29">
        <v>44041</v>
      </c>
      <c r="I19" s="34">
        <v>500</v>
      </c>
      <c r="J19" s="57"/>
      <c r="K19" s="59"/>
      <c r="L19" s="61"/>
      <c r="M19" s="31">
        <f>73120+8699</f>
        <v>81819</v>
      </c>
      <c r="N19" s="32">
        <v>2800</v>
      </c>
      <c r="O19" s="217"/>
    </row>
    <row r="20" spans="1:15" ht="15.75" thickBot="1" x14ac:dyDescent="0.3">
      <c r="A20" s="23"/>
      <c r="B20" s="248">
        <v>44042</v>
      </c>
      <c r="C20" s="249">
        <v>1335</v>
      </c>
      <c r="D20" s="252" t="s">
        <v>19</v>
      </c>
      <c r="E20" s="27">
        <v>44042</v>
      </c>
      <c r="F20" s="28">
        <v>69890</v>
      </c>
      <c r="H20" s="29">
        <v>44042</v>
      </c>
      <c r="I20" s="34">
        <v>642</v>
      </c>
      <c r="J20" s="55"/>
      <c r="K20" s="62"/>
      <c r="L20" s="58" t="s">
        <v>10</v>
      </c>
      <c r="M20" s="31">
        <v>44374</v>
      </c>
      <c r="N20" s="32">
        <v>3539</v>
      </c>
      <c r="O20" s="217"/>
    </row>
    <row r="21" spans="1:15" ht="16.5" thickBot="1" x14ac:dyDescent="0.3">
      <c r="A21" s="23"/>
      <c r="B21" s="248">
        <v>44043</v>
      </c>
      <c r="C21" s="249">
        <v>14020</v>
      </c>
      <c r="D21" s="252" t="s">
        <v>325</v>
      </c>
      <c r="E21" s="27">
        <v>44043</v>
      </c>
      <c r="F21" s="28">
        <v>125869</v>
      </c>
      <c r="H21" s="29">
        <v>44043</v>
      </c>
      <c r="I21" s="34">
        <v>12480</v>
      </c>
      <c r="J21" s="57"/>
      <c r="K21" s="63"/>
      <c r="L21" s="58"/>
      <c r="M21" s="344">
        <v>94434</v>
      </c>
      <c r="N21" s="32">
        <v>4935</v>
      </c>
      <c r="O21" s="204" t="s">
        <v>326</v>
      </c>
    </row>
    <row r="22" spans="1:15" ht="15.75" thickBot="1" x14ac:dyDescent="0.3">
      <c r="A22" s="23"/>
      <c r="B22" s="248">
        <v>44044</v>
      </c>
      <c r="C22" s="249">
        <v>22319</v>
      </c>
      <c r="D22" s="252" t="s">
        <v>327</v>
      </c>
      <c r="E22" s="27">
        <v>44044</v>
      </c>
      <c r="F22" s="28">
        <v>115253</v>
      </c>
      <c r="H22" s="29">
        <v>44044</v>
      </c>
      <c r="I22" s="34">
        <v>250</v>
      </c>
      <c r="J22" s="64"/>
      <c r="K22" s="65"/>
      <c r="L22" s="66"/>
      <c r="M22" s="31">
        <v>76649</v>
      </c>
      <c r="N22" s="32">
        <v>7528</v>
      </c>
      <c r="O22" s="217"/>
    </row>
    <row r="23" spans="1:15" ht="15.75" thickBot="1" x14ac:dyDescent="0.3">
      <c r="A23" s="23"/>
      <c r="B23" s="248">
        <v>44045</v>
      </c>
      <c r="C23" s="249">
        <v>0</v>
      </c>
      <c r="D23" s="252"/>
      <c r="E23" s="27">
        <v>44045</v>
      </c>
      <c r="F23" s="28">
        <v>99735</v>
      </c>
      <c r="H23" s="29">
        <v>44045</v>
      </c>
      <c r="I23" s="34">
        <v>0</v>
      </c>
      <c r="J23" s="221"/>
      <c r="K23" s="222"/>
      <c r="L23" s="223"/>
      <c r="M23" s="31">
        <v>97101</v>
      </c>
      <c r="N23" s="32">
        <v>2634</v>
      </c>
      <c r="O23" s="204"/>
    </row>
    <row r="24" spans="1:15" ht="15.75" thickBot="1" x14ac:dyDescent="0.3">
      <c r="A24" s="23"/>
      <c r="B24" s="248">
        <v>44046</v>
      </c>
      <c r="C24" s="249">
        <v>4715</v>
      </c>
      <c r="D24" s="252" t="s">
        <v>328</v>
      </c>
      <c r="E24" s="27">
        <v>44046</v>
      </c>
      <c r="F24" s="28">
        <v>71104</v>
      </c>
      <c r="H24" s="29">
        <v>44046</v>
      </c>
      <c r="I24" s="34">
        <v>0</v>
      </c>
      <c r="J24" s="224" t="s">
        <v>329</v>
      </c>
      <c r="K24" s="228" t="s">
        <v>330</v>
      </c>
      <c r="L24" s="345">
        <v>9345</v>
      </c>
      <c r="M24" s="31">
        <v>63173</v>
      </c>
      <c r="N24" s="32">
        <v>3216</v>
      </c>
      <c r="O24" s="217"/>
    </row>
    <row r="25" spans="1:15" ht="15.75" thickBot="1" x14ac:dyDescent="0.3">
      <c r="A25" s="23"/>
      <c r="B25" s="248">
        <v>44047</v>
      </c>
      <c r="C25" s="249">
        <v>8623</v>
      </c>
      <c r="D25" s="252" t="s">
        <v>331</v>
      </c>
      <c r="E25" s="27">
        <v>44047</v>
      </c>
      <c r="F25" s="28">
        <v>80334</v>
      </c>
      <c r="H25" s="29">
        <v>44047</v>
      </c>
      <c r="I25" s="34">
        <v>234</v>
      </c>
      <c r="J25" s="346" t="s">
        <v>329</v>
      </c>
      <c r="K25" s="86" t="s">
        <v>243</v>
      </c>
      <c r="L25" s="178">
        <v>1700.75</v>
      </c>
      <c r="M25" s="31">
        <v>69551</v>
      </c>
      <c r="N25" s="32">
        <v>1926</v>
      </c>
      <c r="O25" s="217"/>
    </row>
    <row r="26" spans="1:15" ht="15.75" thickBot="1" x14ac:dyDescent="0.3">
      <c r="A26" s="23"/>
      <c r="B26" s="248">
        <v>44048</v>
      </c>
      <c r="C26" s="249">
        <v>891</v>
      </c>
      <c r="D26" s="252" t="s">
        <v>19</v>
      </c>
      <c r="E26" s="27">
        <v>44048</v>
      </c>
      <c r="F26" s="28">
        <v>75554</v>
      </c>
      <c r="H26" s="29">
        <v>44048</v>
      </c>
      <c r="I26" s="34">
        <v>2159</v>
      </c>
      <c r="J26" s="55" t="s">
        <v>329</v>
      </c>
      <c r="K26" s="228" t="s">
        <v>46</v>
      </c>
      <c r="L26" s="223">
        <v>1315.8630000000001</v>
      </c>
      <c r="M26" s="31">
        <v>70780</v>
      </c>
      <c r="N26" s="32">
        <v>1724</v>
      </c>
      <c r="O26" s="217"/>
    </row>
    <row r="27" spans="1:15" ht="15.75" thickBot="1" x14ac:dyDescent="0.3">
      <c r="A27" s="23"/>
      <c r="B27" s="248"/>
      <c r="C27" s="249"/>
      <c r="D27" s="252"/>
      <c r="E27" s="27"/>
      <c r="F27" s="28"/>
      <c r="H27" s="29"/>
      <c r="I27" s="34"/>
      <c r="J27" s="176" t="s">
        <v>329</v>
      </c>
      <c r="K27" s="96" t="s">
        <v>243</v>
      </c>
      <c r="L27" s="178">
        <v>198.99</v>
      </c>
      <c r="M27" s="31">
        <v>0</v>
      </c>
      <c r="N27" s="32">
        <v>0</v>
      </c>
      <c r="O27" s="217"/>
    </row>
    <row r="28" spans="1:15" ht="15.75" thickBot="1" x14ac:dyDescent="0.3">
      <c r="A28" s="23"/>
      <c r="B28" s="248"/>
      <c r="C28" s="249"/>
      <c r="D28" s="260"/>
      <c r="E28" s="27"/>
      <c r="F28" s="28"/>
      <c r="H28" s="29"/>
      <c r="I28" s="34"/>
      <c r="J28" s="176" t="s">
        <v>329</v>
      </c>
      <c r="K28" s="230" t="s">
        <v>239</v>
      </c>
      <c r="L28" s="178">
        <v>22382.69</v>
      </c>
      <c r="M28" s="31">
        <v>0</v>
      </c>
      <c r="N28" s="32">
        <v>0</v>
      </c>
      <c r="O28" s="217"/>
    </row>
    <row r="29" spans="1:15" ht="16.5" thickBot="1" x14ac:dyDescent="0.3">
      <c r="A29" s="23"/>
      <c r="B29" s="248">
        <v>44028</v>
      </c>
      <c r="C29" s="249">
        <v>12095.08</v>
      </c>
      <c r="D29" s="347" t="s">
        <v>332</v>
      </c>
      <c r="E29" s="27"/>
      <c r="F29" s="28"/>
      <c r="H29" s="29" t="s">
        <v>172</v>
      </c>
      <c r="I29" s="34"/>
      <c r="J29" s="176" t="s">
        <v>329</v>
      </c>
      <c r="K29" s="231" t="s">
        <v>244</v>
      </c>
      <c r="L29" s="178">
        <v>3087.29</v>
      </c>
      <c r="M29" s="31">
        <v>0</v>
      </c>
      <c r="N29" s="32">
        <v>0</v>
      </c>
      <c r="O29" s="217"/>
    </row>
    <row r="30" spans="1:15" ht="16.5" thickBot="1" x14ac:dyDescent="0.3">
      <c r="A30" s="23"/>
      <c r="B30" s="248">
        <v>44030</v>
      </c>
      <c r="C30" s="249">
        <v>10086.85</v>
      </c>
      <c r="D30" s="347" t="s">
        <v>334</v>
      </c>
      <c r="E30" s="27"/>
      <c r="F30" s="28"/>
      <c r="H30" s="29"/>
      <c r="I30" s="199"/>
      <c r="J30" s="176" t="s">
        <v>329</v>
      </c>
      <c r="K30" s="231" t="s">
        <v>313</v>
      </c>
      <c r="L30" s="232">
        <v>5800</v>
      </c>
      <c r="M30" s="31">
        <v>0</v>
      </c>
      <c r="N30" s="32">
        <v>0</v>
      </c>
      <c r="O30" s="217"/>
    </row>
    <row r="31" spans="1:15" ht="16.5" thickBot="1" x14ac:dyDescent="0.3">
      <c r="A31" s="23"/>
      <c r="B31" s="248">
        <v>44032</v>
      </c>
      <c r="C31" s="262">
        <v>14947.36</v>
      </c>
      <c r="D31" s="347" t="s">
        <v>332</v>
      </c>
      <c r="E31" s="27" t="s">
        <v>172</v>
      </c>
      <c r="F31" s="28"/>
      <c r="H31" s="29"/>
      <c r="I31" s="199"/>
      <c r="J31" s="176"/>
      <c r="K31" s="86"/>
      <c r="L31" s="178"/>
      <c r="M31" s="31">
        <v>0</v>
      </c>
      <c r="N31" s="32">
        <v>0</v>
      </c>
      <c r="O31" s="217"/>
    </row>
    <row r="32" spans="1:15" ht="16.5" thickBot="1" x14ac:dyDescent="0.3">
      <c r="A32" s="23"/>
      <c r="B32" s="248">
        <v>44033</v>
      </c>
      <c r="C32" s="262">
        <v>10299.66</v>
      </c>
      <c r="D32" s="348" t="s">
        <v>333</v>
      </c>
      <c r="E32" s="27"/>
      <c r="F32" s="202"/>
      <c r="H32" s="29"/>
      <c r="I32" s="199"/>
      <c r="J32" s="176"/>
      <c r="K32" s="96"/>
      <c r="L32" s="178"/>
      <c r="M32" s="31">
        <v>0</v>
      </c>
      <c r="N32" s="32">
        <v>0</v>
      </c>
      <c r="O32" s="217"/>
    </row>
    <row r="33" spans="1:15" ht="16.5" thickBot="1" x14ac:dyDescent="0.3">
      <c r="A33" s="23"/>
      <c r="B33" s="248">
        <v>44035</v>
      </c>
      <c r="C33" s="262">
        <v>17215.71</v>
      </c>
      <c r="D33" s="348" t="s">
        <v>333</v>
      </c>
      <c r="E33" s="27"/>
      <c r="F33" s="97"/>
      <c r="H33" s="29"/>
      <c r="I33" s="199"/>
      <c r="J33" s="176"/>
      <c r="K33" s="349"/>
      <c r="L33" s="178"/>
      <c r="M33" s="31">
        <v>0</v>
      </c>
      <c r="N33" s="32">
        <v>0</v>
      </c>
      <c r="O33" s="217"/>
    </row>
    <row r="34" spans="1:15" ht="16.5" thickBot="1" x14ac:dyDescent="0.3">
      <c r="A34" s="23"/>
      <c r="B34" s="248">
        <v>44039</v>
      </c>
      <c r="C34" s="262">
        <v>19600.849999999999</v>
      </c>
      <c r="D34" s="348" t="s">
        <v>333</v>
      </c>
      <c r="E34" s="27"/>
      <c r="F34" s="97"/>
      <c r="H34" s="29"/>
      <c r="I34" s="199"/>
      <c r="J34" s="176"/>
      <c r="K34" s="86"/>
      <c r="L34" s="178"/>
      <c r="M34" s="31">
        <v>0</v>
      </c>
      <c r="N34" s="32">
        <v>0</v>
      </c>
      <c r="O34" s="217"/>
    </row>
    <row r="35" spans="1:15" ht="16.5" thickBot="1" x14ac:dyDescent="0.3">
      <c r="A35" s="23"/>
      <c r="B35" s="248">
        <v>44042</v>
      </c>
      <c r="C35" s="262">
        <v>9804.11</v>
      </c>
      <c r="D35" s="348" t="s">
        <v>333</v>
      </c>
      <c r="E35" s="27"/>
      <c r="F35" s="97"/>
      <c r="H35" s="29"/>
      <c r="I35" s="199"/>
      <c r="J35" s="176"/>
      <c r="K35" s="96"/>
      <c r="L35" s="233"/>
      <c r="M35" s="31">
        <v>0</v>
      </c>
      <c r="N35" s="32">
        <v>0</v>
      </c>
      <c r="O35" s="217"/>
    </row>
    <row r="36" spans="1:15" ht="16.5" thickBot="1" x14ac:dyDescent="0.3">
      <c r="A36" s="23"/>
      <c r="B36" s="248">
        <v>44043</v>
      </c>
      <c r="C36" s="262">
        <v>11968.59</v>
      </c>
      <c r="D36" s="348" t="s">
        <v>333</v>
      </c>
      <c r="E36" s="27"/>
      <c r="F36" s="97"/>
      <c r="H36" s="29"/>
      <c r="I36" s="199"/>
      <c r="J36" s="176"/>
      <c r="K36" s="86"/>
      <c r="L36" s="178"/>
      <c r="M36" s="31">
        <v>0</v>
      </c>
      <c r="N36" s="32">
        <v>0</v>
      </c>
      <c r="O36" s="217"/>
    </row>
    <row r="37" spans="1:15" ht="16.5" thickBot="1" x14ac:dyDescent="0.3">
      <c r="A37" s="23"/>
      <c r="B37" s="248">
        <v>44047</v>
      </c>
      <c r="C37" s="262">
        <v>14203.02</v>
      </c>
      <c r="D37" s="348" t="s">
        <v>333</v>
      </c>
      <c r="E37" s="27"/>
      <c r="F37" s="97"/>
      <c r="H37" s="29"/>
      <c r="I37" s="199"/>
      <c r="J37" s="176"/>
      <c r="K37" s="86"/>
      <c r="L37" s="178"/>
      <c r="M37" s="31">
        <v>0</v>
      </c>
      <c r="N37" s="32">
        <v>0</v>
      </c>
      <c r="O37" s="217"/>
    </row>
    <row r="38" spans="1:15" ht="16.5" thickBot="1" x14ac:dyDescent="0.3">
      <c r="A38" s="23"/>
      <c r="B38" s="248">
        <v>44048</v>
      </c>
      <c r="C38" s="306">
        <v>4690</v>
      </c>
      <c r="D38" s="348" t="s">
        <v>333</v>
      </c>
      <c r="E38" s="27"/>
      <c r="F38" s="97"/>
      <c r="H38" s="29"/>
      <c r="I38" s="199"/>
      <c r="J38" s="176"/>
      <c r="K38" s="109"/>
      <c r="L38" s="235"/>
      <c r="M38" s="31">
        <v>0</v>
      </c>
      <c r="N38" s="32">
        <v>0</v>
      </c>
      <c r="O38" s="217"/>
    </row>
    <row r="39" spans="1:15" ht="16.5" thickBot="1" x14ac:dyDescent="0.3">
      <c r="A39" s="102"/>
      <c r="B39" s="248"/>
      <c r="C39" s="310"/>
      <c r="D39" s="350"/>
      <c r="E39" s="171"/>
      <c r="F39" s="351"/>
      <c r="G39" s="313"/>
      <c r="H39" s="90"/>
      <c r="I39" s="307"/>
      <c r="J39" s="85"/>
      <c r="K39" s="213"/>
      <c r="L39" s="66"/>
      <c r="M39" s="31">
        <v>0</v>
      </c>
      <c r="N39" s="32">
        <v>0</v>
      </c>
      <c r="O39" s="236"/>
    </row>
    <row r="40" spans="1:15" ht="16.5" thickBot="1" x14ac:dyDescent="0.3">
      <c r="B40" s="335" t="s">
        <v>51</v>
      </c>
      <c r="C40" s="336">
        <f>SUM(C5:C39)</f>
        <v>253061.22999999998</v>
      </c>
      <c r="D40" s="114"/>
      <c r="E40" s="237" t="s">
        <v>51</v>
      </c>
      <c r="F40" s="238">
        <f>SUM(F5:F39)</f>
        <v>2042022</v>
      </c>
      <c r="G40" s="114"/>
      <c r="H40" s="117" t="s">
        <v>245</v>
      </c>
      <c r="I40" s="118">
        <f>SUM(I5:I39)</f>
        <v>45123</v>
      </c>
      <c r="J40" s="265"/>
      <c r="K40" s="120" t="s">
        <v>246</v>
      </c>
      <c r="L40" s="121">
        <f>SUM(L6:L39)</f>
        <v>141134.783</v>
      </c>
      <c r="M40" s="126">
        <f>SUM(M5:M39)</f>
        <v>1751345.5</v>
      </c>
      <c r="N40" s="126">
        <f>SUM(N5:N39)</f>
        <v>79278</v>
      </c>
      <c r="O40" s="239"/>
    </row>
    <row r="41" spans="1:15" ht="20.25" thickTop="1" thickBot="1" x14ac:dyDescent="0.3">
      <c r="C41" s="5" t="s">
        <v>10</v>
      </c>
      <c r="O41" s="240"/>
    </row>
    <row r="42" spans="1:15" ht="19.5" thickBot="1" x14ac:dyDescent="0.3">
      <c r="A42" s="65"/>
      <c r="B42" s="122"/>
      <c r="C42" s="4"/>
      <c r="H42" s="362" t="s">
        <v>52</v>
      </c>
      <c r="I42" s="363"/>
      <c r="J42" s="266"/>
      <c r="K42" s="364">
        <f>I40+L40</f>
        <v>186257.783</v>
      </c>
      <c r="L42" s="365"/>
      <c r="M42" s="360">
        <f>M40+N40</f>
        <v>1830623.5</v>
      </c>
      <c r="N42" s="361"/>
    </row>
    <row r="43" spans="1:15" ht="15.75" x14ac:dyDescent="0.25">
      <c r="D43" s="367" t="s">
        <v>53</v>
      </c>
      <c r="E43" s="367"/>
      <c r="F43" s="124">
        <f>F40-K42-C40</f>
        <v>1602702.987</v>
      </c>
      <c r="I43" s="125"/>
      <c r="J43" s="267"/>
    </row>
    <row r="44" spans="1:15" ht="18.75" x14ac:dyDescent="0.3">
      <c r="D44" s="368" t="s">
        <v>54</v>
      </c>
      <c r="E44" s="368"/>
      <c r="F44" s="126">
        <v>-1500498.43</v>
      </c>
      <c r="I44" s="369" t="s">
        <v>55</v>
      </c>
      <c r="J44" s="370"/>
      <c r="K44" s="371">
        <f>F49</f>
        <v>370904.37700000004</v>
      </c>
      <c r="L44" s="372"/>
    </row>
    <row r="45" spans="1:15" ht="19.5" thickBot="1" x14ac:dyDescent="0.35">
      <c r="D45" s="127"/>
      <c r="E45" s="128"/>
      <c r="F45" s="129">
        <v>0</v>
      </c>
      <c r="I45" s="130"/>
      <c r="J45" s="268"/>
      <c r="K45" s="131"/>
      <c r="L45" s="131"/>
    </row>
    <row r="46" spans="1:15" ht="19.5" thickTop="1" x14ac:dyDescent="0.3">
      <c r="C46" s="13" t="s">
        <v>10</v>
      </c>
      <c r="E46" s="65" t="s">
        <v>56</v>
      </c>
      <c r="F46" s="126">
        <f>SUM(F43:F45)</f>
        <v>102204.55700000003</v>
      </c>
      <c r="H46" s="23"/>
      <c r="I46" s="132" t="s">
        <v>57</v>
      </c>
      <c r="J46" s="269"/>
      <c r="K46" s="373">
        <f>-C4</f>
        <v>-229708.38</v>
      </c>
      <c r="L46" s="374"/>
      <c r="M46" s="134"/>
    </row>
    <row r="47" spans="1:15" ht="16.5" thickBot="1" x14ac:dyDescent="0.3">
      <c r="D47" s="135" t="s">
        <v>58</v>
      </c>
      <c r="E47" s="65" t="s">
        <v>59</v>
      </c>
      <c r="F47" s="136">
        <v>12321</v>
      </c>
    </row>
    <row r="48" spans="1:15" ht="20.25" thickTop="1" thickBot="1" x14ac:dyDescent="0.35">
      <c r="C48" s="137">
        <v>44048</v>
      </c>
      <c r="D48" s="375" t="s">
        <v>60</v>
      </c>
      <c r="E48" s="376"/>
      <c r="F48" s="138">
        <v>256378.82</v>
      </c>
      <c r="I48" s="377" t="s">
        <v>61</v>
      </c>
      <c r="J48" s="378"/>
      <c r="K48" s="379">
        <f>K44+K46</f>
        <v>141195.99700000003</v>
      </c>
      <c r="L48" s="380"/>
    </row>
    <row r="49" spans="2:15" ht="18.75" x14ac:dyDescent="0.3">
      <c r="C49" s="139"/>
      <c r="D49" s="140"/>
      <c r="E49" s="141" t="s">
        <v>62</v>
      </c>
      <c r="F49" s="142">
        <f>F46+F47+F48</f>
        <v>370904.37700000004</v>
      </c>
      <c r="J49" s="270"/>
      <c r="M49" s="143"/>
    </row>
    <row r="51" spans="2:15" x14ac:dyDescent="0.25">
      <c r="B51"/>
      <c r="C51"/>
      <c r="D51" s="366"/>
      <c r="E51" s="366"/>
      <c r="M51" s="144"/>
      <c r="N51" s="65"/>
      <c r="O51" s="65"/>
    </row>
    <row r="52" spans="2:15" x14ac:dyDescent="0.25">
      <c r="B52"/>
      <c r="C52"/>
      <c r="M52" s="144"/>
      <c r="N52" s="65"/>
      <c r="O52" s="65"/>
    </row>
    <row r="53" spans="2:15" x14ac:dyDescent="0.25">
      <c r="B53"/>
      <c r="C53"/>
      <c r="N53" s="65"/>
      <c r="O53" s="65"/>
    </row>
    <row r="54" spans="2:15" x14ac:dyDescent="0.25">
      <c r="B54"/>
      <c r="C54"/>
      <c r="F54"/>
      <c r="I54"/>
      <c r="J54" s="271"/>
      <c r="L54" s="273"/>
      <c r="M54"/>
      <c r="N54" s="65"/>
      <c r="O54" s="65"/>
    </row>
    <row r="55" spans="2:15" x14ac:dyDescent="0.25">
      <c r="B55"/>
      <c r="C55"/>
      <c r="F55" s="145"/>
      <c r="L55" s="273"/>
      <c r="N55" s="65"/>
      <c r="O55" s="65"/>
    </row>
    <row r="56" spans="2:15" x14ac:dyDescent="0.25">
      <c r="F56" s="91"/>
      <c r="L56" s="273"/>
      <c r="M56" s="4"/>
      <c r="N56" s="65"/>
      <c r="O56" s="65"/>
    </row>
    <row r="57" spans="2:15" x14ac:dyDescent="0.25">
      <c r="F57" s="91"/>
      <c r="L57" s="232"/>
      <c r="M57" s="4"/>
      <c r="N57" s="65"/>
      <c r="O57" s="65"/>
    </row>
    <row r="58" spans="2:15" x14ac:dyDescent="0.25">
      <c r="F58" s="91"/>
      <c r="L58" s="273"/>
      <c r="M58" s="4"/>
      <c r="N58" s="65"/>
      <c r="O58" s="65"/>
    </row>
    <row r="59" spans="2:15" x14ac:dyDescent="0.25">
      <c r="F59" s="91"/>
      <c r="L59" s="273"/>
      <c r="M59" s="4"/>
      <c r="N59" s="65"/>
      <c r="O59" s="65"/>
    </row>
    <row r="60" spans="2:15" x14ac:dyDescent="0.25">
      <c r="F60" s="91"/>
      <c r="L60" s="273"/>
      <c r="M60" s="4"/>
    </row>
    <row r="61" spans="2:15" x14ac:dyDescent="0.25">
      <c r="F61" s="91"/>
      <c r="L61" s="273"/>
      <c r="M61" s="4"/>
    </row>
    <row r="62" spans="2:15" x14ac:dyDescent="0.25">
      <c r="F62" s="91"/>
      <c r="L62" s="46"/>
      <c r="M62" s="4"/>
    </row>
    <row r="63" spans="2:15" x14ac:dyDescent="0.25">
      <c r="F63" s="91"/>
      <c r="L63" s="273"/>
      <c r="M63" s="4"/>
    </row>
    <row r="64" spans="2:15" x14ac:dyDescent="0.25">
      <c r="F64" s="91"/>
      <c r="L64" s="337"/>
      <c r="M64" s="4"/>
    </row>
    <row r="65" spans="6:13" x14ac:dyDescent="0.25">
      <c r="F65" s="145"/>
      <c r="M65" s="4"/>
    </row>
    <row r="66" spans="6:13" x14ac:dyDescent="0.25">
      <c r="M66" s="4"/>
    </row>
    <row r="67" spans="6:13" x14ac:dyDescent="0.25">
      <c r="M67" s="4"/>
    </row>
    <row r="68" spans="6:13" x14ac:dyDescent="0.25">
      <c r="M68" s="4"/>
    </row>
    <row r="69" spans="6:13" x14ac:dyDescent="0.25">
      <c r="M69" s="4"/>
    </row>
    <row r="70" spans="6:13" x14ac:dyDescent="0.25">
      <c r="M70" s="4"/>
    </row>
    <row r="71" spans="6:13" x14ac:dyDescent="0.25">
      <c r="M71" s="4"/>
    </row>
    <row r="72" spans="6:13" x14ac:dyDescent="0.25">
      <c r="M72" s="4"/>
    </row>
    <row r="73" spans="6:13" x14ac:dyDescent="0.25">
      <c r="M73" s="4"/>
    </row>
    <row r="74" spans="6:13" x14ac:dyDescent="0.25">
      <c r="M74" s="4"/>
    </row>
    <row r="75" spans="6:13" x14ac:dyDescent="0.25">
      <c r="M75" s="4"/>
    </row>
    <row r="76" spans="6:13" x14ac:dyDescent="0.25">
      <c r="M76" s="4"/>
    </row>
    <row r="77" spans="6:13" x14ac:dyDescent="0.25">
      <c r="M77" s="4"/>
    </row>
    <row r="78" spans="6:13" x14ac:dyDescent="0.25">
      <c r="M78" s="4"/>
    </row>
  </sheetData>
  <mergeCells count="17">
    <mergeCell ref="D48:E48"/>
    <mergeCell ref="I48:J48"/>
    <mergeCell ref="K48:L48"/>
    <mergeCell ref="D51:E51"/>
    <mergeCell ref="M42:N42"/>
    <mergeCell ref="D43:E43"/>
    <mergeCell ref="D44:E44"/>
    <mergeCell ref="I44:J44"/>
    <mergeCell ref="K44:L44"/>
    <mergeCell ref="K46:L46"/>
    <mergeCell ref="H42:I42"/>
    <mergeCell ref="K42:L42"/>
    <mergeCell ref="C1:K1"/>
    <mergeCell ref="B3:C3"/>
    <mergeCell ref="H3:I3"/>
    <mergeCell ref="E4:F4"/>
    <mergeCell ref="H4:I4"/>
  </mergeCells>
  <pageMargins left="0.15748031496062992" right="0.15748031496062992" top="0.35433070866141736" bottom="0.27559055118110237" header="0.31496062992125984" footer="0.31496062992125984"/>
  <pageSetup scale="70" orientation="landscape" horizontalDpi="0" verticalDpi="0" r:id="rId1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03C93-59BE-4C55-AAA2-6207A31428DB}">
  <sheetPr>
    <tabColor rgb="FF92D050"/>
  </sheetPr>
  <dimension ref="A1:F71"/>
  <sheetViews>
    <sheetView workbookViewId="0">
      <selection activeCell="H12" sqref="H12"/>
    </sheetView>
  </sheetViews>
  <sheetFormatPr baseColWidth="10" defaultRowHeight="15" x14ac:dyDescent="0.25"/>
  <cols>
    <col min="1" max="1" width="13.42578125" style="65" bestFit="1" customWidth="1"/>
    <col min="2" max="2" width="12.85546875" bestFit="1" customWidth="1"/>
    <col min="3" max="3" width="15.85546875" style="13" bestFit="1" customWidth="1"/>
    <col min="4" max="4" width="12.42578125" bestFit="1" customWidth="1"/>
    <col min="5" max="5" width="15.140625" style="13" bestFit="1" customWidth="1"/>
    <col min="6" max="6" width="19.5703125" style="13" bestFit="1" customWidth="1"/>
  </cols>
  <sheetData>
    <row r="1" spans="1:6" ht="36.75" customHeight="1" x14ac:dyDescent="0.35">
      <c r="B1" s="146" t="s">
        <v>177</v>
      </c>
      <c r="C1" s="147"/>
      <c r="D1" s="148"/>
      <c r="E1" s="147"/>
      <c r="F1" s="149"/>
    </row>
    <row r="2" spans="1:6" ht="16.5" thickBot="1" x14ac:dyDescent="0.3">
      <c r="A2" s="150" t="s">
        <v>64</v>
      </c>
      <c r="B2" s="150" t="s">
        <v>65</v>
      </c>
      <c r="C2" s="151" t="s">
        <v>66</v>
      </c>
      <c r="D2" s="150" t="s">
        <v>67</v>
      </c>
      <c r="E2" s="151" t="s">
        <v>68</v>
      </c>
      <c r="F2" s="151" t="s">
        <v>66</v>
      </c>
    </row>
    <row r="3" spans="1:6" x14ac:dyDescent="0.25">
      <c r="A3" s="156">
        <v>44027</v>
      </c>
      <c r="B3" s="157">
        <v>22181</v>
      </c>
      <c r="C3" s="97">
        <v>38328.9</v>
      </c>
      <c r="D3" s="154"/>
      <c r="E3" s="56"/>
      <c r="F3" s="155">
        <f>C3-E3</f>
        <v>38328.9</v>
      </c>
    </row>
    <row r="4" spans="1:6" x14ac:dyDescent="0.25">
      <c r="A4" s="156">
        <v>44027</v>
      </c>
      <c r="B4" s="157">
        <v>22193</v>
      </c>
      <c r="C4" s="97">
        <v>4424</v>
      </c>
      <c r="D4" s="158"/>
      <c r="E4" s="97"/>
      <c r="F4" s="155">
        <f>F3+C4-E4</f>
        <v>42752.9</v>
      </c>
    </row>
    <row r="5" spans="1:6" x14ac:dyDescent="0.25">
      <c r="A5" s="158">
        <v>44028</v>
      </c>
      <c r="B5" s="157">
        <v>22328</v>
      </c>
      <c r="C5" s="97">
        <v>80009.259999999995</v>
      </c>
      <c r="D5" s="158"/>
      <c r="E5" s="97"/>
      <c r="F5" s="155">
        <f t="shared" ref="F5:F34" si="0">F4+C5-E5</f>
        <v>122762.16</v>
      </c>
    </row>
    <row r="6" spans="1:6" x14ac:dyDescent="0.25">
      <c r="A6" s="158">
        <v>44028</v>
      </c>
      <c r="B6" s="157">
        <v>22330</v>
      </c>
      <c r="C6" s="97">
        <v>224</v>
      </c>
      <c r="D6" s="158"/>
      <c r="E6" s="97"/>
      <c r="F6" s="155">
        <f t="shared" si="0"/>
        <v>122986.16</v>
      </c>
    </row>
    <row r="7" spans="1:6" x14ac:dyDescent="0.25">
      <c r="A7" s="158">
        <v>44028</v>
      </c>
      <c r="B7" s="157">
        <v>22398</v>
      </c>
      <c r="C7" s="97">
        <v>31533.93</v>
      </c>
      <c r="D7" s="158"/>
      <c r="E7" s="97"/>
      <c r="F7" s="155">
        <f t="shared" si="0"/>
        <v>154520.09</v>
      </c>
    </row>
    <row r="8" spans="1:6" x14ac:dyDescent="0.25">
      <c r="A8" s="158">
        <v>44029</v>
      </c>
      <c r="B8" s="157">
        <v>22432</v>
      </c>
      <c r="C8" s="97">
        <v>102884.82</v>
      </c>
      <c r="D8" s="158">
        <v>44030</v>
      </c>
      <c r="E8" s="97">
        <v>257404.91</v>
      </c>
      <c r="F8" s="352">
        <f t="shared" si="0"/>
        <v>0</v>
      </c>
    </row>
    <row r="9" spans="1:6" x14ac:dyDescent="0.25">
      <c r="A9" s="158">
        <v>44030</v>
      </c>
      <c r="B9" s="157">
        <v>22624</v>
      </c>
      <c r="C9" s="97">
        <v>38316.9</v>
      </c>
      <c r="D9" s="158"/>
      <c r="E9" s="97"/>
      <c r="F9" s="155">
        <f t="shared" si="0"/>
        <v>38316.9</v>
      </c>
    </row>
    <row r="10" spans="1:6" x14ac:dyDescent="0.25">
      <c r="A10" s="158">
        <v>44030</v>
      </c>
      <c r="B10" s="157">
        <v>22720</v>
      </c>
      <c r="C10" s="97">
        <v>168559.44</v>
      </c>
      <c r="D10" s="158"/>
      <c r="E10" s="97"/>
      <c r="F10" s="155">
        <f t="shared" si="0"/>
        <v>206876.34</v>
      </c>
    </row>
    <row r="11" spans="1:6" x14ac:dyDescent="0.25">
      <c r="A11" s="156">
        <v>44032</v>
      </c>
      <c r="B11" s="157">
        <v>22830</v>
      </c>
      <c r="C11" s="97">
        <v>534</v>
      </c>
      <c r="D11" s="158"/>
      <c r="E11" s="97"/>
      <c r="F11" s="155">
        <f t="shared" si="0"/>
        <v>207410.34</v>
      </c>
    </row>
    <row r="12" spans="1:6" x14ac:dyDescent="0.25">
      <c r="A12" s="158">
        <v>44032</v>
      </c>
      <c r="B12" s="157">
        <v>22896</v>
      </c>
      <c r="C12" s="97">
        <v>84142.12</v>
      </c>
      <c r="D12" s="158"/>
      <c r="E12" s="97"/>
      <c r="F12" s="155">
        <f t="shared" si="0"/>
        <v>291552.45999999996</v>
      </c>
    </row>
    <row r="13" spans="1:6" x14ac:dyDescent="0.25">
      <c r="A13" s="158">
        <v>44034</v>
      </c>
      <c r="B13" s="157">
        <v>23105</v>
      </c>
      <c r="C13" s="97">
        <v>75996.600000000006</v>
      </c>
      <c r="D13" s="158"/>
      <c r="E13" s="97"/>
      <c r="F13" s="155">
        <f t="shared" si="0"/>
        <v>367549.05999999994</v>
      </c>
    </row>
    <row r="14" spans="1:6" x14ac:dyDescent="0.25">
      <c r="A14" s="158">
        <v>44035</v>
      </c>
      <c r="B14" s="157">
        <v>23253</v>
      </c>
      <c r="C14" s="97">
        <v>99624.7</v>
      </c>
      <c r="D14" s="158"/>
      <c r="E14" s="97"/>
      <c r="F14" s="155">
        <f t="shared" si="0"/>
        <v>467173.75999999995</v>
      </c>
    </row>
    <row r="15" spans="1:6" x14ac:dyDescent="0.25">
      <c r="A15" s="158">
        <v>44035</v>
      </c>
      <c r="B15" s="157">
        <v>23254</v>
      </c>
      <c r="C15" s="97">
        <v>29872.400000000001</v>
      </c>
      <c r="D15" s="158">
        <v>44037</v>
      </c>
      <c r="E15" s="97">
        <v>497046.16</v>
      </c>
      <c r="F15" s="352">
        <f t="shared" si="0"/>
        <v>0</v>
      </c>
    </row>
    <row r="16" spans="1:6" x14ac:dyDescent="0.25">
      <c r="A16" s="158">
        <v>44037</v>
      </c>
      <c r="B16" s="157">
        <v>23477</v>
      </c>
      <c r="C16" s="97">
        <v>129383.9</v>
      </c>
      <c r="D16" s="158"/>
      <c r="E16" s="97"/>
      <c r="F16" s="155">
        <f t="shared" si="0"/>
        <v>129383.9</v>
      </c>
    </row>
    <row r="17" spans="1:6" x14ac:dyDescent="0.25">
      <c r="A17" s="158">
        <v>44038</v>
      </c>
      <c r="B17" s="157">
        <v>23590</v>
      </c>
      <c r="C17" s="97">
        <v>48313.04</v>
      </c>
      <c r="D17" s="158"/>
      <c r="E17" s="97"/>
      <c r="F17" s="155">
        <f t="shared" si="0"/>
        <v>177696.94</v>
      </c>
    </row>
    <row r="18" spans="1:6" x14ac:dyDescent="0.25">
      <c r="A18" s="158">
        <v>44039</v>
      </c>
      <c r="B18" s="157">
        <v>23656</v>
      </c>
      <c r="C18" s="97">
        <v>15802.8</v>
      </c>
      <c r="D18" s="158"/>
      <c r="E18" s="97"/>
      <c r="F18" s="155">
        <f t="shared" si="0"/>
        <v>193499.74</v>
      </c>
    </row>
    <row r="19" spans="1:6" x14ac:dyDescent="0.25">
      <c r="A19" s="158">
        <v>44040</v>
      </c>
      <c r="B19" s="157">
        <v>23810</v>
      </c>
      <c r="C19" s="97">
        <v>114841.8</v>
      </c>
      <c r="D19" s="158">
        <v>44041</v>
      </c>
      <c r="E19" s="97">
        <v>308341.53999999998</v>
      </c>
      <c r="F19" s="155">
        <f t="shared" si="0"/>
        <v>0</v>
      </c>
    </row>
    <row r="20" spans="1:6" x14ac:dyDescent="0.25">
      <c r="A20" s="158">
        <v>44043</v>
      </c>
      <c r="B20" s="157">
        <v>24065</v>
      </c>
      <c r="C20" s="97">
        <v>100707.1</v>
      </c>
      <c r="D20" s="158"/>
      <c r="E20" s="97"/>
      <c r="F20" s="155">
        <f t="shared" si="0"/>
        <v>100707.1</v>
      </c>
    </row>
    <row r="21" spans="1:6" x14ac:dyDescent="0.25">
      <c r="A21" s="158">
        <v>44043</v>
      </c>
      <c r="B21" s="157">
        <v>24067</v>
      </c>
      <c r="C21" s="97">
        <v>35236.6</v>
      </c>
      <c r="D21" s="158"/>
      <c r="E21" s="97"/>
      <c r="F21" s="155">
        <f t="shared" si="0"/>
        <v>135943.70000000001</v>
      </c>
    </row>
    <row r="22" spans="1:6" x14ac:dyDescent="0.25">
      <c r="A22" s="158">
        <v>44043</v>
      </c>
      <c r="B22" s="157">
        <v>24069</v>
      </c>
      <c r="C22" s="97">
        <v>836</v>
      </c>
      <c r="D22" s="158"/>
      <c r="E22" s="97"/>
      <c r="F22" s="155">
        <f t="shared" si="0"/>
        <v>136779.70000000001</v>
      </c>
    </row>
    <row r="23" spans="1:6" x14ac:dyDescent="0.25">
      <c r="A23" s="158">
        <v>44043</v>
      </c>
      <c r="B23" s="157">
        <v>24118</v>
      </c>
      <c r="C23" s="97">
        <v>18659</v>
      </c>
      <c r="D23" s="158"/>
      <c r="E23" s="97"/>
      <c r="F23" s="155">
        <f t="shared" si="0"/>
        <v>155438.70000000001</v>
      </c>
    </row>
    <row r="24" spans="1:6" x14ac:dyDescent="0.25">
      <c r="A24" s="158">
        <v>44044</v>
      </c>
      <c r="B24" s="157">
        <v>24238</v>
      </c>
      <c r="C24" s="97">
        <v>2950.2</v>
      </c>
      <c r="D24" s="158"/>
      <c r="E24" s="97"/>
      <c r="F24" s="155">
        <f t="shared" si="0"/>
        <v>158388.90000000002</v>
      </c>
    </row>
    <row r="25" spans="1:6" x14ac:dyDescent="0.25">
      <c r="A25" s="158">
        <v>44044</v>
      </c>
      <c r="B25" s="157">
        <v>24275</v>
      </c>
      <c r="C25" s="97">
        <v>122609.62</v>
      </c>
      <c r="D25" s="158"/>
      <c r="E25" s="97"/>
      <c r="F25" s="155">
        <f t="shared" si="0"/>
        <v>280998.52</v>
      </c>
    </row>
    <row r="26" spans="1:6" x14ac:dyDescent="0.25">
      <c r="A26" s="158">
        <v>44044</v>
      </c>
      <c r="B26" s="157">
        <v>24277</v>
      </c>
      <c r="C26" s="97">
        <v>21246</v>
      </c>
      <c r="D26" s="158">
        <v>44044</v>
      </c>
      <c r="E26" s="97">
        <v>302244.52</v>
      </c>
      <c r="F26" s="155">
        <f t="shared" si="0"/>
        <v>0</v>
      </c>
    </row>
    <row r="27" spans="1:6" x14ac:dyDescent="0.25">
      <c r="A27" s="158"/>
      <c r="B27" s="157"/>
      <c r="C27" s="97"/>
      <c r="D27" s="158"/>
      <c r="E27" s="97"/>
      <c r="F27" s="155">
        <f t="shared" si="0"/>
        <v>0</v>
      </c>
    </row>
    <row r="28" spans="1:6" x14ac:dyDescent="0.25">
      <c r="A28" s="158">
        <v>44045</v>
      </c>
      <c r="B28" s="157">
        <v>24371</v>
      </c>
      <c r="C28" s="97">
        <v>81449.600000000006</v>
      </c>
      <c r="D28" s="158"/>
      <c r="E28" s="97"/>
      <c r="F28" s="155">
        <f t="shared" si="0"/>
        <v>81449.600000000006</v>
      </c>
    </row>
    <row r="29" spans="1:6" x14ac:dyDescent="0.25">
      <c r="A29" s="158">
        <v>44046</v>
      </c>
      <c r="B29" s="157">
        <v>24498</v>
      </c>
      <c r="C29" s="97">
        <v>24543.1</v>
      </c>
      <c r="D29" s="158"/>
      <c r="E29" s="97"/>
      <c r="F29" s="155">
        <f t="shared" si="0"/>
        <v>105992.70000000001</v>
      </c>
    </row>
    <row r="30" spans="1:6" x14ac:dyDescent="0.25">
      <c r="A30" s="158">
        <v>44048</v>
      </c>
      <c r="B30" s="157">
        <v>24625</v>
      </c>
      <c r="C30" s="97">
        <v>24553.8</v>
      </c>
      <c r="D30" s="158"/>
      <c r="E30" s="97"/>
      <c r="F30" s="155">
        <f t="shared" si="0"/>
        <v>130546.50000000001</v>
      </c>
    </row>
    <row r="31" spans="1:6" x14ac:dyDescent="0.25">
      <c r="A31" s="158">
        <v>44048</v>
      </c>
      <c r="B31" s="157">
        <v>24718</v>
      </c>
      <c r="C31" s="97">
        <v>4914.8</v>
      </c>
      <c r="D31" s="158"/>
      <c r="E31" s="97"/>
      <c r="F31" s="155">
        <f t="shared" si="0"/>
        <v>135461.30000000002</v>
      </c>
    </row>
    <row r="32" spans="1:6" x14ac:dyDescent="0.25">
      <c r="A32" s="156"/>
      <c r="B32" s="157"/>
      <c r="C32" s="97"/>
      <c r="D32" s="154"/>
      <c r="E32" s="91"/>
      <c r="F32" s="155">
        <f t="shared" si="0"/>
        <v>135461.30000000002</v>
      </c>
    </row>
    <row r="33" spans="1:6" x14ac:dyDescent="0.25">
      <c r="A33" s="156"/>
      <c r="B33" s="157"/>
      <c r="C33" s="97"/>
      <c r="D33" s="154"/>
      <c r="E33" s="91"/>
      <c r="F33" s="155">
        <f t="shared" si="0"/>
        <v>135461.30000000002</v>
      </c>
    </row>
    <row r="34" spans="1:6" ht="15.75" thickBot="1" x14ac:dyDescent="0.3">
      <c r="A34" s="159"/>
      <c r="B34" s="160"/>
      <c r="C34" s="161">
        <v>0</v>
      </c>
      <c r="D34" s="162"/>
      <c r="E34" s="161"/>
      <c r="F34" s="155">
        <f t="shared" si="0"/>
        <v>135461.30000000002</v>
      </c>
    </row>
    <row r="35" spans="1:6" ht="19.5" thickTop="1" x14ac:dyDescent="0.3">
      <c r="B35" s="65"/>
      <c r="C35" s="4">
        <f>SUM(C3:C34)</f>
        <v>1500498.4300000006</v>
      </c>
      <c r="D35" s="1"/>
      <c r="E35" s="4">
        <f>SUM(E3:E34)</f>
        <v>1365037.13</v>
      </c>
      <c r="F35" s="163">
        <f>F34</f>
        <v>135461.30000000002</v>
      </c>
    </row>
    <row r="36" spans="1:6" x14ac:dyDescent="0.25">
      <c r="B36" s="65"/>
      <c r="C36" s="4"/>
      <c r="D36" s="1"/>
      <c r="E36" s="5"/>
      <c r="F36" s="4"/>
    </row>
    <row r="37" spans="1:6" x14ac:dyDescent="0.25">
      <c r="B37" s="65"/>
      <c r="C37" s="4"/>
      <c r="D37" s="1"/>
      <c r="E37" s="5"/>
      <c r="F37" s="4"/>
    </row>
    <row r="38" spans="1:6" x14ac:dyDescent="0.25">
      <c r="A38"/>
      <c r="B38" s="23"/>
      <c r="D38" s="23"/>
    </row>
    <row r="39" spans="1:6" x14ac:dyDescent="0.25">
      <c r="A39"/>
      <c r="B39" s="23"/>
      <c r="D39" s="23"/>
    </row>
    <row r="40" spans="1:6" x14ac:dyDescent="0.25">
      <c r="A40"/>
      <c r="B40" s="23"/>
      <c r="D40" s="23"/>
    </row>
    <row r="41" spans="1:6" x14ac:dyDescent="0.25">
      <c r="A41"/>
      <c r="B41" s="23"/>
      <c r="D41" s="23"/>
      <c r="F41"/>
    </row>
    <row r="42" spans="1:6" x14ac:dyDescent="0.25">
      <c r="A42"/>
      <c r="B42" s="23"/>
      <c r="D42" s="23"/>
      <c r="F42"/>
    </row>
    <row r="43" spans="1:6" x14ac:dyDescent="0.25">
      <c r="A43"/>
      <c r="B43" s="23"/>
      <c r="D43" s="23"/>
      <c r="F43"/>
    </row>
    <row r="44" spans="1:6" x14ac:dyDescent="0.25">
      <c r="A44"/>
      <c r="B44" s="23"/>
      <c r="D44" s="23"/>
      <c r="F44"/>
    </row>
    <row r="45" spans="1:6" x14ac:dyDescent="0.25">
      <c r="A45"/>
      <c r="B45" s="23"/>
      <c r="D45" s="23"/>
      <c r="F45"/>
    </row>
    <row r="46" spans="1:6" x14ac:dyDescent="0.25">
      <c r="A46"/>
      <c r="B46" s="23"/>
      <c r="D46" s="23"/>
      <c r="F46"/>
    </row>
    <row r="47" spans="1:6" x14ac:dyDescent="0.25">
      <c r="A47"/>
      <c r="B47" s="23"/>
      <c r="D47" s="23"/>
      <c r="F47"/>
    </row>
    <row r="48" spans="1:6" x14ac:dyDescent="0.25">
      <c r="A48"/>
      <c r="B48" s="23"/>
      <c r="D48" s="23"/>
      <c r="F48"/>
    </row>
    <row r="49" spans="1:6" x14ac:dyDescent="0.25">
      <c r="A49"/>
      <c r="B49" s="23"/>
      <c r="D49" s="23"/>
      <c r="F49"/>
    </row>
    <row r="50" spans="1:6" x14ac:dyDescent="0.25">
      <c r="A50"/>
      <c r="B50" s="23"/>
      <c r="D50" s="23"/>
      <c r="E50"/>
      <c r="F50"/>
    </row>
    <row r="51" spans="1:6" x14ac:dyDescent="0.25">
      <c r="A51"/>
      <c r="B51" s="23"/>
      <c r="D51" s="23"/>
      <c r="E51"/>
      <c r="F51"/>
    </row>
    <row r="52" spans="1:6" x14ac:dyDescent="0.25">
      <c r="A52"/>
      <c r="B52" s="23"/>
      <c r="D52" s="23"/>
      <c r="E52"/>
      <c r="F52"/>
    </row>
    <row r="53" spans="1:6" x14ac:dyDescent="0.25">
      <c r="A53"/>
      <c r="B53" s="23"/>
      <c r="D53" s="23"/>
      <c r="E53"/>
      <c r="F53"/>
    </row>
    <row r="54" spans="1:6" x14ac:dyDescent="0.25">
      <c r="A54"/>
      <c r="B54" s="23"/>
      <c r="D54" s="23"/>
      <c r="E54"/>
      <c r="F54"/>
    </row>
    <row r="55" spans="1:6" x14ac:dyDescent="0.25">
      <c r="A55"/>
      <c r="B55" s="23"/>
      <c r="D55" s="23"/>
      <c r="E55"/>
      <c r="F55"/>
    </row>
    <row r="56" spans="1:6" x14ac:dyDescent="0.25">
      <c r="B56" s="23"/>
      <c r="D56" s="23"/>
      <c r="E56"/>
    </row>
    <row r="57" spans="1:6" x14ac:dyDescent="0.25">
      <c r="B57" s="23"/>
      <c r="D57" s="23"/>
      <c r="E57"/>
    </row>
    <row r="58" spans="1:6" x14ac:dyDescent="0.25">
      <c r="B58" s="23"/>
      <c r="D58" s="23"/>
      <c r="E58"/>
    </row>
    <row r="59" spans="1:6" x14ac:dyDescent="0.25">
      <c r="B59" s="23"/>
      <c r="D59" s="23"/>
      <c r="E59"/>
    </row>
    <row r="60" spans="1:6" x14ac:dyDescent="0.25">
      <c r="B60" s="23"/>
      <c r="D60" s="23"/>
      <c r="E60"/>
    </row>
    <row r="61" spans="1:6" x14ac:dyDescent="0.25">
      <c r="B61" s="23"/>
      <c r="D61" s="23"/>
      <c r="E61"/>
    </row>
    <row r="62" spans="1:6" x14ac:dyDescent="0.25">
      <c r="B62" s="23"/>
      <c r="D62" s="23"/>
      <c r="E62"/>
    </row>
    <row r="63" spans="1:6" x14ac:dyDescent="0.25">
      <c r="B63" s="23"/>
      <c r="D63" s="23"/>
      <c r="E63"/>
    </row>
    <row r="64" spans="1:6" x14ac:dyDescent="0.25">
      <c r="B64" s="23"/>
      <c r="D64" s="23"/>
      <c r="E64"/>
    </row>
    <row r="65" spans="2:4" x14ac:dyDescent="0.25">
      <c r="B65" s="23"/>
    </row>
    <row r="66" spans="2:4" x14ac:dyDescent="0.25">
      <c r="B66" s="23"/>
    </row>
    <row r="67" spans="2:4" x14ac:dyDescent="0.25">
      <c r="B67" s="23"/>
      <c r="D67" s="23"/>
    </row>
    <row r="68" spans="2:4" x14ac:dyDescent="0.25">
      <c r="B68" s="23"/>
    </row>
    <row r="69" spans="2:4" x14ac:dyDescent="0.25">
      <c r="B69" s="23"/>
    </row>
    <row r="70" spans="2:4" x14ac:dyDescent="0.25">
      <c r="B70" s="23"/>
    </row>
    <row r="71" spans="2:4" ht="18.75" x14ac:dyDescent="0.3">
      <c r="C71" s="14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BD3849-191F-4643-AED4-5D412F017B21}">
  <sheetPr>
    <tabColor rgb="FF00B050"/>
  </sheetPr>
  <dimension ref="A1"/>
  <sheetViews>
    <sheetView workbookViewId="0">
      <selection activeCell="I23" sqref="I23:J23"/>
    </sheetView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957F45-9D8D-455B-A655-5CD0EBD31CAC}">
  <sheetPr>
    <tabColor rgb="FF00B050"/>
  </sheetPr>
  <dimension ref="A1:F87"/>
  <sheetViews>
    <sheetView workbookViewId="0">
      <selection activeCell="D13" sqref="D13"/>
    </sheetView>
  </sheetViews>
  <sheetFormatPr baseColWidth="10" defaultRowHeight="15" x14ac:dyDescent="0.25"/>
  <cols>
    <col min="1" max="1" width="13.42578125" style="65" bestFit="1" customWidth="1"/>
    <col min="2" max="2" width="12.85546875" bestFit="1" customWidth="1"/>
    <col min="3" max="3" width="15.85546875" style="13" bestFit="1" customWidth="1"/>
    <col min="4" max="4" width="12.42578125" bestFit="1" customWidth="1"/>
    <col min="5" max="5" width="15.140625" style="13" bestFit="1" customWidth="1"/>
    <col min="6" max="6" width="19.5703125" style="13" bestFit="1" customWidth="1"/>
  </cols>
  <sheetData>
    <row r="1" spans="1:6" ht="36.75" customHeight="1" x14ac:dyDescent="0.35">
      <c r="B1" s="146" t="s">
        <v>63</v>
      </c>
      <c r="C1" s="147"/>
      <c r="D1" s="148"/>
      <c r="E1" s="147"/>
      <c r="F1" s="149"/>
    </row>
    <row r="2" spans="1:6" ht="16.5" thickBot="1" x14ac:dyDescent="0.3">
      <c r="A2" s="150" t="s">
        <v>64</v>
      </c>
      <c r="B2" s="150" t="s">
        <v>65</v>
      </c>
      <c r="C2" s="151" t="s">
        <v>66</v>
      </c>
      <c r="D2" s="150" t="s">
        <v>67</v>
      </c>
      <c r="E2" s="151" t="s">
        <v>68</v>
      </c>
      <c r="F2" s="151" t="s">
        <v>66</v>
      </c>
    </row>
    <row r="3" spans="1:6" x14ac:dyDescent="0.25">
      <c r="A3" s="152">
        <v>43837</v>
      </c>
      <c r="B3" s="153" t="s">
        <v>94</v>
      </c>
      <c r="C3" s="56">
        <v>72594</v>
      </c>
      <c r="D3" s="154"/>
      <c r="E3" s="56"/>
      <c r="F3" s="155">
        <f>C3-E3</f>
        <v>72594</v>
      </c>
    </row>
    <row r="4" spans="1:6" x14ac:dyDescent="0.25">
      <c r="A4" s="156">
        <v>43838</v>
      </c>
      <c r="B4" s="157" t="s">
        <v>95</v>
      </c>
      <c r="C4" s="97">
        <v>132399.22</v>
      </c>
      <c r="D4" s="158"/>
      <c r="E4" s="97"/>
      <c r="F4" s="155">
        <f>F3+C4-E4</f>
        <v>204993.22</v>
      </c>
    </row>
    <row r="5" spans="1:6" x14ac:dyDescent="0.25">
      <c r="A5" s="158">
        <v>43839</v>
      </c>
      <c r="B5" s="157" t="s">
        <v>96</v>
      </c>
      <c r="C5" s="97">
        <v>2328</v>
      </c>
      <c r="D5" s="158"/>
      <c r="E5" s="97"/>
      <c r="F5" s="155">
        <f t="shared" ref="F5:F50" si="0">F4+C5-E5</f>
        <v>207321.22</v>
      </c>
    </row>
    <row r="6" spans="1:6" x14ac:dyDescent="0.25">
      <c r="A6" s="158">
        <v>43839</v>
      </c>
      <c r="B6" s="157" t="s">
        <v>97</v>
      </c>
      <c r="C6" s="97">
        <v>128075.49</v>
      </c>
      <c r="D6" s="158"/>
      <c r="E6" s="97"/>
      <c r="F6" s="155">
        <f t="shared" si="0"/>
        <v>335396.71000000002</v>
      </c>
    </row>
    <row r="7" spans="1:6" x14ac:dyDescent="0.25">
      <c r="A7" s="158">
        <v>43840</v>
      </c>
      <c r="B7" s="157" t="s">
        <v>98</v>
      </c>
      <c r="C7" s="97">
        <v>120189.55</v>
      </c>
      <c r="D7" s="158"/>
      <c r="E7" s="97"/>
      <c r="F7" s="155">
        <f t="shared" si="0"/>
        <v>455586.26</v>
      </c>
    </row>
    <row r="8" spans="1:6" x14ac:dyDescent="0.25">
      <c r="A8" s="158">
        <v>43840</v>
      </c>
      <c r="B8" s="157" t="s">
        <v>99</v>
      </c>
      <c r="C8" s="97">
        <v>3031</v>
      </c>
      <c r="D8" s="158"/>
      <c r="E8" s="97"/>
      <c r="F8" s="155">
        <f t="shared" si="0"/>
        <v>458617.26</v>
      </c>
    </row>
    <row r="9" spans="1:6" x14ac:dyDescent="0.25">
      <c r="A9" s="158">
        <v>43841</v>
      </c>
      <c r="B9" s="157" t="s">
        <v>100</v>
      </c>
      <c r="C9" s="97">
        <v>136774.39999999999</v>
      </c>
      <c r="D9" s="158"/>
      <c r="E9" s="97"/>
      <c r="F9" s="155">
        <f t="shared" si="0"/>
        <v>595391.66</v>
      </c>
    </row>
    <row r="10" spans="1:6" x14ac:dyDescent="0.25">
      <c r="A10" s="158">
        <v>43841</v>
      </c>
      <c r="B10" s="157" t="s">
        <v>101</v>
      </c>
      <c r="C10" s="97">
        <v>1766.6</v>
      </c>
      <c r="D10" s="158"/>
      <c r="E10" s="97"/>
      <c r="F10" s="155">
        <f t="shared" si="0"/>
        <v>597158.26</v>
      </c>
    </row>
    <row r="11" spans="1:6" x14ac:dyDescent="0.25">
      <c r="A11" s="156">
        <v>43842</v>
      </c>
      <c r="B11" s="157" t="s">
        <v>102</v>
      </c>
      <c r="C11" s="97">
        <v>9876</v>
      </c>
      <c r="D11" s="158">
        <v>43843</v>
      </c>
      <c r="E11" s="97">
        <v>607034.26</v>
      </c>
      <c r="F11" s="155">
        <f t="shared" si="0"/>
        <v>0</v>
      </c>
    </row>
    <row r="12" spans="1:6" x14ac:dyDescent="0.25">
      <c r="A12" s="158">
        <v>43843</v>
      </c>
      <c r="B12" s="157" t="s">
        <v>103</v>
      </c>
      <c r="C12" s="97">
        <v>51267.96</v>
      </c>
      <c r="D12" s="158"/>
      <c r="E12" s="97"/>
      <c r="F12" s="155">
        <f t="shared" si="0"/>
        <v>51267.96</v>
      </c>
    </row>
    <row r="13" spans="1:6" x14ac:dyDescent="0.25">
      <c r="A13" s="158">
        <v>43844</v>
      </c>
      <c r="B13" s="157" t="s">
        <v>104</v>
      </c>
      <c r="C13" s="97">
        <v>100845.65</v>
      </c>
      <c r="D13" s="158"/>
      <c r="E13" s="97"/>
      <c r="F13" s="155">
        <f t="shared" si="0"/>
        <v>152113.60999999999</v>
      </c>
    </row>
    <row r="14" spans="1:6" x14ac:dyDescent="0.25">
      <c r="A14" s="158">
        <v>43845</v>
      </c>
      <c r="B14" s="157" t="s">
        <v>105</v>
      </c>
      <c r="C14" s="97">
        <v>138607.79999999999</v>
      </c>
      <c r="D14" s="158"/>
      <c r="E14" s="97"/>
      <c r="F14" s="155">
        <f t="shared" si="0"/>
        <v>290721.40999999997</v>
      </c>
    </row>
    <row r="15" spans="1:6" x14ac:dyDescent="0.25">
      <c r="A15" s="158">
        <v>43845</v>
      </c>
      <c r="B15" s="157" t="s">
        <v>106</v>
      </c>
      <c r="C15" s="97">
        <v>7932.6</v>
      </c>
      <c r="D15" s="158"/>
      <c r="E15" s="97"/>
      <c r="F15" s="155">
        <f t="shared" si="0"/>
        <v>298654.00999999995</v>
      </c>
    </row>
    <row r="16" spans="1:6" x14ac:dyDescent="0.25">
      <c r="A16" s="158">
        <v>43846</v>
      </c>
      <c r="B16" s="157" t="s">
        <v>107</v>
      </c>
      <c r="C16" s="97">
        <v>2014.8</v>
      </c>
      <c r="D16" s="158"/>
      <c r="E16" s="97"/>
      <c r="F16" s="155">
        <f t="shared" si="0"/>
        <v>300668.80999999994</v>
      </c>
    </row>
    <row r="17" spans="1:6" x14ac:dyDescent="0.25">
      <c r="A17" s="158">
        <v>43846</v>
      </c>
      <c r="B17" s="157" t="s">
        <v>108</v>
      </c>
      <c r="C17" s="97">
        <v>114829.3</v>
      </c>
      <c r="D17" s="158"/>
      <c r="E17" s="97"/>
      <c r="F17" s="155">
        <f t="shared" si="0"/>
        <v>415498.10999999993</v>
      </c>
    </row>
    <row r="18" spans="1:6" x14ac:dyDescent="0.25">
      <c r="A18" s="158">
        <v>43847</v>
      </c>
      <c r="B18" s="157" t="s">
        <v>109</v>
      </c>
      <c r="C18" s="97">
        <v>2560</v>
      </c>
      <c r="D18" s="158"/>
      <c r="E18" s="97"/>
      <c r="F18" s="155">
        <f t="shared" si="0"/>
        <v>418058.10999999993</v>
      </c>
    </row>
    <row r="19" spans="1:6" x14ac:dyDescent="0.25">
      <c r="A19" s="158">
        <v>43847</v>
      </c>
      <c r="B19" s="157" t="s">
        <v>110</v>
      </c>
      <c r="C19" s="97">
        <v>14896</v>
      </c>
      <c r="D19" s="158">
        <v>43848</v>
      </c>
      <c r="E19" s="97">
        <v>432954.11</v>
      </c>
      <c r="F19" s="155">
        <f t="shared" si="0"/>
        <v>0</v>
      </c>
    </row>
    <row r="20" spans="1:6" x14ac:dyDescent="0.25">
      <c r="A20" s="158">
        <v>43848</v>
      </c>
      <c r="B20" s="157" t="s">
        <v>111</v>
      </c>
      <c r="C20" s="97">
        <v>133304</v>
      </c>
      <c r="D20" s="158"/>
      <c r="E20" s="97"/>
      <c r="F20" s="155">
        <f t="shared" si="0"/>
        <v>133304</v>
      </c>
    </row>
    <row r="21" spans="1:6" x14ac:dyDescent="0.25">
      <c r="A21" s="158">
        <v>43848</v>
      </c>
      <c r="B21" s="157" t="s">
        <v>112</v>
      </c>
      <c r="C21" s="97">
        <v>71669.45</v>
      </c>
      <c r="D21" s="158"/>
      <c r="E21" s="97"/>
      <c r="F21" s="155">
        <f t="shared" si="0"/>
        <v>204973.45</v>
      </c>
    </row>
    <row r="22" spans="1:6" x14ac:dyDescent="0.25">
      <c r="A22" s="158">
        <v>43849</v>
      </c>
      <c r="B22" s="157" t="s">
        <v>113</v>
      </c>
      <c r="C22" s="97">
        <v>3967.2</v>
      </c>
      <c r="D22" s="158"/>
      <c r="E22" s="97"/>
      <c r="F22" s="155">
        <f t="shared" si="0"/>
        <v>208940.65000000002</v>
      </c>
    </row>
    <row r="23" spans="1:6" x14ac:dyDescent="0.25">
      <c r="A23" s="158">
        <v>43849</v>
      </c>
      <c r="B23" s="157" t="s">
        <v>114</v>
      </c>
      <c r="C23" s="97">
        <v>2893.2</v>
      </c>
      <c r="D23" s="158"/>
      <c r="E23" s="97"/>
      <c r="F23" s="155">
        <f t="shared" si="0"/>
        <v>211833.85000000003</v>
      </c>
    </row>
    <row r="24" spans="1:6" x14ac:dyDescent="0.25">
      <c r="A24" s="158">
        <v>43851</v>
      </c>
      <c r="B24" s="157" t="s">
        <v>115</v>
      </c>
      <c r="C24" s="97">
        <v>137808.56</v>
      </c>
      <c r="D24" s="158"/>
      <c r="E24" s="97"/>
      <c r="F24" s="155">
        <f t="shared" si="0"/>
        <v>349642.41000000003</v>
      </c>
    </row>
    <row r="25" spans="1:6" x14ac:dyDescent="0.25">
      <c r="A25" s="158">
        <v>43851</v>
      </c>
      <c r="B25" s="157" t="s">
        <v>116</v>
      </c>
      <c r="C25" s="97">
        <v>1036</v>
      </c>
      <c r="D25" s="158">
        <v>43852</v>
      </c>
      <c r="E25" s="97">
        <v>350678.41</v>
      </c>
      <c r="F25" s="155">
        <f t="shared" si="0"/>
        <v>0</v>
      </c>
    </row>
    <row r="26" spans="1:6" x14ac:dyDescent="0.25">
      <c r="A26" s="158">
        <v>43850</v>
      </c>
      <c r="B26" s="157" t="s">
        <v>117</v>
      </c>
      <c r="C26" s="97">
        <v>95296.9</v>
      </c>
      <c r="D26" s="158"/>
      <c r="E26" s="97"/>
      <c r="F26" s="155">
        <f t="shared" si="0"/>
        <v>95296.9</v>
      </c>
    </row>
    <row r="27" spans="1:6" x14ac:dyDescent="0.25">
      <c r="A27" s="158">
        <v>43853</v>
      </c>
      <c r="B27" s="157" t="s">
        <v>118</v>
      </c>
      <c r="C27" s="97">
        <v>114983.8</v>
      </c>
      <c r="D27" s="158"/>
      <c r="E27" s="97"/>
      <c r="F27" s="155">
        <f t="shared" si="0"/>
        <v>210280.7</v>
      </c>
    </row>
    <row r="28" spans="1:6" x14ac:dyDescent="0.25">
      <c r="A28" s="156">
        <v>43854</v>
      </c>
      <c r="B28" s="157" t="s">
        <v>119</v>
      </c>
      <c r="C28" s="97">
        <v>97328.45</v>
      </c>
      <c r="D28" s="158"/>
      <c r="E28" s="97"/>
      <c r="F28" s="155">
        <f t="shared" si="0"/>
        <v>307609.15000000002</v>
      </c>
    </row>
    <row r="29" spans="1:6" x14ac:dyDescent="0.25">
      <c r="A29" s="156">
        <v>43855</v>
      </c>
      <c r="B29" s="157" t="s">
        <v>120</v>
      </c>
      <c r="C29" s="97">
        <v>158655.5</v>
      </c>
      <c r="D29" s="158"/>
      <c r="E29" s="97"/>
      <c r="F29" s="155">
        <f t="shared" si="0"/>
        <v>466264.65</v>
      </c>
    </row>
    <row r="30" spans="1:6" x14ac:dyDescent="0.25">
      <c r="A30" s="156">
        <v>43856</v>
      </c>
      <c r="B30" s="157" t="s">
        <v>121</v>
      </c>
      <c r="C30" s="97">
        <v>1244.4000000000001</v>
      </c>
      <c r="D30" s="158"/>
      <c r="E30" s="97"/>
      <c r="F30" s="155">
        <f t="shared" si="0"/>
        <v>467509.05000000005</v>
      </c>
    </row>
    <row r="31" spans="1:6" x14ac:dyDescent="0.25">
      <c r="A31" s="156">
        <v>43856</v>
      </c>
      <c r="B31" s="157" t="s">
        <v>122</v>
      </c>
      <c r="C31" s="97">
        <v>3303</v>
      </c>
      <c r="D31" s="158"/>
      <c r="E31" s="97"/>
      <c r="F31" s="155">
        <f t="shared" si="0"/>
        <v>470812.05000000005</v>
      </c>
    </row>
    <row r="32" spans="1:6" x14ac:dyDescent="0.25">
      <c r="A32" s="156">
        <v>43857</v>
      </c>
      <c r="B32" s="157" t="s">
        <v>123</v>
      </c>
      <c r="C32" s="97">
        <v>8468.2000000000007</v>
      </c>
      <c r="D32" s="158">
        <v>43857</v>
      </c>
      <c r="E32" s="97">
        <v>479280.25</v>
      </c>
      <c r="F32" s="155">
        <f t="shared" si="0"/>
        <v>0</v>
      </c>
    </row>
    <row r="33" spans="1:6" x14ac:dyDescent="0.25">
      <c r="A33" s="156">
        <v>43858</v>
      </c>
      <c r="B33" s="157" t="s">
        <v>124</v>
      </c>
      <c r="C33" s="97">
        <v>43621.7</v>
      </c>
      <c r="D33" s="158"/>
      <c r="E33" s="97"/>
      <c r="F33" s="155">
        <f t="shared" si="0"/>
        <v>43621.7</v>
      </c>
    </row>
    <row r="34" spans="1:6" x14ac:dyDescent="0.25">
      <c r="A34" s="156">
        <v>43859</v>
      </c>
      <c r="B34" s="157" t="s">
        <v>125</v>
      </c>
      <c r="C34" s="97">
        <v>65222.16</v>
      </c>
      <c r="D34" s="158"/>
      <c r="E34" s="97"/>
      <c r="F34" s="155">
        <f t="shared" si="0"/>
        <v>108843.86</v>
      </c>
    </row>
    <row r="35" spans="1:6" x14ac:dyDescent="0.25">
      <c r="A35" s="156">
        <v>43861</v>
      </c>
      <c r="B35" s="157" t="s">
        <v>126</v>
      </c>
      <c r="C35" s="97">
        <v>7226.75</v>
      </c>
      <c r="D35" s="158"/>
      <c r="E35" s="97"/>
      <c r="F35" s="155">
        <f t="shared" si="0"/>
        <v>116070.61</v>
      </c>
    </row>
    <row r="36" spans="1:6" x14ac:dyDescent="0.25">
      <c r="A36" s="156">
        <v>43861</v>
      </c>
      <c r="B36" s="157" t="s">
        <v>127</v>
      </c>
      <c r="C36" s="97">
        <v>107062.39999999999</v>
      </c>
      <c r="D36" s="158">
        <v>43861</v>
      </c>
      <c r="E36" s="97">
        <v>223133.01</v>
      </c>
      <c r="F36" s="155">
        <f t="shared" si="0"/>
        <v>0</v>
      </c>
    </row>
    <row r="37" spans="1:6" x14ac:dyDescent="0.25">
      <c r="A37" s="156">
        <v>43861</v>
      </c>
      <c r="B37" s="157" t="s">
        <v>128</v>
      </c>
      <c r="C37" s="97">
        <v>11099.6</v>
      </c>
      <c r="D37" s="158"/>
      <c r="E37" s="97"/>
      <c r="F37" s="155">
        <f t="shared" si="0"/>
        <v>11099.6</v>
      </c>
    </row>
    <row r="38" spans="1:6" x14ac:dyDescent="0.25">
      <c r="A38" s="156">
        <v>43862</v>
      </c>
      <c r="B38" s="157" t="s">
        <v>129</v>
      </c>
      <c r="C38" s="97">
        <v>122864.8</v>
      </c>
      <c r="D38" s="158"/>
      <c r="E38" s="97"/>
      <c r="F38" s="155">
        <f t="shared" si="0"/>
        <v>133964.4</v>
      </c>
    </row>
    <row r="39" spans="1:6" x14ac:dyDescent="0.25">
      <c r="A39" s="156">
        <v>43863</v>
      </c>
      <c r="B39" s="157" t="s">
        <v>130</v>
      </c>
      <c r="C39" s="97">
        <v>8621.7999999999993</v>
      </c>
      <c r="D39" s="158"/>
      <c r="E39" s="97"/>
      <c r="F39" s="155">
        <f t="shared" si="0"/>
        <v>142586.19999999998</v>
      </c>
    </row>
    <row r="40" spans="1:6" x14ac:dyDescent="0.25">
      <c r="A40" s="156">
        <v>43864</v>
      </c>
      <c r="B40" s="157" t="s">
        <v>131</v>
      </c>
      <c r="C40" s="97">
        <v>109336</v>
      </c>
      <c r="D40" s="158"/>
      <c r="E40" s="97"/>
      <c r="F40" s="155">
        <f t="shared" si="0"/>
        <v>251922.19999999998</v>
      </c>
    </row>
    <row r="41" spans="1:6" x14ac:dyDescent="0.25">
      <c r="A41" s="156">
        <v>43866</v>
      </c>
      <c r="B41" s="157" t="s">
        <v>132</v>
      </c>
      <c r="C41" s="97">
        <v>85830.3</v>
      </c>
      <c r="D41" s="158"/>
      <c r="E41" s="97"/>
      <c r="F41" s="155">
        <f t="shared" si="0"/>
        <v>337752.5</v>
      </c>
    </row>
    <row r="42" spans="1:6" x14ac:dyDescent="0.25">
      <c r="A42" s="156">
        <v>43867</v>
      </c>
      <c r="B42" s="157" t="s">
        <v>133</v>
      </c>
      <c r="C42" s="97">
        <v>87095.91</v>
      </c>
      <c r="D42" s="158"/>
      <c r="E42" s="97"/>
      <c r="F42" s="155">
        <f t="shared" si="0"/>
        <v>424848.41000000003</v>
      </c>
    </row>
    <row r="43" spans="1:6" x14ac:dyDescent="0.25">
      <c r="A43" s="156">
        <v>43867</v>
      </c>
      <c r="B43" s="157" t="s">
        <v>134</v>
      </c>
      <c r="C43" s="97">
        <v>540</v>
      </c>
      <c r="D43" s="158">
        <v>43869</v>
      </c>
      <c r="E43" s="97">
        <v>425388.41</v>
      </c>
      <c r="F43" s="155">
        <f t="shared" si="0"/>
        <v>0</v>
      </c>
    </row>
    <row r="44" spans="1:6" x14ac:dyDescent="0.25">
      <c r="A44" s="156"/>
      <c r="B44" s="157"/>
      <c r="C44" s="97"/>
      <c r="D44" s="158"/>
      <c r="E44" s="97"/>
      <c r="F44" s="155">
        <f t="shared" si="0"/>
        <v>0</v>
      </c>
    </row>
    <row r="45" spans="1:6" x14ac:dyDescent="0.25">
      <c r="A45" s="156"/>
      <c r="B45" s="157"/>
      <c r="C45" s="97"/>
      <c r="D45" s="158"/>
      <c r="E45" s="97"/>
      <c r="F45" s="155">
        <f t="shared" si="0"/>
        <v>0</v>
      </c>
    </row>
    <row r="46" spans="1:6" x14ac:dyDescent="0.25">
      <c r="A46" s="156"/>
      <c r="B46" s="157"/>
      <c r="C46" s="97">
        <v>0</v>
      </c>
      <c r="D46" s="158"/>
      <c r="E46" s="97"/>
      <c r="F46" s="155">
        <f t="shared" si="0"/>
        <v>0</v>
      </c>
    </row>
    <row r="47" spans="1:6" x14ac:dyDescent="0.25">
      <c r="A47" s="156"/>
      <c r="B47" s="157"/>
      <c r="C47" s="97">
        <v>0</v>
      </c>
      <c r="D47" s="158"/>
      <c r="E47" s="97"/>
      <c r="F47" s="155">
        <f t="shared" si="0"/>
        <v>0</v>
      </c>
    </row>
    <row r="48" spans="1:6" x14ac:dyDescent="0.25">
      <c r="A48" s="156"/>
      <c r="B48" s="157"/>
      <c r="C48" s="97">
        <v>0</v>
      </c>
      <c r="D48" s="158"/>
      <c r="E48" s="97"/>
      <c r="F48" s="155">
        <f t="shared" si="0"/>
        <v>0</v>
      </c>
    </row>
    <row r="49" spans="1:6" x14ac:dyDescent="0.25">
      <c r="A49" s="156"/>
      <c r="B49" s="157"/>
      <c r="C49" s="97">
        <v>0</v>
      </c>
      <c r="D49" s="158"/>
      <c r="E49" s="97"/>
      <c r="F49" s="155">
        <f t="shared" si="0"/>
        <v>0</v>
      </c>
    </row>
    <row r="50" spans="1:6" ht="15.75" thickBot="1" x14ac:dyDescent="0.3">
      <c r="A50" s="159"/>
      <c r="B50" s="160"/>
      <c r="C50" s="161">
        <v>0</v>
      </c>
      <c r="D50" s="162"/>
      <c r="E50" s="161"/>
      <c r="F50" s="155">
        <f t="shared" si="0"/>
        <v>0</v>
      </c>
    </row>
    <row r="51" spans="1:6" ht="19.5" thickTop="1" x14ac:dyDescent="0.3">
      <c r="B51" s="65"/>
      <c r="C51" s="4">
        <f>SUM(C3:C50)</f>
        <v>2518468.4499999993</v>
      </c>
      <c r="D51" s="1"/>
      <c r="E51" s="4">
        <f>SUM(E3:E50)</f>
        <v>2518468.4500000002</v>
      </c>
      <c r="F51" s="163">
        <f>F50</f>
        <v>0</v>
      </c>
    </row>
    <row r="52" spans="1:6" x14ac:dyDescent="0.25">
      <c r="B52" s="65"/>
      <c r="C52" s="4"/>
      <c r="D52" s="1"/>
      <c r="E52" s="5"/>
      <c r="F52" s="4"/>
    </row>
    <row r="53" spans="1:6" x14ac:dyDescent="0.25">
      <c r="B53" s="65"/>
      <c r="C53" s="4"/>
      <c r="D53" s="1"/>
      <c r="E53" s="5"/>
      <c r="F53" s="4"/>
    </row>
    <row r="54" spans="1:6" x14ac:dyDescent="0.25">
      <c r="A54"/>
      <c r="B54" s="23"/>
      <c r="D54" s="23"/>
    </row>
    <row r="55" spans="1:6" x14ac:dyDescent="0.25">
      <c r="A55"/>
      <c r="B55" s="23"/>
      <c r="D55" s="23"/>
    </row>
    <row r="56" spans="1:6" x14ac:dyDescent="0.25">
      <c r="A56"/>
      <c r="B56" s="23"/>
      <c r="D56" s="23"/>
    </row>
    <row r="57" spans="1:6" x14ac:dyDescent="0.25">
      <c r="A57"/>
      <c r="B57" s="23"/>
      <c r="D57" s="23"/>
      <c r="F57"/>
    </row>
    <row r="58" spans="1:6" x14ac:dyDescent="0.25">
      <c r="A58"/>
      <c r="B58" s="23"/>
      <c r="D58" s="23"/>
      <c r="F58"/>
    </row>
    <row r="59" spans="1:6" x14ac:dyDescent="0.25">
      <c r="A59"/>
      <c r="B59" s="23"/>
      <c r="D59" s="23"/>
      <c r="F59"/>
    </row>
    <row r="60" spans="1:6" x14ac:dyDescent="0.25">
      <c r="A60"/>
      <c r="B60" s="23"/>
      <c r="D60" s="23"/>
      <c r="F60"/>
    </row>
    <row r="61" spans="1:6" x14ac:dyDescent="0.25">
      <c r="A61"/>
      <c r="B61" s="23"/>
      <c r="D61" s="23"/>
      <c r="F61"/>
    </row>
    <row r="62" spans="1:6" x14ac:dyDescent="0.25">
      <c r="A62"/>
      <c r="B62" s="23"/>
      <c r="D62" s="23"/>
      <c r="F62"/>
    </row>
    <row r="63" spans="1:6" x14ac:dyDescent="0.25">
      <c r="A63"/>
      <c r="B63" s="23"/>
      <c r="D63" s="23"/>
      <c r="F63"/>
    </row>
    <row r="64" spans="1:6" x14ac:dyDescent="0.25">
      <c r="A64"/>
      <c r="B64" s="23"/>
      <c r="D64" s="23"/>
      <c r="F64"/>
    </row>
    <row r="65" spans="1:6" x14ac:dyDescent="0.25">
      <c r="A65"/>
      <c r="B65" s="23"/>
      <c r="D65" s="23"/>
      <c r="F65"/>
    </row>
    <row r="66" spans="1:6" x14ac:dyDescent="0.25">
      <c r="A66"/>
      <c r="B66" s="23"/>
      <c r="D66" s="23"/>
      <c r="E66"/>
      <c r="F66"/>
    </row>
    <row r="67" spans="1:6" x14ac:dyDescent="0.25">
      <c r="A67"/>
      <c r="B67" s="23"/>
      <c r="D67" s="23"/>
      <c r="E67"/>
      <c r="F67"/>
    </row>
    <row r="68" spans="1:6" x14ac:dyDescent="0.25">
      <c r="A68"/>
      <c r="B68" s="23"/>
      <c r="D68" s="23"/>
      <c r="E68"/>
      <c r="F68"/>
    </row>
    <row r="69" spans="1:6" x14ac:dyDescent="0.25">
      <c r="A69"/>
      <c r="B69" s="23"/>
      <c r="D69" s="23"/>
      <c r="E69"/>
      <c r="F69"/>
    </row>
    <row r="70" spans="1:6" x14ac:dyDescent="0.25">
      <c r="A70"/>
      <c r="B70" s="23"/>
      <c r="D70" s="23"/>
      <c r="E70"/>
      <c r="F70"/>
    </row>
    <row r="71" spans="1:6" x14ac:dyDescent="0.25">
      <c r="A71"/>
      <c r="B71" s="23"/>
      <c r="D71" s="23"/>
      <c r="E71"/>
      <c r="F71"/>
    </row>
    <row r="72" spans="1:6" x14ac:dyDescent="0.25">
      <c r="B72" s="23"/>
      <c r="D72" s="23"/>
      <c r="E72"/>
    </row>
    <row r="73" spans="1:6" x14ac:dyDescent="0.25">
      <c r="B73" s="23"/>
      <c r="D73" s="23"/>
      <c r="E73"/>
    </row>
    <row r="74" spans="1:6" x14ac:dyDescent="0.25">
      <c r="B74" s="23"/>
      <c r="D74" s="23"/>
      <c r="E74"/>
    </row>
    <row r="75" spans="1:6" x14ac:dyDescent="0.25">
      <c r="B75" s="23"/>
      <c r="D75" s="23"/>
      <c r="E75"/>
    </row>
    <row r="76" spans="1:6" x14ac:dyDescent="0.25">
      <c r="B76" s="23"/>
      <c r="D76" s="23"/>
      <c r="E76"/>
    </row>
    <row r="77" spans="1:6" x14ac:dyDescent="0.25">
      <c r="B77" s="23"/>
      <c r="D77" s="23"/>
      <c r="E77"/>
    </row>
    <row r="78" spans="1:6" x14ac:dyDescent="0.25">
      <c r="B78" s="23"/>
      <c r="D78" s="23"/>
      <c r="E78"/>
    </row>
    <row r="79" spans="1:6" x14ac:dyDescent="0.25">
      <c r="B79" s="23"/>
      <c r="D79" s="23"/>
      <c r="E79"/>
    </row>
    <row r="80" spans="1:6" x14ac:dyDescent="0.25">
      <c r="B80" s="23"/>
      <c r="D80" s="23"/>
      <c r="E80"/>
    </row>
    <row r="81" spans="2:4" x14ac:dyDescent="0.25">
      <c r="B81" s="23"/>
    </row>
    <row r="82" spans="2:4" x14ac:dyDescent="0.25">
      <c r="B82" s="23"/>
    </row>
    <row r="83" spans="2:4" x14ac:dyDescent="0.25">
      <c r="B83" s="23"/>
      <c r="D83" s="23"/>
    </row>
    <row r="84" spans="2:4" x14ac:dyDescent="0.25">
      <c r="B84" s="23"/>
    </row>
    <row r="85" spans="2:4" x14ac:dyDescent="0.25">
      <c r="B85" s="23"/>
    </row>
    <row r="86" spans="2:4" x14ac:dyDescent="0.25">
      <c r="B86" s="23"/>
    </row>
    <row r="87" spans="2:4" ht="18.75" x14ac:dyDescent="0.3">
      <c r="C87" s="14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6F817E-7AA0-4DC1-B8E8-15EF6C4573DF}">
  <sheetPr>
    <tabColor rgb="FF00B0F0"/>
  </sheetPr>
  <dimension ref="A1:N80"/>
  <sheetViews>
    <sheetView topLeftCell="A28" workbookViewId="0">
      <selection activeCell="Q9" sqref="Q9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13" customWidth="1"/>
    <col min="4" max="4" width="15.28515625" customWidth="1"/>
    <col min="6" max="6" width="17.85546875" style="13" customWidth="1"/>
    <col min="7" max="7" width="2.85546875" customWidth="1"/>
    <col min="9" max="9" width="12.140625" style="13" customWidth="1"/>
    <col min="10" max="10" width="11.7109375" style="13" customWidth="1"/>
    <col min="11" max="11" width="17.28515625" customWidth="1"/>
    <col min="12" max="12" width="14.5703125" customWidth="1"/>
    <col min="13" max="13" width="18.140625" style="13" customWidth="1"/>
    <col min="14" max="14" width="14.42578125" style="4" customWidth="1"/>
  </cols>
  <sheetData>
    <row r="1" spans="1:14" ht="23.25" x14ac:dyDescent="0.35">
      <c r="C1" s="353" t="s">
        <v>0</v>
      </c>
      <c r="D1" s="353"/>
      <c r="E1" s="353"/>
      <c r="F1" s="353"/>
      <c r="G1" s="353"/>
      <c r="H1" s="353"/>
      <c r="I1" s="353"/>
      <c r="J1" s="353"/>
      <c r="K1" s="353"/>
      <c r="L1" s="2"/>
      <c r="M1" s="3"/>
    </row>
    <row r="2" spans="1:14" ht="18.75" x14ac:dyDescent="0.3">
      <c r="C2" s="5"/>
      <c r="E2" s="6"/>
      <c r="F2" s="7"/>
      <c r="H2" s="8" t="s">
        <v>1</v>
      </c>
      <c r="I2" s="9"/>
      <c r="J2" s="9"/>
      <c r="K2" s="10"/>
      <c r="L2" s="10"/>
      <c r="M2" s="9"/>
      <c r="N2" s="11"/>
    </row>
    <row r="3" spans="1:14" ht="19.5" thickBot="1" x14ac:dyDescent="0.35">
      <c r="B3" s="354" t="s">
        <v>2</v>
      </c>
      <c r="C3" s="355"/>
      <c r="D3" s="12"/>
      <c r="I3" s="14" t="s">
        <v>3</v>
      </c>
      <c r="J3" s="9"/>
      <c r="K3" s="15" t="s">
        <v>4</v>
      </c>
      <c r="L3" s="15"/>
    </row>
    <row r="4" spans="1:14" ht="20.25" thickTop="1" thickBot="1" x14ac:dyDescent="0.35">
      <c r="A4" s="16" t="s">
        <v>5</v>
      </c>
      <c r="B4" s="17"/>
      <c r="C4" s="18">
        <v>355209.27</v>
      </c>
      <c r="D4" s="19">
        <v>43867</v>
      </c>
      <c r="E4" s="356" t="s">
        <v>6</v>
      </c>
      <c r="F4" s="357"/>
      <c r="H4" s="358" t="s">
        <v>7</v>
      </c>
      <c r="I4" s="359"/>
      <c r="J4" s="20"/>
      <c r="K4" s="20"/>
      <c r="L4" s="20"/>
      <c r="M4" s="21" t="s">
        <v>8</v>
      </c>
      <c r="N4" s="22" t="s">
        <v>9</v>
      </c>
    </row>
    <row r="5" spans="1:14" ht="15.75" thickBot="1" x14ac:dyDescent="0.3">
      <c r="A5" s="23" t="s">
        <v>10</v>
      </c>
      <c r="B5" s="24">
        <v>43868</v>
      </c>
      <c r="C5" s="25">
        <v>2409</v>
      </c>
      <c r="D5" s="26" t="s">
        <v>11</v>
      </c>
      <c r="E5" s="27">
        <v>43868</v>
      </c>
      <c r="F5" s="28">
        <v>107443</v>
      </c>
      <c r="H5" s="29">
        <v>43868</v>
      </c>
      <c r="I5" s="30">
        <v>12921</v>
      </c>
      <c r="M5" s="31">
        <v>90780</v>
      </c>
      <c r="N5" s="32">
        <v>2259</v>
      </c>
    </row>
    <row r="6" spans="1:14" ht="15.75" thickBot="1" x14ac:dyDescent="0.3">
      <c r="A6" s="23"/>
      <c r="B6" s="24">
        <v>43869</v>
      </c>
      <c r="C6" s="25">
        <v>2754</v>
      </c>
      <c r="D6" s="33" t="s">
        <v>12</v>
      </c>
      <c r="E6" s="27">
        <v>43869</v>
      </c>
      <c r="F6" s="28">
        <v>111950</v>
      </c>
      <c r="H6" s="29">
        <v>43869</v>
      </c>
      <c r="I6" s="34">
        <v>100</v>
      </c>
      <c r="J6" s="35"/>
      <c r="K6" s="36"/>
      <c r="L6" s="37"/>
      <c r="M6" s="31">
        <v>94000</v>
      </c>
      <c r="N6" s="32">
        <v>3547</v>
      </c>
    </row>
    <row r="7" spans="1:14" ht="16.5" thickBot="1" x14ac:dyDescent="0.3">
      <c r="A7" s="23"/>
      <c r="B7" s="24">
        <v>43870</v>
      </c>
      <c r="C7" s="25">
        <v>0</v>
      </c>
      <c r="D7" s="38"/>
      <c r="E7" s="27">
        <v>43870</v>
      </c>
      <c r="F7" s="28">
        <v>81407</v>
      </c>
      <c r="H7" s="29">
        <v>43870</v>
      </c>
      <c r="I7" s="34">
        <v>0</v>
      </c>
      <c r="J7" s="39">
        <v>43880</v>
      </c>
      <c r="K7" s="40" t="s">
        <v>13</v>
      </c>
      <c r="L7" s="41">
        <v>896</v>
      </c>
      <c r="M7" s="31">
        <v>77463</v>
      </c>
      <c r="N7" s="32">
        <v>3944</v>
      </c>
    </row>
    <row r="8" spans="1:14" ht="16.5" thickBot="1" x14ac:dyDescent="0.3">
      <c r="A8" s="23"/>
      <c r="B8" s="24">
        <v>43871</v>
      </c>
      <c r="C8" s="25">
        <v>2727</v>
      </c>
      <c r="D8" s="42" t="s">
        <v>14</v>
      </c>
      <c r="E8" s="27">
        <v>43871</v>
      </c>
      <c r="F8" s="28">
        <v>96558</v>
      </c>
      <c r="H8" s="29">
        <v>43871</v>
      </c>
      <c r="I8" s="34">
        <v>0</v>
      </c>
      <c r="J8" s="43"/>
      <c r="K8" s="44" t="s">
        <v>15</v>
      </c>
      <c r="L8" s="45">
        <v>0</v>
      </c>
      <c r="M8" s="31">
        <f>32921+66615</f>
        <v>99536</v>
      </c>
      <c r="N8" s="32">
        <v>539</v>
      </c>
    </row>
    <row r="9" spans="1:14" ht="16.5" thickBot="1" x14ac:dyDescent="0.3">
      <c r="A9" s="23"/>
      <c r="B9" s="24">
        <v>43872</v>
      </c>
      <c r="C9" s="25">
        <v>12922.9</v>
      </c>
      <c r="D9" s="46" t="s">
        <v>16</v>
      </c>
      <c r="E9" s="27">
        <v>43872</v>
      </c>
      <c r="F9" s="28">
        <v>62266</v>
      </c>
      <c r="H9" s="29">
        <v>43872</v>
      </c>
      <c r="I9" s="34">
        <v>0</v>
      </c>
      <c r="J9" s="47">
        <v>43890</v>
      </c>
      <c r="K9" s="48" t="s">
        <v>17</v>
      </c>
      <c r="L9" s="49">
        <v>20000</v>
      </c>
      <c r="M9" s="31">
        <v>50983</v>
      </c>
      <c r="N9" s="32">
        <v>784</v>
      </c>
    </row>
    <row r="10" spans="1:14" ht="16.5" thickBot="1" x14ac:dyDescent="0.3">
      <c r="A10" s="23"/>
      <c r="B10" s="24">
        <v>43873</v>
      </c>
      <c r="C10" s="25">
        <v>1212</v>
      </c>
      <c r="D10" s="33" t="s">
        <v>18</v>
      </c>
      <c r="E10" s="27">
        <v>43873</v>
      </c>
      <c r="F10" s="28">
        <v>78137</v>
      </c>
      <c r="H10" s="29">
        <v>43873</v>
      </c>
      <c r="I10" s="34">
        <v>0</v>
      </c>
      <c r="J10" s="50"/>
      <c r="K10" s="51"/>
      <c r="L10" s="52"/>
      <c r="M10" s="31">
        <f>74850+20950</f>
        <v>95800</v>
      </c>
      <c r="N10" s="32">
        <v>2026</v>
      </c>
    </row>
    <row r="11" spans="1:14" ht="15.75" thickBot="1" x14ac:dyDescent="0.3">
      <c r="A11" s="23"/>
      <c r="B11" s="24">
        <v>43874</v>
      </c>
      <c r="C11" s="25">
        <v>1046</v>
      </c>
      <c r="D11" s="33" t="s">
        <v>19</v>
      </c>
      <c r="E11" s="27">
        <v>43874</v>
      </c>
      <c r="F11" s="28">
        <v>72949</v>
      </c>
      <c r="H11" s="29">
        <v>43874</v>
      </c>
      <c r="I11" s="34">
        <v>0</v>
      </c>
      <c r="J11" s="53"/>
      <c r="K11" s="54"/>
      <c r="L11" s="52"/>
      <c r="M11" s="31">
        <v>70313</v>
      </c>
      <c r="N11" s="32">
        <v>1590</v>
      </c>
    </row>
    <row r="12" spans="1:14" ht="15.75" thickBot="1" x14ac:dyDescent="0.3">
      <c r="A12" s="23"/>
      <c r="B12" s="24">
        <v>43875</v>
      </c>
      <c r="C12" s="25">
        <v>765</v>
      </c>
      <c r="D12" s="33" t="s">
        <v>19</v>
      </c>
      <c r="E12" s="27">
        <v>43875</v>
      </c>
      <c r="F12" s="28">
        <v>145714</v>
      </c>
      <c r="H12" s="29">
        <v>43875</v>
      </c>
      <c r="I12" s="34">
        <v>12058</v>
      </c>
      <c r="J12" s="55">
        <v>43869</v>
      </c>
      <c r="K12" s="48" t="s">
        <v>20</v>
      </c>
      <c r="L12" s="52">
        <f>15502.64+400+4000+1933.67</f>
        <v>21836.309999999998</v>
      </c>
      <c r="M12" s="31">
        <v>126480</v>
      </c>
      <c r="N12" s="32">
        <v>6411</v>
      </c>
    </row>
    <row r="13" spans="1:14" ht="15.75" thickBot="1" x14ac:dyDescent="0.3">
      <c r="A13" s="23"/>
      <c r="B13" s="24">
        <v>43876</v>
      </c>
      <c r="C13" s="25">
        <v>2230</v>
      </c>
      <c r="D13" s="42" t="s">
        <v>12</v>
      </c>
      <c r="E13" s="27">
        <v>43876</v>
      </c>
      <c r="F13" s="28">
        <v>157236</v>
      </c>
      <c r="H13" s="29">
        <v>43876</v>
      </c>
      <c r="I13" s="34">
        <v>2853.6</v>
      </c>
      <c r="J13" s="55">
        <v>43876</v>
      </c>
      <c r="K13" s="48" t="s">
        <v>21</v>
      </c>
      <c r="L13" s="52">
        <f>15002.67+5010.2+4000+400</f>
        <v>24412.87</v>
      </c>
      <c r="M13" s="31">
        <f>121478+10574+3796.57</f>
        <v>135848.57</v>
      </c>
      <c r="N13" s="32">
        <v>4465</v>
      </c>
    </row>
    <row r="14" spans="1:14" ht="15.75" thickBot="1" x14ac:dyDescent="0.3">
      <c r="A14" s="23"/>
      <c r="B14" s="24">
        <v>43877</v>
      </c>
      <c r="C14" s="25">
        <v>3060</v>
      </c>
      <c r="D14" s="38" t="s">
        <v>22</v>
      </c>
      <c r="E14" s="27">
        <v>43877</v>
      </c>
      <c r="F14" s="28">
        <v>110400</v>
      </c>
      <c r="H14" s="29">
        <v>43877</v>
      </c>
      <c r="I14" s="34">
        <v>0</v>
      </c>
      <c r="J14" s="55">
        <v>43883</v>
      </c>
      <c r="K14" s="48" t="s">
        <v>23</v>
      </c>
      <c r="L14" s="52">
        <f>13295.5+1928.57+400+4000</f>
        <v>19624.07</v>
      </c>
      <c r="M14" s="31">
        <v>105942</v>
      </c>
      <c r="N14" s="32">
        <v>1398</v>
      </c>
    </row>
    <row r="15" spans="1:14" ht="15.75" thickBot="1" x14ac:dyDescent="0.3">
      <c r="A15" s="23"/>
      <c r="B15" s="24">
        <v>43878</v>
      </c>
      <c r="C15" s="25">
        <v>3416</v>
      </c>
      <c r="D15" s="33" t="s">
        <v>24</v>
      </c>
      <c r="E15" s="27">
        <v>43878</v>
      </c>
      <c r="F15" s="28">
        <v>87481</v>
      </c>
      <c r="H15" s="29">
        <v>43878</v>
      </c>
      <c r="I15" s="34">
        <v>0</v>
      </c>
      <c r="J15" s="55">
        <v>43890</v>
      </c>
      <c r="K15" s="48" t="s">
        <v>25</v>
      </c>
      <c r="L15" s="52">
        <f>12164.45+400+4000</f>
        <v>16564.45</v>
      </c>
      <c r="M15" s="31">
        <v>82750</v>
      </c>
      <c r="N15" s="32">
        <v>1320</v>
      </c>
    </row>
    <row r="16" spans="1:14" ht="15.75" thickBot="1" x14ac:dyDescent="0.3">
      <c r="A16" s="23"/>
      <c r="B16" s="24">
        <v>43879</v>
      </c>
      <c r="C16" s="25">
        <v>1059</v>
      </c>
      <c r="D16" s="33" t="s">
        <v>19</v>
      </c>
      <c r="E16" s="27">
        <v>43879</v>
      </c>
      <c r="F16" s="28">
        <v>90467</v>
      </c>
      <c r="H16" s="29">
        <v>43879</v>
      </c>
      <c r="I16" s="34">
        <v>0</v>
      </c>
      <c r="J16" s="55"/>
      <c r="K16" s="48" t="s">
        <v>26</v>
      </c>
      <c r="L16" s="56">
        <v>0</v>
      </c>
      <c r="M16" s="31">
        <v>88759</v>
      </c>
      <c r="N16" s="32">
        <v>649</v>
      </c>
    </row>
    <row r="17" spans="1:14" ht="15.75" thickBot="1" x14ac:dyDescent="0.3">
      <c r="A17" s="23"/>
      <c r="B17" s="24">
        <v>43880</v>
      </c>
      <c r="C17" s="25">
        <v>3507</v>
      </c>
      <c r="D17" s="42" t="s">
        <v>27</v>
      </c>
      <c r="E17" s="27">
        <v>43880</v>
      </c>
      <c r="F17" s="28">
        <v>60491</v>
      </c>
      <c r="H17" s="29">
        <v>43880</v>
      </c>
      <c r="I17" s="34">
        <v>2400</v>
      </c>
      <c r="J17" s="57"/>
      <c r="K17" s="48" t="s">
        <v>28</v>
      </c>
      <c r="L17" s="58"/>
      <c r="M17" s="31">
        <v>52262</v>
      </c>
      <c r="N17" s="32">
        <v>1426</v>
      </c>
    </row>
    <row r="18" spans="1:14" ht="15.75" thickBot="1" x14ac:dyDescent="0.3">
      <c r="A18" s="23"/>
      <c r="B18" s="24">
        <v>43881</v>
      </c>
      <c r="C18" s="25">
        <v>1105</v>
      </c>
      <c r="D18" s="33" t="s">
        <v>19</v>
      </c>
      <c r="E18" s="27">
        <v>43881</v>
      </c>
      <c r="F18" s="28">
        <v>88871</v>
      </c>
      <c r="H18" s="29">
        <v>43881</v>
      </c>
      <c r="I18" s="34">
        <v>56</v>
      </c>
      <c r="J18" s="57"/>
      <c r="K18" s="59"/>
      <c r="L18" s="52"/>
      <c r="M18" s="31">
        <f>78218+7506.22</f>
        <v>85724.22</v>
      </c>
      <c r="N18" s="32">
        <v>1986</v>
      </c>
    </row>
    <row r="19" spans="1:14" ht="15.75" thickBot="1" x14ac:dyDescent="0.3">
      <c r="A19" s="23"/>
      <c r="B19" s="24">
        <v>43882</v>
      </c>
      <c r="C19" s="25">
        <v>520</v>
      </c>
      <c r="D19" s="33" t="s">
        <v>19</v>
      </c>
      <c r="E19" s="27">
        <v>43882</v>
      </c>
      <c r="F19" s="28">
        <v>151976</v>
      </c>
      <c r="H19" s="29">
        <v>43882</v>
      </c>
      <c r="I19" s="34">
        <v>10096</v>
      </c>
      <c r="J19" s="57"/>
      <c r="K19" s="60"/>
      <c r="L19" s="61"/>
      <c r="M19" s="31">
        <v>138317</v>
      </c>
      <c r="N19" s="32">
        <v>3043</v>
      </c>
    </row>
    <row r="20" spans="1:14" ht="15.75" thickBot="1" x14ac:dyDescent="0.3">
      <c r="A20" s="23"/>
      <c r="B20" s="24">
        <v>43883</v>
      </c>
      <c r="C20" s="25">
        <v>1891</v>
      </c>
      <c r="D20" s="33" t="s">
        <v>29</v>
      </c>
      <c r="E20" s="27">
        <v>43883</v>
      </c>
      <c r="F20" s="28">
        <v>137427</v>
      </c>
      <c r="H20" s="29">
        <v>43883</v>
      </c>
      <c r="I20" s="34">
        <v>0</v>
      </c>
      <c r="J20" s="55"/>
      <c r="K20" s="62"/>
      <c r="L20" s="58"/>
      <c r="M20" s="31">
        <v>122813</v>
      </c>
      <c r="N20" s="32">
        <v>2308</v>
      </c>
    </row>
    <row r="21" spans="1:14" ht="16.5" thickBot="1" x14ac:dyDescent="0.3">
      <c r="A21" s="23"/>
      <c r="B21" s="24">
        <v>43884</v>
      </c>
      <c r="C21" s="25">
        <v>2482</v>
      </c>
      <c r="D21" s="33" t="s">
        <v>30</v>
      </c>
      <c r="E21" s="27">
        <v>43884</v>
      </c>
      <c r="F21" s="28">
        <v>93067</v>
      </c>
      <c r="H21" s="29">
        <v>43884</v>
      </c>
      <c r="I21" s="34">
        <v>0</v>
      </c>
      <c r="J21" s="57"/>
      <c r="K21" s="63"/>
      <c r="L21" s="58"/>
      <c r="M21" s="31">
        <v>85702</v>
      </c>
      <c r="N21" s="32">
        <v>4883</v>
      </c>
    </row>
    <row r="22" spans="1:14" ht="15.75" thickBot="1" x14ac:dyDescent="0.3">
      <c r="A22" s="23"/>
      <c r="B22" s="24">
        <v>43885</v>
      </c>
      <c r="C22" s="25">
        <v>7312</v>
      </c>
      <c r="D22" s="33" t="s">
        <v>31</v>
      </c>
      <c r="E22" s="27">
        <v>43885</v>
      </c>
      <c r="F22" s="28">
        <v>86951</v>
      </c>
      <c r="H22" s="29">
        <v>43885</v>
      </c>
      <c r="I22" s="34">
        <v>0</v>
      </c>
      <c r="J22" s="64"/>
      <c r="K22" s="65"/>
      <c r="L22" s="66"/>
      <c r="M22" s="31">
        <v>79114</v>
      </c>
      <c r="N22" s="32">
        <v>525</v>
      </c>
    </row>
    <row r="23" spans="1:14" ht="15.75" thickBot="1" x14ac:dyDescent="0.3">
      <c r="A23" s="23"/>
      <c r="B23" s="24">
        <v>43886</v>
      </c>
      <c r="C23" s="25">
        <v>3990.5</v>
      </c>
      <c r="D23" s="33" t="s">
        <v>32</v>
      </c>
      <c r="E23" s="27">
        <v>43886</v>
      </c>
      <c r="F23" s="28">
        <v>119228</v>
      </c>
      <c r="H23" s="29">
        <v>43886</v>
      </c>
      <c r="I23" s="34">
        <v>0</v>
      </c>
      <c r="J23" s="67"/>
      <c r="K23" s="68"/>
      <c r="L23" s="58"/>
      <c r="M23" s="31">
        <v>106387</v>
      </c>
      <c r="N23" s="32">
        <v>1560</v>
      </c>
    </row>
    <row r="24" spans="1:14" ht="15.75" thickBot="1" x14ac:dyDescent="0.3">
      <c r="A24" s="23"/>
      <c r="B24" s="24">
        <v>43887</v>
      </c>
      <c r="C24" s="25">
        <v>3244</v>
      </c>
      <c r="D24" s="33" t="s">
        <v>33</v>
      </c>
      <c r="E24" s="27">
        <v>43887</v>
      </c>
      <c r="F24" s="28">
        <v>72097</v>
      </c>
      <c r="H24" s="29">
        <v>43887</v>
      </c>
      <c r="I24" s="34">
        <v>7290</v>
      </c>
      <c r="J24" s="69"/>
      <c r="K24" s="70"/>
      <c r="L24" s="71"/>
      <c r="M24" s="31">
        <f>47912+13104</f>
        <v>61016</v>
      </c>
      <c r="N24" s="32">
        <v>547</v>
      </c>
    </row>
    <row r="25" spans="1:14" ht="15.75" thickBot="1" x14ac:dyDescent="0.3">
      <c r="A25" s="23"/>
      <c r="B25" s="24">
        <v>43888</v>
      </c>
      <c r="C25" s="25">
        <v>3212</v>
      </c>
      <c r="D25" s="33" t="s">
        <v>34</v>
      </c>
      <c r="E25" s="27">
        <v>43888</v>
      </c>
      <c r="F25" s="28">
        <v>77692</v>
      </c>
      <c r="H25" s="29">
        <v>43888</v>
      </c>
      <c r="I25" s="34">
        <v>0</v>
      </c>
      <c r="J25" s="72"/>
      <c r="K25" s="73"/>
      <c r="L25" s="74"/>
      <c r="M25" s="31">
        <v>70182</v>
      </c>
      <c r="N25" s="32">
        <v>4298</v>
      </c>
    </row>
    <row r="26" spans="1:14" ht="15.75" thickBot="1" x14ac:dyDescent="0.3">
      <c r="A26" s="23"/>
      <c r="B26" s="24">
        <v>43889</v>
      </c>
      <c r="C26" s="25">
        <v>0</v>
      </c>
      <c r="D26" s="33"/>
      <c r="E26" s="27">
        <v>43889</v>
      </c>
      <c r="F26" s="28">
        <v>103702</v>
      </c>
      <c r="H26" s="29">
        <v>43889</v>
      </c>
      <c r="I26" s="34">
        <v>10020</v>
      </c>
      <c r="J26" s="57"/>
      <c r="K26" s="75"/>
      <c r="L26" s="52"/>
      <c r="M26" s="31">
        <v>92684</v>
      </c>
      <c r="N26" s="32">
        <v>998</v>
      </c>
    </row>
    <row r="27" spans="1:14" ht="15.75" thickBot="1" x14ac:dyDescent="0.3">
      <c r="A27" s="23"/>
      <c r="B27" s="24">
        <v>43890</v>
      </c>
      <c r="C27" s="25">
        <v>1569</v>
      </c>
      <c r="D27" s="33" t="s">
        <v>12</v>
      </c>
      <c r="E27" s="27">
        <v>43890</v>
      </c>
      <c r="F27" s="28">
        <v>160854</v>
      </c>
      <c r="H27" s="29">
        <v>43890</v>
      </c>
      <c r="I27" s="34">
        <v>3850</v>
      </c>
      <c r="J27" s="76"/>
      <c r="K27" s="77"/>
      <c r="L27" s="74"/>
      <c r="M27" s="31">
        <f>118089+2519+2241</f>
        <v>122849</v>
      </c>
      <c r="N27" s="32">
        <v>6135</v>
      </c>
    </row>
    <row r="28" spans="1:14" ht="15.75" thickBot="1" x14ac:dyDescent="0.3">
      <c r="A28" s="23"/>
      <c r="B28" s="24">
        <v>43891</v>
      </c>
      <c r="C28" s="25">
        <v>1624</v>
      </c>
      <c r="D28" s="33" t="s">
        <v>19</v>
      </c>
      <c r="E28" s="27">
        <v>43891</v>
      </c>
      <c r="F28" s="28">
        <v>101012</v>
      </c>
      <c r="H28" s="29">
        <v>43891</v>
      </c>
      <c r="I28" s="34">
        <v>0</v>
      </c>
      <c r="J28" s="76"/>
      <c r="K28" s="78"/>
      <c r="L28" s="74"/>
      <c r="M28" s="31">
        <v>95579</v>
      </c>
      <c r="N28" s="32">
        <v>3809</v>
      </c>
    </row>
    <row r="29" spans="1:14" ht="15.75" thickBot="1" x14ac:dyDescent="0.3">
      <c r="A29" s="23"/>
      <c r="B29" s="24">
        <v>43892</v>
      </c>
      <c r="C29" s="25">
        <v>817</v>
      </c>
      <c r="D29" s="33" t="s">
        <v>19</v>
      </c>
      <c r="E29" s="27">
        <v>43892</v>
      </c>
      <c r="F29" s="28">
        <v>64009</v>
      </c>
      <c r="H29" s="29">
        <v>43892</v>
      </c>
      <c r="I29" s="34">
        <v>0</v>
      </c>
      <c r="J29" s="76"/>
      <c r="K29" s="73"/>
      <c r="L29" s="74"/>
      <c r="M29" s="31">
        <v>61516</v>
      </c>
      <c r="N29" s="32">
        <v>1676</v>
      </c>
    </row>
    <row r="30" spans="1:14" ht="16.5" thickBot="1" x14ac:dyDescent="0.3">
      <c r="A30" s="23"/>
      <c r="B30" s="24">
        <v>43893</v>
      </c>
      <c r="C30" s="25">
        <v>5684</v>
      </c>
      <c r="D30" s="33" t="s">
        <v>35</v>
      </c>
      <c r="E30" s="27">
        <v>43893</v>
      </c>
      <c r="F30" s="28">
        <v>71953</v>
      </c>
      <c r="H30" s="29">
        <v>43893</v>
      </c>
      <c r="I30" s="79">
        <v>76</v>
      </c>
      <c r="J30" s="80" t="s">
        <v>36</v>
      </c>
      <c r="K30" s="81" t="s">
        <v>37</v>
      </c>
      <c r="L30" s="82">
        <v>9540.1</v>
      </c>
      <c r="M30" s="31">
        <v>64764</v>
      </c>
      <c r="N30" s="32">
        <v>1429</v>
      </c>
    </row>
    <row r="31" spans="1:14" ht="16.5" thickBot="1" x14ac:dyDescent="0.3">
      <c r="A31" s="23"/>
      <c r="B31" s="24">
        <v>43894</v>
      </c>
      <c r="C31" s="83">
        <v>1901</v>
      </c>
      <c r="D31" s="33" t="s">
        <v>19</v>
      </c>
      <c r="E31" s="27">
        <v>43894</v>
      </c>
      <c r="F31" s="28">
        <v>71376</v>
      </c>
      <c r="H31" s="29">
        <v>43894</v>
      </c>
      <c r="I31" s="84">
        <v>0</v>
      </c>
      <c r="J31" s="80" t="s">
        <v>36</v>
      </c>
      <c r="K31" s="81" t="s">
        <v>38</v>
      </c>
      <c r="L31" s="82">
        <v>2600</v>
      </c>
      <c r="M31" s="31">
        <v>68573</v>
      </c>
      <c r="N31" s="32">
        <v>902</v>
      </c>
    </row>
    <row r="32" spans="1:14" ht="15.75" thickBot="1" x14ac:dyDescent="0.3">
      <c r="A32" s="23"/>
      <c r="B32" s="24">
        <v>43895</v>
      </c>
      <c r="C32" s="83">
        <v>675</v>
      </c>
      <c r="D32" s="33" t="s">
        <v>39</v>
      </c>
      <c r="E32" s="27">
        <v>43895</v>
      </c>
      <c r="F32" s="28">
        <v>110121</v>
      </c>
      <c r="H32" s="29">
        <v>43895</v>
      </c>
      <c r="I32" s="84">
        <v>396</v>
      </c>
      <c r="J32" s="85" t="s">
        <v>36</v>
      </c>
      <c r="K32" s="86" t="s">
        <v>40</v>
      </c>
      <c r="L32" s="82">
        <v>1392</v>
      </c>
      <c r="M32" s="31">
        <v>105811</v>
      </c>
      <c r="N32" s="32">
        <v>3239</v>
      </c>
    </row>
    <row r="33" spans="1:14" ht="15.75" x14ac:dyDescent="0.25">
      <c r="A33" s="23"/>
      <c r="B33" s="87">
        <v>43872</v>
      </c>
      <c r="C33" s="88">
        <v>10988.8</v>
      </c>
      <c r="D33" s="89" t="s">
        <v>41</v>
      </c>
      <c r="E33" s="90"/>
      <c r="F33" s="91"/>
      <c r="H33" s="29"/>
      <c r="I33" s="92"/>
      <c r="J33" s="85" t="s">
        <v>36</v>
      </c>
      <c r="K33" s="93" t="s">
        <v>42</v>
      </c>
      <c r="L33" s="45">
        <v>2682.16</v>
      </c>
      <c r="M33" s="31">
        <v>0</v>
      </c>
      <c r="N33" s="32">
        <v>0</v>
      </c>
    </row>
    <row r="34" spans="1:14" ht="15.75" x14ac:dyDescent="0.25">
      <c r="A34" s="23"/>
      <c r="B34" s="24">
        <v>43874</v>
      </c>
      <c r="C34" s="94">
        <v>9660.16</v>
      </c>
      <c r="D34" s="95" t="s">
        <v>41</v>
      </c>
      <c r="E34" s="90"/>
      <c r="F34" s="91"/>
      <c r="H34" s="29"/>
      <c r="I34" s="91"/>
      <c r="J34" s="85" t="s">
        <v>36</v>
      </c>
      <c r="K34" s="86" t="s">
        <v>43</v>
      </c>
      <c r="L34" s="82">
        <v>1697.17</v>
      </c>
      <c r="M34" s="31">
        <v>0</v>
      </c>
      <c r="N34" s="32">
        <v>0</v>
      </c>
    </row>
    <row r="35" spans="1:14" ht="15.75" x14ac:dyDescent="0.25">
      <c r="A35" s="23"/>
      <c r="B35" s="24">
        <v>43876</v>
      </c>
      <c r="C35" s="94">
        <v>10852.12</v>
      </c>
      <c r="D35" s="95" t="s">
        <v>41</v>
      </c>
      <c r="E35" s="90"/>
      <c r="F35" s="91"/>
      <c r="H35" s="29"/>
      <c r="I35" s="91"/>
      <c r="J35" s="85" t="s">
        <v>36</v>
      </c>
      <c r="K35" s="86" t="s">
        <v>44</v>
      </c>
      <c r="L35" s="82">
        <v>0</v>
      </c>
      <c r="M35" s="31">
        <v>0</v>
      </c>
      <c r="N35" s="32">
        <v>0</v>
      </c>
    </row>
    <row r="36" spans="1:14" ht="15.75" x14ac:dyDescent="0.25">
      <c r="A36" s="23"/>
      <c r="B36" s="24">
        <v>43879</v>
      </c>
      <c r="C36" s="94">
        <v>8990.7199999999993</v>
      </c>
      <c r="D36" s="95" t="s">
        <v>41</v>
      </c>
      <c r="E36" s="90"/>
      <c r="F36" s="91"/>
      <c r="H36" s="29"/>
      <c r="I36" s="91"/>
      <c r="J36" s="85" t="s">
        <v>36</v>
      </c>
      <c r="K36" s="96" t="s">
        <v>45</v>
      </c>
      <c r="L36" s="82">
        <v>24077</v>
      </c>
      <c r="M36" s="31">
        <v>0</v>
      </c>
      <c r="N36" s="32">
        <v>0</v>
      </c>
    </row>
    <row r="37" spans="1:14" ht="15.75" x14ac:dyDescent="0.25">
      <c r="A37" s="23"/>
      <c r="B37" s="24">
        <v>43882</v>
      </c>
      <c r="C37" s="94">
        <v>16447.240000000002</v>
      </c>
      <c r="D37" s="95" t="s">
        <v>41</v>
      </c>
      <c r="E37" s="90"/>
      <c r="F37" s="91"/>
      <c r="H37" s="29"/>
      <c r="I37" s="91"/>
      <c r="J37" s="85" t="s">
        <v>36</v>
      </c>
      <c r="K37" s="86" t="s">
        <v>46</v>
      </c>
      <c r="L37" s="82">
        <v>1315.86</v>
      </c>
      <c r="M37" s="31">
        <v>0</v>
      </c>
      <c r="N37" s="32">
        <v>0</v>
      </c>
    </row>
    <row r="38" spans="1:14" ht="15.75" x14ac:dyDescent="0.25">
      <c r="A38" s="23"/>
      <c r="B38" s="24">
        <v>43885</v>
      </c>
      <c r="C38" s="94">
        <v>9276.7999999999993</v>
      </c>
      <c r="D38" s="95" t="s">
        <v>41</v>
      </c>
      <c r="E38" s="90"/>
      <c r="F38" s="91"/>
      <c r="H38" s="29"/>
      <c r="I38" s="91"/>
      <c r="J38" s="85" t="s">
        <v>36</v>
      </c>
      <c r="K38" s="86" t="s">
        <v>47</v>
      </c>
      <c r="L38" s="82">
        <v>29939.599999999999</v>
      </c>
      <c r="M38" s="31">
        <v>0</v>
      </c>
      <c r="N38" s="32">
        <v>0</v>
      </c>
    </row>
    <row r="39" spans="1:14" ht="15.75" x14ac:dyDescent="0.25">
      <c r="A39" s="23"/>
      <c r="B39" s="24">
        <v>43889</v>
      </c>
      <c r="C39" s="97">
        <v>12541.92</v>
      </c>
      <c r="D39" s="95" t="s">
        <v>41</v>
      </c>
      <c r="E39" s="90"/>
      <c r="F39" s="91"/>
      <c r="H39" s="29"/>
      <c r="I39" s="91"/>
      <c r="J39" s="85" t="s">
        <v>36</v>
      </c>
      <c r="K39" s="86" t="s">
        <v>48</v>
      </c>
      <c r="L39" s="82">
        <v>15800</v>
      </c>
      <c r="M39" s="31">
        <v>0</v>
      </c>
      <c r="N39" s="32">
        <v>0</v>
      </c>
    </row>
    <row r="40" spans="1:14" ht="16.5" thickBot="1" x14ac:dyDescent="0.3">
      <c r="A40" s="23"/>
      <c r="B40" s="98">
        <v>43893</v>
      </c>
      <c r="C40" s="99">
        <v>10238.76</v>
      </c>
      <c r="D40" s="100" t="s">
        <v>41</v>
      </c>
      <c r="E40" s="90"/>
      <c r="F40" s="91"/>
      <c r="H40" s="29"/>
      <c r="I40" s="91"/>
      <c r="J40" s="85" t="s">
        <v>36</v>
      </c>
      <c r="K40" s="101" t="s">
        <v>49</v>
      </c>
      <c r="L40" s="82">
        <v>2685</v>
      </c>
      <c r="M40" s="91"/>
      <c r="N40" s="91"/>
    </row>
    <row r="41" spans="1:14" ht="16.5" thickBot="1" x14ac:dyDescent="0.3">
      <c r="A41" s="102"/>
      <c r="B41" s="103"/>
      <c r="C41" s="104"/>
      <c r="D41" s="105"/>
      <c r="E41" s="106"/>
      <c r="F41" s="107"/>
      <c r="G41" s="108"/>
      <c r="H41" s="29">
        <v>43907</v>
      </c>
      <c r="I41" s="107"/>
      <c r="J41" s="85" t="s">
        <v>36</v>
      </c>
      <c r="K41" s="109" t="s">
        <v>50</v>
      </c>
      <c r="L41" s="66">
        <v>3442.3</v>
      </c>
      <c r="M41" s="110">
        <f>SUM(M5:M40)</f>
        <v>2531947.79</v>
      </c>
      <c r="N41" s="111">
        <f>SUM(N5:N40)</f>
        <v>67696</v>
      </c>
    </row>
    <row r="42" spans="1:14" ht="16.5" thickBot="1" x14ac:dyDescent="0.3">
      <c r="B42" s="112" t="s">
        <v>51</v>
      </c>
      <c r="C42" s="113">
        <f>SUM(C5:C41)</f>
        <v>162130.92000000001</v>
      </c>
      <c r="D42" s="114"/>
      <c r="E42" s="115" t="s">
        <v>51</v>
      </c>
      <c r="F42" s="116">
        <f>SUM(F5:F41)</f>
        <v>2772835</v>
      </c>
      <c r="G42" s="114"/>
      <c r="H42" s="117" t="s">
        <v>51</v>
      </c>
      <c r="I42" s="118">
        <f>SUM(I5:I41)</f>
        <v>62116.6</v>
      </c>
      <c r="J42" s="119"/>
      <c r="K42" s="120" t="s">
        <v>51</v>
      </c>
      <c r="L42" s="121">
        <f>SUM(L6:L41)</f>
        <v>198504.88999999998</v>
      </c>
    </row>
    <row r="43" spans="1:14" ht="20.25" thickTop="1" thickBot="1" x14ac:dyDescent="0.3">
      <c r="C43" s="5" t="s">
        <v>10</v>
      </c>
      <c r="M43" s="360">
        <f>N41+M41</f>
        <v>2599643.79</v>
      </c>
      <c r="N43" s="361"/>
    </row>
    <row r="44" spans="1:14" ht="15.75" x14ac:dyDescent="0.25">
      <c r="A44" s="65"/>
      <c r="B44" s="122"/>
      <c r="C44" s="4"/>
      <c r="H44" s="362" t="s">
        <v>52</v>
      </c>
      <c r="I44" s="363"/>
      <c r="J44" s="123"/>
      <c r="K44" s="364">
        <f>I42+L42</f>
        <v>260621.49</v>
      </c>
      <c r="L44" s="365"/>
    </row>
    <row r="45" spans="1:14" ht="15.75" x14ac:dyDescent="0.25">
      <c r="D45" s="367" t="s">
        <v>53</v>
      </c>
      <c r="E45" s="367"/>
      <c r="F45" s="124">
        <f>F42-K44-C42</f>
        <v>2350082.59</v>
      </c>
      <c r="I45" s="125"/>
      <c r="J45" s="125"/>
    </row>
    <row r="46" spans="1:14" ht="18.75" x14ac:dyDescent="0.3">
      <c r="D46" s="368" t="s">
        <v>54</v>
      </c>
      <c r="E46" s="368"/>
      <c r="F46" s="126">
        <v>-2289599.25</v>
      </c>
      <c r="I46" s="369" t="s">
        <v>55</v>
      </c>
      <c r="J46" s="370"/>
      <c r="K46" s="371">
        <f>F51</f>
        <v>442869.79999999981</v>
      </c>
      <c r="L46" s="372"/>
    </row>
    <row r="47" spans="1:14" ht="19.5" thickBot="1" x14ac:dyDescent="0.35">
      <c r="D47" s="127"/>
      <c r="E47" s="128"/>
      <c r="F47" s="129" t="s">
        <v>10</v>
      </c>
      <c r="I47" s="130"/>
      <c r="J47" s="130"/>
      <c r="K47" s="131"/>
      <c r="L47" s="131"/>
    </row>
    <row r="48" spans="1:14" ht="19.5" thickTop="1" x14ac:dyDescent="0.3">
      <c r="C48" s="13" t="s">
        <v>10</v>
      </c>
      <c r="E48" s="65" t="s">
        <v>56</v>
      </c>
      <c r="F48" s="126">
        <f>SUM(F45:F47)</f>
        <v>60483.339999999851</v>
      </c>
      <c r="H48" s="23"/>
      <c r="I48" s="132" t="s">
        <v>57</v>
      </c>
      <c r="J48" s="133"/>
      <c r="K48" s="373">
        <f>-C4</f>
        <v>-355209.27</v>
      </c>
      <c r="L48" s="374"/>
      <c r="M48" s="134"/>
    </row>
    <row r="49" spans="2:14" ht="16.5" thickBot="1" x14ac:dyDescent="0.3">
      <c r="D49" s="135" t="s">
        <v>58</v>
      </c>
      <c r="E49" s="65" t="s">
        <v>59</v>
      </c>
      <c r="F49" s="136">
        <v>18020.8</v>
      </c>
    </row>
    <row r="50" spans="2:14" ht="20.25" thickTop="1" thickBot="1" x14ac:dyDescent="0.35">
      <c r="C50" s="137">
        <v>43895</v>
      </c>
      <c r="D50" s="375" t="s">
        <v>60</v>
      </c>
      <c r="E50" s="376"/>
      <c r="F50" s="138">
        <v>364365.66</v>
      </c>
      <c r="I50" s="377" t="s">
        <v>61</v>
      </c>
      <c r="J50" s="378"/>
      <c r="K50" s="379">
        <f>K46+K48</f>
        <v>87660.529999999795</v>
      </c>
      <c r="L50" s="380"/>
    </row>
    <row r="51" spans="2:14" ht="18.75" x14ac:dyDescent="0.3">
      <c r="C51" s="139"/>
      <c r="D51" s="140"/>
      <c r="E51" s="141" t="s">
        <v>62</v>
      </c>
      <c r="F51" s="142">
        <f>F48+F49+F50</f>
        <v>442869.79999999981</v>
      </c>
      <c r="J51" s="6"/>
      <c r="M51" s="143"/>
    </row>
    <row r="53" spans="2:14" x14ac:dyDescent="0.25">
      <c r="B53"/>
      <c r="C53"/>
      <c r="D53" s="366"/>
      <c r="E53" s="366"/>
      <c r="M53" s="144"/>
      <c r="N53" s="65"/>
    </row>
    <row r="54" spans="2:14" x14ac:dyDescent="0.25">
      <c r="B54"/>
      <c r="C54"/>
      <c r="M54" s="144"/>
      <c r="N54" s="65"/>
    </row>
    <row r="55" spans="2:14" x14ac:dyDescent="0.25">
      <c r="B55"/>
      <c r="C55"/>
      <c r="N55" s="65"/>
    </row>
    <row r="56" spans="2:14" x14ac:dyDescent="0.25">
      <c r="B56"/>
      <c r="C56"/>
      <c r="F56"/>
      <c r="I56"/>
      <c r="J56"/>
      <c r="M56"/>
      <c r="N56" s="65"/>
    </row>
    <row r="57" spans="2:14" x14ac:dyDescent="0.25">
      <c r="B57"/>
      <c r="C57"/>
      <c r="F57" s="145"/>
      <c r="N57" s="65"/>
    </row>
    <row r="58" spans="2:14" x14ac:dyDescent="0.25">
      <c r="F58" s="91"/>
      <c r="M58" s="4"/>
      <c r="N58" s="65"/>
    </row>
    <row r="59" spans="2:14" x14ac:dyDescent="0.25">
      <c r="F59" s="91"/>
      <c r="M59" s="4"/>
      <c r="N59" s="65"/>
    </row>
    <row r="60" spans="2:14" x14ac:dyDescent="0.25">
      <c r="F60" s="91"/>
      <c r="M60" s="4"/>
      <c r="N60" s="65"/>
    </row>
    <row r="61" spans="2:14" x14ac:dyDescent="0.25">
      <c r="F61" s="91"/>
      <c r="M61" s="4"/>
      <c r="N61" s="65"/>
    </row>
    <row r="62" spans="2:14" x14ac:dyDescent="0.25">
      <c r="F62" s="91"/>
      <c r="M62" s="4"/>
    </row>
    <row r="63" spans="2:14" x14ac:dyDescent="0.25">
      <c r="F63" s="91"/>
      <c r="M63" s="4"/>
    </row>
    <row r="64" spans="2:14" x14ac:dyDescent="0.25">
      <c r="F64" s="91"/>
      <c r="M64" s="4"/>
    </row>
    <row r="65" spans="6:13" x14ac:dyDescent="0.25">
      <c r="F65" s="91"/>
      <c r="M65" s="4"/>
    </row>
    <row r="66" spans="6:13" x14ac:dyDescent="0.25">
      <c r="F66" s="91"/>
      <c r="M66" s="4"/>
    </row>
    <row r="67" spans="6:13" x14ac:dyDescent="0.25">
      <c r="F67" s="145"/>
      <c r="M67" s="4"/>
    </row>
    <row r="68" spans="6:13" x14ac:dyDescent="0.25">
      <c r="M68" s="4"/>
    </row>
    <row r="69" spans="6:13" x14ac:dyDescent="0.25">
      <c r="M69" s="4"/>
    </row>
    <row r="70" spans="6:13" x14ac:dyDescent="0.25">
      <c r="M70" s="4"/>
    </row>
    <row r="71" spans="6:13" x14ac:dyDescent="0.25">
      <c r="M71" s="4"/>
    </row>
    <row r="72" spans="6:13" x14ac:dyDescent="0.25">
      <c r="M72" s="4"/>
    </row>
    <row r="73" spans="6:13" x14ac:dyDescent="0.25">
      <c r="M73" s="4"/>
    </row>
    <row r="74" spans="6:13" x14ac:dyDescent="0.25">
      <c r="M74" s="4"/>
    </row>
    <row r="75" spans="6:13" x14ac:dyDescent="0.25">
      <c r="M75" s="4"/>
    </row>
    <row r="76" spans="6:13" x14ac:dyDescent="0.25">
      <c r="M76" s="4"/>
    </row>
    <row r="77" spans="6:13" x14ac:dyDescent="0.25">
      <c r="M77" s="4"/>
    </row>
    <row r="78" spans="6:13" x14ac:dyDescent="0.25">
      <c r="M78" s="4"/>
    </row>
    <row r="79" spans="6:13" x14ac:dyDescent="0.25">
      <c r="M79" s="4"/>
    </row>
    <row r="80" spans="6:13" x14ac:dyDescent="0.25">
      <c r="M80" s="4"/>
    </row>
  </sheetData>
  <mergeCells count="16">
    <mergeCell ref="C1:K1"/>
    <mergeCell ref="B3:C3"/>
    <mergeCell ref="E4:F4"/>
    <mergeCell ref="H4:I4"/>
    <mergeCell ref="M43:N43"/>
    <mergeCell ref="H44:I44"/>
    <mergeCell ref="K44:L44"/>
    <mergeCell ref="D53:E53"/>
    <mergeCell ref="D45:E45"/>
    <mergeCell ref="D46:E46"/>
    <mergeCell ref="I46:J46"/>
    <mergeCell ref="K46:L46"/>
    <mergeCell ref="K48:L48"/>
    <mergeCell ref="D50:E50"/>
    <mergeCell ref="I50:J50"/>
    <mergeCell ref="K50:L50"/>
  </mergeCells>
  <pageMargins left="0.43307086614173229" right="0.15748031496062992" top="0.31496062992125984" bottom="0.31496062992125984" header="0.31496062992125984" footer="0.31496062992125984"/>
  <pageSetup scale="70" orientation="landscape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67359-1FFA-4215-B04A-C10D18399579}">
  <sheetPr>
    <tabColor rgb="FF00B0F0"/>
  </sheetPr>
  <dimension ref="A1:F87"/>
  <sheetViews>
    <sheetView topLeftCell="A34" workbookViewId="0">
      <selection activeCell="H16" sqref="H16"/>
    </sheetView>
  </sheetViews>
  <sheetFormatPr baseColWidth="10" defaultRowHeight="15" x14ac:dyDescent="0.25"/>
  <cols>
    <col min="1" max="1" width="13.42578125" style="65" bestFit="1" customWidth="1"/>
    <col min="2" max="2" width="12.85546875" bestFit="1" customWidth="1"/>
    <col min="3" max="3" width="15.85546875" style="13" bestFit="1" customWidth="1"/>
    <col min="4" max="4" width="12.42578125" bestFit="1" customWidth="1"/>
    <col min="5" max="5" width="15.140625" style="13" bestFit="1" customWidth="1"/>
    <col min="6" max="6" width="19.5703125" style="13" bestFit="1" customWidth="1"/>
  </cols>
  <sheetData>
    <row r="1" spans="1:6" ht="36.75" customHeight="1" x14ac:dyDescent="0.35">
      <c r="B1" s="146" t="s">
        <v>63</v>
      </c>
      <c r="C1" s="147"/>
      <c r="D1" s="148"/>
      <c r="E1" s="147"/>
      <c r="F1" s="149"/>
    </row>
    <row r="2" spans="1:6" ht="16.5" thickBot="1" x14ac:dyDescent="0.3">
      <c r="A2" s="150" t="s">
        <v>64</v>
      </c>
      <c r="B2" s="150" t="s">
        <v>65</v>
      </c>
      <c r="C2" s="151" t="s">
        <v>66</v>
      </c>
      <c r="D2" s="150" t="s">
        <v>67</v>
      </c>
      <c r="E2" s="151" t="s">
        <v>68</v>
      </c>
      <c r="F2" s="151" t="s">
        <v>66</v>
      </c>
    </row>
    <row r="3" spans="1:6" x14ac:dyDescent="0.25">
      <c r="A3" s="152">
        <v>43869</v>
      </c>
      <c r="B3" s="153">
        <v>4106</v>
      </c>
      <c r="C3" s="56">
        <v>145478.92000000001</v>
      </c>
      <c r="D3" s="154"/>
      <c r="E3" s="56"/>
      <c r="F3" s="155">
        <f>C3-E3</f>
        <v>145478.92000000001</v>
      </c>
    </row>
    <row r="4" spans="1:6" x14ac:dyDescent="0.25">
      <c r="A4" s="156">
        <v>43869</v>
      </c>
      <c r="B4" s="157">
        <v>4113</v>
      </c>
      <c r="C4" s="97">
        <v>4191.3</v>
      </c>
      <c r="D4" s="158"/>
      <c r="E4" s="97"/>
      <c r="F4" s="155">
        <f>F3+C4-E4</f>
        <v>149670.22</v>
      </c>
    </row>
    <row r="5" spans="1:6" x14ac:dyDescent="0.25">
      <c r="A5" s="158">
        <v>43870</v>
      </c>
      <c r="B5" s="157">
        <v>4213</v>
      </c>
      <c r="C5" s="97">
        <v>3434.3</v>
      </c>
      <c r="D5" s="158"/>
      <c r="E5" s="97"/>
      <c r="F5" s="155">
        <f t="shared" ref="F5:F50" si="0">F4+C5-E5</f>
        <v>153104.51999999999</v>
      </c>
    </row>
    <row r="6" spans="1:6" x14ac:dyDescent="0.25">
      <c r="A6" s="158">
        <v>43870</v>
      </c>
      <c r="B6" s="157">
        <v>4228</v>
      </c>
      <c r="C6" s="97">
        <v>5048</v>
      </c>
      <c r="D6" s="158"/>
      <c r="E6" s="97"/>
      <c r="F6" s="155">
        <f t="shared" si="0"/>
        <v>158152.51999999999</v>
      </c>
    </row>
    <row r="7" spans="1:6" x14ac:dyDescent="0.25">
      <c r="A7" s="158">
        <v>43870</v>
      </c>
      <c r="B7" s="157">
        <v>4262</v>
      </c>
      <c r="C7" s="97">
        <v>100796.5</v>
      </c>
      <c r="D7" s="158"/>
      <c r="E7" s="97"/>
      <c r="F7" s="155">
        <f t="shared" si="0"/>
        <v>258949.02</v>
      </c>
    </row>
    <row r="8" spans="1:6" x14ac:dyDescent="0.25">
      <c r="A8" s="158">
        <v>43872</v>
      </c>
      <c r="B8" s="157">
        <v>4445</v>
      </c>
      <c r="C8" s="97">
        <v>140862.12</v>
      </c>
      <c r="D8" s="158"/>
      <c r="E8" s="97"/>
      <c r="F8" s="155">
        <f t="shared" si="0"/>
        <v>399811.14</v>
      </c>
    </row>
    <row r="9" spans="1:6" x14ac:dyDescent="0.25">
      <c r="A9" s="158">
        <v>43872</v>
      </c>
      <c r="B9" s="157">
        <v>4457</v>
      </c>
      <c r="C9" s="97">
        <v>5400</v>
      </c>
      <c r="D9" s="158">
        <v>43873</v>
      </c>
      <c r="E9" s="97">
        <v>405211.14</v>
      </c>
      <c r="F9" s="155">
        <f t="shared" si="0"/>
        <v>0</v>
      </c>
    </row>
    <row r="10" spans="1:6" x14ac:dyDescent="0.25">
      <c r="A10" s="158">
        <v>43873</v>
      </c>
      <c r="B10" s="157">
        <v>4549</v>
      </c>
      <c r="C10" s="97">
        <v>32080.46</v>
      </c>
      <c r="D10" s="158"/>
      <c r="E10" s="97"/>
      <c r="F10" s="155">
        <f t="shared" si="0"/>
        <v>32080.46</v>
      </c>
    </row>
    <row r="11" spans="1:6" x14ac:dyDescent="0.25">
      <c r="A11" s="156">
        <v>43873</v>
      </c>
      <c r="B11" s="157">
        <v>4560</v>
      </c>
      <c r="C11" s="97">
        <v>3300</v>
      </c>
      <c r="D11" s="158"/>
      <c r="E11" s="97"/>
      <c r="F11" s="155">
        <f t="shared" si="0"/>
        <v>35380.46</v>
      </c>
    </row>
    <row r="12" spans="1:6" x14ac:dyDescent="0.25">
      <c r="A12" s="158">
        <v>43875</v>
      </c>
      <c r="B12" s="157">
        <v>4790</v>
      </c>
      <c r="C12" s="97">
        <v>133306.85999999999</v>
      </c>
      <c r="D12" s="158"/>
      <c r="E12" s="97"/>
      <c r="F12" s="155">
        <f t="shared" si="0"/>
        <v>168687.31999999998</v>
      </c>
    </row>
    <row r="13" spans="1:6" x14ac:dyDescent="0.25">
      <c r="A13" s="158">
        <v>43875</v>
      </c>
      <c r="B13" s="157">
        <v>4801</v>
      </c>
      <c r="C13" s="97">
        <v>23398.2</v>
      </c>
      <c r="D13" s="158"/>
      <c r="E13" s="97"/>
      <c r="F13" s="155">
        <f t="shared" si="0"/>
        <v>192085.52</v>
      </c>
    </row>
    <row r="14" spans="1:6" x14ac:dyDescent="0.25">
      <c r="A14" s="158">
        <v>43875</v>
      </c>
      <c r="B14" s="157">
        <v>4859</v>
      </c>
      <c r="C14" s="97">
        <v>19477.8</v>
      </c>
      <c r="D14" s="158"/>
      <c r="E14" s="97"/>
      <c r="F14" s="155">
        <f t="shared" si="0"/>
        <v>211563.31999999998</v>
      </c>
    </row>
    <row r="15" spans="1:6" x14ac:dyDescent="0.25">
      <c r="A15" s="158">
        <v>43876</v>
      </c>
      <c r="B15" s="157">
        <v>4958</v>
      </c>
      <c r="C15" s="97">
        <v>75357.899999999994</v>
      </c>
      <c r="D15" s="158"/>
      <c r="E15" s="97"/>
      <c r="F15" s="155">
        <f t="shared" si="0"/>
        <v>286921.21999999997</v>
      </c>
    </row>
    <row r="16" spans="1:6" x14ac:dyDescent="0.25">
      <c r="A16" s="158">
        <v>43876</v>
      </c>
      <c r="B16" s="157">
        <v>4965</v>
      </c>
      <c r="C16" s="97">
        <v>28216.12</v>
      </c>
      <c r="D16" s="158"/>
      <c r="E16" s="97"/>
      <c r="F16" s="155">
        <f t="shared" si="0"/>
        <v>315137.33999999997</v>
      </c>
    </row>
    <row r="17" spans="1:6" x14ac:dyDescent="0.25">
      <c r="A17" s="158">
        <v>43876</v>
      </c>
      <c r="B17" s="157">
        <v>5022</v>
      </c>
      <c r="C17" s="97">
        <v>12587.6</v>
      </c>
      <c r="D17" s="158"/>
      <c r="E17" s="97"/>
      <c r="F17" s="155">
        <f t="shared" si="0"/>
        <v>327724.93999999994</v>
      </c>
    </row>
    <row r="18" spans="1:6" x14ac:dyDescent="0.25">
      <c r="A18" s="158">
        <v>43877</v>
      </c>
      <c r="B18" s="157">
        <v>5073</v>
      </c>
      <c r="C18" s="97">
        <v>16065.2</v>
      </c>
      <c r="D18" s="158"/>
      <c r="E18" s="97"/>
      <c r="F18" s="155">
        <f t="shared" si="0"/>
        <v>343790.13999999996</v>
      </c>
    </row>
    <row r="19" spans="1:6" x14ac:dyDescent="0.25">
      <c r="A19" s="158">
        <v>43877</v>
      </c>
      <c r="B19" s="157">
        <v>5084</v>
      </c>
      <c r="C19" s="97">
        <v>78089.3</v>
      </c>
      <c r="D19" s="158"/>
      <c r="E19" s="97"/>
      <c r="F19" s="155">
        <f t="shared" si="0"/>
        <v>421879.43999999994</v>
      </c>
    </row>
    <row r="20" spans="1:6" x14ac:dyDescent="0.25">
      <c r="A20" s="158">
        <v>43877</v>
      </c>
      <c r="B20" s="157">
        <v>5091</v>
      </c>
      <c r="C20" s="97">
        <v>2860</v>
      </c>
      <c r="D20" s="158"/>
      <c r="E20" s="97"/>
      <c r="F20" s="155">
        <f t="shared" si="0"/>
        <v>424739.43999999994</v>
      </c>
    </row>
    <row r="21" spans="1:6" x14ac:dyDescent="0.25">
      <c r="A21" s="158">
        <v>43878</v>
      </c>
      <c r="B21" s="157">
        <v>5206</v>
      </c>
      <c r="C21" s="97">
        <v>42173.48</v>
      </c>
      <c r="D21" s="158"/>
      <c r="E21" s="97"/>
      <c r="F21" s="155">
        <f t="shared" si="0"/>
        <v>466912.91999999993</v>
      </c>
    </row>
    <row r="22" spans="1:6" x14ac:dyDescent="0.25">
      <c r="A22" s="158">
        <v>43879</v>
      </c>
      <c r="B22" s="157">
        <v>5261</v>
      </c>
      <c r="C22" s="97">
        <v>107603.26</v>
      </c>
      <c r="D22" s="158">
        <v>43879</v>
      </c>
      <c r="E22" s="97">
        <v>574516.18000000005</v>
      </c>
      <c r="F22" s="155">
        <f t="shared" si="0"/>
        <v>0</v>
      </c>
    </row>
    <row r="23" spans="1:6" x14ac:dyDescent="0.25">
      <c r="A23" s="158">
        <v>43880</v>
      </c>
      <c r="B23" s="157">
        <v>5339</v>
      </c>
      <c r="C23" s="97">
        <v>520</v>
      </c>
      <c r="D23" s="158"/>
      <c r="E23" s="97"/>
      <c r="F23" s="155">
        <f t="shared" si="0"/>
        <v>520</v>
      </c>
    </row>
    <row r="24" spans="1:6" x14ac:dyDescent="0.25">
      <c r="A24" s="158">
        <v>43881</v>
      </c>
      <c r="B24" s="157">
        <v>5456</v>
      </c>
      <c r="C24" s="97">
        <v>78381.75</v>
      </c>
      <c r="D24" s="158"/>
      <c r="E24" s="97"/>
      <c r="F24" s="155">
        <f t="shared" si="0"/>
        <v>78901.75</v>
      </c>
    </row>
    <row r="25" spans="1:6" x14ac:dyDescent="0.25">
      <c r="A25" s="158">
        <v>43881</v>
      </c>
      <c r="B25" s="157">
        <v>5565</v>
      </c>
      <c r="C25" s="97">
        <v>122502.8</v>
      </c>
      <c r="D25" s="158"/>
      <c r="E25" s="97"/>
      <c r="F25" s="155">
        <f t="shared" si="0"/>
        <v>201404.55</v>
      </c>
    </row>
    <row r="26" spans="1:6" x14ac:dyDescent="0.25">
      <c r="A26" s="158">
        <v>43882</v>
      </c>
      <c r="B26" s="157">
        <v>5625</v>
      </c>
      <c r="C26" s="97">
        <v>75406.320000000007</v>
      </c>
      <c r="D26" s="158"/>
      <c r="E26" s="97"/>
      <c r="F26" s="155">
        <f t="shared" si="0"/>
        <v>276810.87</v>
      </c>
    </row>
    <row r="27" spans="1:6" x14ac:dyDescent="0.25">
      <c r="A27" s="158">
        <v>43883</v>
      </c>
      <c r="B27" s="157">
        <v>5788</v>
      </c>
      <c r="C27" s="97">
        <v>9910.6</v>
      </c>
      <c r="D27" s="158"/>
      <c r="E27" s="97"/>
      <c r="F27" s="155">
        <f t="shared" si="0"/>
        <v>286721.46999999997</v>
      </c>
    </row>
    <row r="28" spans="1:6" x14ac:dyDescent="0.25">
      <c r="A28" s="156">
        <v>43883</v>
      </c>
      <c r="B28" s="157">
        <v>5811</v>
      </c>
      <c r="C28" s="97">
        <v>133044.6</v>
      </c>
      <c r="D28" s="158"/>
      <c r="E28" s="97"/>
      <c r="F28" s="155">
        <f t="shared" si="0"/>
        <v>419766.06999999995</v>
      </c>
    </row>
    <row r="29" spans="1:6" x14ac:dyDescent="0.25">
      <c r="A29" s="156">
        <v>43883</v>
      </c>
      <c r="B29" s="157">
        <v>5844</v>
      </c>
      <c r="C29" s="97">
        <v>43547.5</v>
      </c>
      <c r="D29" s="158"/>
      <c r="E29" s="97"/>
      <c r="F29" s="155">
        <f t="shared" si="0"/>
        <v>463313.56999999995</v>
      </c>
    </row>
    <row r="30" spans="1:6" x14ac:dyDescent="0.25">
      <c r="A30" s="156">
        <v>43885</v>
      </c>
      <c r="B30" s="157">
        <v>5919</v>
      </c>
      <c r="C30" s="97">
        <v>48182.2</v>
      </c>
      <c r="D30" s="158">
        <v>43885</v>
      </c>
      <c r="E30" s="97">
        <v>511495.77</v>
      </c>
      <c r="F30" s="155">
        <f t="shared" si="0"/>
        <v>0</v>
      </c>
    </row>
    <row r="31" spans="1:6" x14ac:dyDescent="0.25">
      <c r="A31" s="156">
        <v>43886</v>
      </c>
      <c r="B31" s="157">
        <v>6112</v>
      </c>
      <c r="C31" s="97">
        <v>106051.2</v>
      </c>
      <c r="D31" s="158"/>
      <c r="E31" s="97"/>
      <c r="F31" s="155">
        <f t="shared" si="0"/>
        <v>106051.2</v>
      </c>
    </row>
    <row r="32" spans="1:6" x14ac:dyDescent="0.25">
      <c r="A32" s="156">
        <v>43887</v>
      </c>
      <c r="B32" s="157">
        <v>6196</v>
      </c>
      <c r="C32" s="97">
        <v>1239.9000000000001</v>
      </c>
      <c r="D32" s="158"/>
      <c r="E32" s="97"/>
      <c r="F32" s="155">
        <f t="shared" si="0"/>
        <v>107291.09999999999</v>
      </c>
    </row>
    <row r="33" spans="1:6" x14ac:dyDescent="0.25">
      <c r="A33" s="156">
        <v>43887</v>
      </c>
      <c r="B33" s="157">
        <v>6198</v>
      </c>
      <c r="C33" s="97">
        <v>129872.43</v>
      </c>
      <c r="D33" s="158"/>
      <c r="E33" s="97"/>
      <c r="F33" s="155">
        <f t="shared" si="0"/>
        <v>237163.52999999997</v>
      </c>
    </row>
    <row r="34" spans="1:6" x14ac:dyDescent="0.25">
      <c r="A34" s="156">
        <v>43888</v>
      </c>
      <c r="B34" s="157">
        <v>6265</v>
      </c>
      <c r="C34" s="97">
        <v>65799.55</v>
      </c>
      <c r="D34" s="158">
        <v>43889</v>
      </c>
      <c r="E34" s="97">
        <v>302963.08</v>
      </c>
      <c r="F34" s="155">
        <f t="shared" si="0"/>
        <v>0</v>
      </c>
    </row>
    <row r="35" spans="1:6" x14ac:dyDescent="0.25">
      <c r="A35" s="156">
        <v>43889</v>
      </c>
      <c r="B35" s="157">
        <v>6449</v>
      </c>
      <c r="C35" s="97">
        <v>32266.799999999999</v>
      </c>
      <c r="D35" s="158"/>
      <c r="E35" s="97"/>
      <c r="F35" s="155">
        <f t="shared" si="0"/>
        <v>32266.799999999999</v>
      </c>
    </row>
    <row r="36" spans="1:6" x14ac:dyDescent="0.25">
      <c r="A36" s="156">
        <v>43889</v>
      </c>
      <c r="B36" s="157">
        <v>6456</v>
      </c>
      <c r="C36" s="97">
        <v>61649.52</v>
      </c>
      <c r="D36" s="158"/>
      <c r="E36" s="97"/>
      <c r="F36" s="155">
        <f t="shared" si="0"/>
        <v>93916.319999999992</v>
      </c>
    </row>
    <row r="37" spans="1:6" x14ac:dyDescent="0.25">
      <c r="A37" s="156">
        <v>43889</v>
      </c>
      <c r="B37" s="157">
        <v>6468</v>
      </c>
      <c r="C37" s="97">
        <v>48393.45</v>
      </c>
      <c r="D37" s="158"/>
      <c r="E37" s="97"/>
      <c r="F37" s="155">
        <f t="shared" si="0"/>
        <v>142309.76999999999</v>
      </c>
    </row>
    <row r="38" spans="1:6" x14ac:dyDescent="0.25">
      <c r="A38" s="156">
        <v>43889</v>
      </c>
      <c r="B38" s="157">
        <v>6469</v>
      </c>
      <c r="C38" s="97">
        <v>976.8</v>
      </c>
      <c r="D38" s="158"/>
      <c r="E38" s="97"/>
      <c r="F38" s="155">
        <f t="shared" si="0"/>
        <v>143286.56999999998</v>
      </c>
    </row>
    <row r="39" spans="1:6" x14ac:dyDescent="0.25">
      <c r="A39" s="156">
        <v>43890</v>
      </c>
      <c r="B39" s="157">
        <v>6563</v>
      </c>
      <c r="C39" s="97">
        <v>63781.2</v>
      </c>
      <c r="D39" s="158"/>
      <c r="E39" s="97"/>
      <c r="F39" s="155">
        <f t="shared" si="0"/>
        <v>207067.76999999996</v>
      </c>
    </row>
    <row r="40" spans="1:6" x14ac:dyDescent="0.25">
      <c r="A40" s="156">
        <v>43890</v>
      </c>
      <c r="B40" s="157">
        <v>6591</v>
      </c>
      <c r="C40" s="97">
        <v>46626</v>
      </c>
      <c r="D40" s="158"/>
      <c r="E40" s="97"/>
      <c r="F40" s="155">
        <f t="shared" si="0"/>
        <v>253693.76999999996</v>
      </c>
    </row>
    <row r="41" spans="1:6" x14ac:dyDescent="0.25">
      <c r="A41" s="156">
        <v>43893</v>
      </c>
      <c r="B41" s="157">
        <v>6825</v>
      </c>
      <c r="C41" s="97">
        <v>107181.42</v>
      </c>
      <c r="D41" s="158"/>
      <c r="E41" s="97"/>
      <c r="F41" s="155">
        <f t="shared" si="0"/>
        <v>360875.18999999994</v>
      </c>
    </row>
    <row r="42" spans="1:6" x14ac:dyDescent="0.25">
      <c r="A42" s="156">
        <v>43865</v>
      </c>
      <c r="B42" s="157">
        <v>6982</v>
      </c>
      <c r="C42" s="97">
        <v>134047.89000000001</v>
      </c>
      <c r="D42" s="158"/>
      <c r="E42" s="97"/>
      <c r="F42" s="155">
        <f t="shared" si="0"/>
        <v>494923.07999999996</v>
      </c>
    </row>
    <row r="43" spans="1:6" x14ac:dyDescent="0.25">
      <c r="A43" s="156">
        <v>43894</v>
      </c>
      <c r="B43" s="157">
        <v>6385</v>
      </c>
      <c r="C43" s="97">
        <v>490</v>
      </c>
      <c r="D43" s="158">
        <v>43897</v>
      </c>
      <c r="E43" s="97">
        <v>495413.08</v>
      </c>
      <c r="F43" s="155">
        <f t="shared" si="0"/>
        <v>0</v>
      </c>
    </row>
    <row r="44" spans="1:6" x14ac:dyDescent="0.25">
      <c r="A44" s="156"/>
      <c r="B44" s="157"/>
      <c r="C44" s="97">
        <v>0</v>
      </c>
      <c r="D44" s="158"/>
      <c r="E44" s="97"/>
      <c r="F44" s="155">
        <f t="shared" si="0"/>
        <v>0</v>
      </c>
    </row>
    <row r="45" spans="1:6" x14ac:dyDescent="0.25">
      <c r="A45" s="156"/>
      <c r="B45" s="157"/>
      <c r="C45" s="97">
        <v>0</v>
      </c>
      <c r="D45" s="158"/>
      <c r="E45" s="97"/>
      <c r="F45" s="155">
        <f t="shared" si="0"/>
        <v>0</v>
      </c>
    </row>
    <row r="46" spans="1:6" x14ac:dyDescent="0.25">
      <c r="A46" s="156"/>
      <c r="B46" s="157"/>
      <c r="C46" s="97">
        <v>0</v>
      </c>
      <c r="D46" s="158"/>
      <c r="E46" s="97"/>
      <c r="F46" s="155">
        <f t="shared" si="0"/>
        <v>0</v>
      </c>
    </row>
    <row r="47" spans="1:6" x14ac:dyDescent="0.25">
      <c r="A47" s="156"/>
      <c r="B47" s="157"/>
      <c r="C47" s="97">
        <v>0</v>
      </c>
      <c r="D47" s="158"/>
      <c r="E47" s="97"/>
      <c r="F47" s="155">
        <f t="shared" si="0"/>
        <v>0</v>
      </c>
    </row>
    <row r="48" spans="1:6" x14ac:dyDescent="0.25">
      <c r="A48" s="156"/>
      <c r="B48" s="157"/>
      <c r="C48" s="97">
        <v>0</v>
      </c>
      <c r="D48" s="158"/>
      <c r="E48" s="97"/>
      <c r="F48" s="155">
        <f t="shared" si="0"/>
        <v>0</v>
      </c>
    </row>
    <row r="49" spans="1:6" x14ac:dyDescent="0.25">
      <c r="A49" s="156"/>
      <c r="B49" s="157"/>
      <c r="C49" s="97">
        <v>0</v>
      </c>
      <c r="D49" s="158"/>
      <c r="E49" s="97"/>
      <c r="F49" s="155">
        <f t="shared" si="0"/>
        <v>0</v>
      </c>
    </row>
    <row r="50" spans="1:6" ht="15.75" thickBot="1" x14ac:dyDescent="0.3">
      <c r="A50" s="159"/>
      <c r="B50" s="160"/>
      <c r="C50" s="161">
        <v>0</v>
      </c>
      <c r="D50" s="162"/>
      <c r="E50" s="161"/>
      <c r="F50" s="155">
        <f t="shared" si="0"/>
        <v>0</v>
      </c>
    </row>
    <row r="51" spans="1:6" ht="19.5" thickTop="1" x14ac:dyDescent="0.3">
      <c r="B51" s="65"/>
      <c r="C51" s="4">
        <f>SUM(C3:C50)</f>
        <v>2289599.25</v>
      </c>
      <c r="D51" s="1"/>
      <c r="E51" s="4">
        <f>SUM(E3:E50)</f>
        <v>2289599.25</v>
      </c>
      <c r="F51" s="163">
        <f>F50</f>
        <v>0</v>
      </c>
    </row>
    <row r="52" spans="1:6" x14ac:dyDescent="0.25">
      <c r="B52" s="65"/>
      <c r="C52" s="4"/>
      <c r="D52" s="1"/>
      <c r="E52" s="5"/>
      <c r="F52" s="4"/>
    </row>
    <row r="53" spans="1:6" x14ac:dyDescent="0.25">
      <c r="B53" s="65"/>
      <c r="C53" s="4"/>
      <c r="D53" s="1"/>
      <c r="E53" s="5"/>
      <c r="F53" s="4"/>
    </row>
    <row r="54" spans="1:6" x14ac:dyDescent="0.25">
      <c r="A54"/>
      <c r="B54" s="23"/>
      <c r="D54" s="23"/>
    </row>
    <row r="55" spans="1:6" x14ac:dyDescent="0.25">
      <c r="A55"/>
      <c r="B55" s="23"/>
      <c r="D55" s="23"/>
    </row>
    <row r="56" spans="1:6" x14ac:dyDescent="0.25">
      <c r="A56"/>
      <c r="B56" s="23"/>
      <c r="D56" s="23"/>
    </row>
    <row r="57" spans="1:6" x14ac:dyDescent="0.25">
      <c r="A57"/>
      <c r="B57" s="23"/>
      <c r="D57" s="23"/>
      <c r="F57"/>
    </row>
    <row r="58" spans="1:6" x14ac:dyDescent="0.25">
      <c r="A58"/>
      <c r="B58" s="23"/>
      <c r="D58" s="23"/>
      <c r="F58"/>
    </row>
    <row r="59" spans="1:6" x14ac:dyDescent="0.25">
      <c r="A59"/>
      <c r="B59" s="23"/>
      <c r="D59" s="23"/>
      <c r="F59"/>
    </row>
    <row r="60" spans="1:6" x14ac:dyDescent="0.25">
      <c r="A60"/>
      <c r="B60" s="23"/>
      <c r="D60" s="23"/>
      <c r="F60"/>
    </row>
    <row r="61" spans="1:6" x14ac:dyDescent="0.25">
      <c r="A61"/>
      <c r="B61" s="23"/>
      <c r="D61" s="23"/>
      <c r="F61"/>
    </row>
    <row r="62" spans="1:6" x14ac:dyDescent="0.25">
      <c r="A62"/>
      <c r="B62" s="23"/>
      <c r="D62" s="23"/>
      <c r="F62"/>
    </row>
    <row r="63" spans="1:6" x14ac:dyDescent="0.25">
      <c r="A63"/>
      <c r="B63" s="23"/>
      <c r="D63" s="23"/>
      <c r="F63"/>
    </row>
    <row r="64" spans="1:6" x14ac:dyDescent="0.25">
      <c r="A64"/>
      <c r="B64" s="23"/>
      <c r="D64" s="23"/>
      <c r="F64"/>
    </row>
    <row r="65" spans="1:6" x14ac:dyDescent="0.25">
      <c r="A65"/>
      <c r="B65" s="23"/>
      <c r="D65" s="23"/>
      <c r="F65"/>
    </row>
    <row r="66" spans="1:6" x14ac:dyDescent="0.25">
      <c r="A66"/>
      <c r="B66" s="23"/>
      <c r="D66" s="23"/>
      <c r="E66"/>
      <c r="F66"/>
    </row>
    <row r="67" spans="1:6" x14ac:dyDescent="0.25">
      <c r="A67"/>
      <c r="B67" s="23"/>
      <c r="D67" s="23"/>
      <c r="E67"/>
      <c r="F67"/>
    </row>
    <row r="68" spans="1:6" x14ac:dyDescent="0.25">
      <c r="A68"/>
      <c r="B68" s="23"/>
      <c r="D68" s="23"/>
      <c r="E68"/>
      <c r="F68"/>
    </row>
    <row r="69" spans="1:6" x14ac:dyDescent="0.25">
      <c r="A69"/>
      <c r="B69" s="23"/>
      <c r="D69" s="23"/>
      <c r="E69"/>
      <c r="F69"/>
    </row>
    <row r="70" spans="1:6" x14ac:dyDescent="0.25">
      <c r="A70"/>
      <c r="B70" s="23"/>
      <c r="D70" s="23"/>
      <c r="E70"/>
      <c r="F70"/>
    </row>
    <row r="71" spans="1:6" x14ac:dyDescent="0.25">
      <c r="A71"/>
      <c r="B71" s="23"/>
      <c r="D71" s="23"/>
      <c r="E71"/>
      <c r="F71"/>
    </row>
    <row r="72" spans="1:6" x14ac:dyDescent="0.25">
      <c r="B72" s="23"/>
      <c r="D72" s="23"/>
      <c r="E72"/>
    </row>
    <row r="73" spans="1:6" x14ac:dyDescent="0.25">
      <c r="B73" s="23"/>
      <c r="D73" s="23"/>
      <c r="E73"/>
    </row>
    <row r="74" spans="1:6" x14ac:dyDescent="0.25">
      <c r="B74" s="23"/>
      <c r="D74" s="23"/>
      <c r="E74"/>
    </row>
    <row r="75" spans="1:6" x14ac:dyDescent="0.25">
      <c r="B75" s="23"/>
      <c r="D75" s="23"/>
      <c r="E75"/>
    </row>
    <row r="76" spans="1:6" x14ac:dyDescent="0.25">
      <c r="B76" s="23"/>
      <c r="D76" s="23"/>
      <c r="E76"/>
    </row>
    <row r="77" spans="1:6" x14ac:dyDescent="0.25">
      <c r="B77" s="23"/>
      <c r="D77" s="23"/>
      <c r="E77"/>
    </row>
    <row r="78" spans="1:6" x14ac:dyDescent="0.25">
      <c r="B78" s="23"/>
      <c r="D78" s="23"/>
      <c r="E78"/>
    </row>
    <row r="79" spans="1:6" x14ac:dyDescent="0.25">
      <c r="B79" s="23"/>
      <c r="D79" s="23"/>
      <c r="E79"/>
    </row>
    <row r="80" spans="1:6" x14ac:dyDescent="0.25">
      <c r="B80" s="23"/>
      <c r="D80" s="23"/>
      <c r="E80"/>
    </row>
    <row r="81" spans="2:4" x14ac:dyDescent="0.25">
      <c r="B81" s="23"/>
    </row>
    <row r="82" spans="2:4" x14ac:dyDescent="0.25">
      <c r="B82" s="23"/>
    </row>
    <row r="83" spans="2:4" x14ac:dyDescent="0.25">
      <c r="B83" s="23"/>
      <c r="D83" s="23"/>
    </row>
    <row r="84" spans="2:4" x14ac:dyDescent="0.25">
      <c r="B84" s="23"/>
    </row>
    <row r="85" spans="2:4" x14ac:dyDescent="0.25">
      <c r="B85" s="23"/>
    </row>
    <row r="86" spans="2:4" x14ac:dyDescent="0.25">
      <c r="B86" s="23"/>
    </row>
    <row r="87" spans="2:4" ht="18.75" x14ac:dyDescent="0.3">
      <c r="C87" s="14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A1CAB-0A56-47D7-98DF-CF0E69EDFC51}">
  <sheetPr>
    <tabColor rgb="FFFF00FF"/>
  </sheetPr>
  <dimension ref="A1:O78"/>
  <sheetViews>
    <sheetView topLeftCell="A25" workbookViewId="0">
      <selection activeCell="G19" sqref="G19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13" customWidth="1"/>
    <col min="4" max="4" width="15.28515625" customWidth="1"/>
    <col min="6" max="6" width="17.85546875" style="13" customWidth="1"/>
    <col min="7" max="7" width="2.85546875" customWidth="1"/>
    <col min="9" max="9" width="12.140625" style="13" customWidth="1"/>
    <col min="10" max="10" width="11.7109375" style="13" customWidth="1"/>
    <col min="11" max="11" width="17.28515625" customWidth="1"/>
    <col min="12" max="12" width="14.5703125" customWidth="1"/>
    <col min="13" max="13" width="18.140625" style="13" customWidth="1"/>
    <col min="14" max="14" width="14.42578125" style="4" customWidth="1"/>
    <col min="15" max="15" width="8.42578125" style="4" customWidth="1"/>
  </cols>
  <sheetData>
    <row r="1" spans="1:15" ht="23.25" x14ac:dyDescent="0.35">
      <c r="C1" s="353" t="s">
        <v>0</v>
      </c>
      <c r="D1" s="353"/>
      <c r="E1" s="353"/>
      <c r="F1" s="353"/>
      <c r="G1" s="353"/>
      <c r="H1" s="353"/>
      <c r="I1" s="353"/>
      <c r="J1" s="353"/>
      <c r="K1" s="353"/>
      <c r="L1" s="2"/>
      <c r="M1" s="3"/>
    </row>
    <row r="2" spans="1:15" ht="18.75" x14ac:dyDescent="0.3">
      <c r="C2" s="5"/>
      <c r="E2" s="381" t="s">
        <v>135</v>
      </c>
      <c r="F2" s="381"/>
      <c r="H2" s="184" t="s">
        <v>1</v>
      </c>
      <c r="I2" s="3"/>
      <c r="J2" s="3"/>
      <c r="M2" s="3"/>
      <c r="N2" s="56"/>
      <c r="O2" s="56"/>
    </row>
    <row r="3" spans="1:15" ht="19.5" thickBot="1" x14ac:dyDescent="0.35">
      <c r="B3" s="354" t="s">
        <v>2</v>
      </c>
      <c r="C3" s="355"/>
      <c r="D3" s="12"/>
      <c r="E3" s="382"/>
      <c r="F3" s="382"/>
      <c r="I3" s="185" t="s">
        <v>3</v>
      </c>
      <c r="J3" s="186"/>
      <c r="K3" s="187" t="s">
        <v>136</v>
      </c>
      <c r="L3" s="187"/>
    </row>
    <row r="4" spans="1:15" ht="20.25" thickTop="1" thickBot="1" x14ac:dyDescent="0.35">
      <c r="A4" s="16" t="s">
        <v>5</v>
      </c>
      <c r="B4" s="17"/>
      <c r="C4" s="18">
        <v>364365.66</v>
      </c>
      <c r="D4" s="188">
        <v>43895</v>
      </c>
      <c r="E4" s="356" t="s">
        <v>6</v>
      </c>
      <c r="F4" s="357"/>
      <c r="H4" s="358" t="s">
        <v>7</v>
      </c>
      <c r="I4" s="359"/>
      <c r="J4" s="20"/>
      <c r="K4" s="20"/>
      <c r="L4" s="20"/>
      <c r="M4" s="21" t="s">
        <v>8</v>
      </c>
      <c r="N4" s="22" t="s">
        <v>9</v>
      </c>
      <c r="O4" s="165"/>
    </row>
    <row r="5" spans="1:15" ht="15.75" thickBot="1" x14ac:dyDescent="0.3">
      <c r="A5" s="23" t="s">
        <v>10</v>
      </c>
      <c r="B5" s="24">
        <v>43896</v>
      </c>
      <c r="C5" s="25">
        <v>2567</v>
      </c>
      <c r="D5" s="26" t="s">
        <v>19</v>
      </c>
      <c r="E5" s="27">
        <v>43896</v>
      </c>
      <c r="F5" s="28">
        <v>93525</v>
      </c>
      <c r="H5" s="29">
        <v>43896</v>
      </c>
      <c r="I5" s="30">
        <v>14659</v>
      </c>
      <c r="M5" s="31">
        <v>74142</v>
      </c>
      <c r="N5" s="32">
        <v>662</v>
      </c>
      <c r="O5" s="91"/>
    </row>
    <row r="6" spans="1:15" ht="15.75" thickBot="1" x14ac:dyDescent="0.3">
      <c r="A6" s="23"/>
      <c r="B6" s="24">
        <v>43897</v>
      </c>
      <c r="C6" s="25">
        <v>2368</v>
      </c>
      <c r="D6" s="33" t="s">
        <v>39</v>
      </c>
      <c r="E6" s="27">
        <v>43897</v>
      </c>
      <c r="F6" s="28">
        <v>112022</v>
      </c>
      <c r="H6" s="29">
        <v>43897</v>
      </c>
      <c r="I6" s="34">
        <v>130.53</v>
      </c>
      <c r="J6" s="35"/>
      <c r="K6" s="36"/>
      <c r="L6" s="37"/>
      <c r="M6" s="31">
        <v>100685</v>
      </c>
      <c r="N6" s="32">
        <v>3598</v>
      </c>
      <c r="O6" s="91" t="s">
        <v>10</v>
      </c>
    </row>
    <row r="7" spans="1:15" ht="16.5" thickBot="1" x14ac:dyDescent="0.3">
      <c r="A7" s="23"/>
      <c r="B7" s="24">
        <v>43898</v>
      </c>
      <c r="C7" s="25">
        <v>1938</v>
      </c>
      <c r="D7" s="38" t="s">
        <v>11</v>
      </c>
      <c r="E7" s="27">
        <v>43898</v>
      </c>
      <c r="F7" s="28">
        <v>107431</v>
      </c>
      <c r="H7" s="29">
        <v>43898</v>
      </c>
      <c r="I7" s="34">
        <v>95.75</v>
      </c>
      <c r="J7" s="39"/>
      <c r="K7" s="40" t="s">
        <v>13</v>
      </c>
      <c r="L7" s="41">
        <v>0</v>
      </c>
      <c r="M7" s="31">
        <v>101166</v>
      </c>
      <c r="N7" s="32">
        <v>4232</v>
      </c>
      <c r="O7" s="91"/>
    </row>
    <row r="8" spans="1:15" ht="16.5" thickBot="1" x14ac:dyDescent="0.3">
      <c r="A8" s="23"/>
      <c r="B8" s="24">
        <v>43899</v>
      </c>
      <c r="C8" s="25">
        <v>12249</v>
      </c>
      <c r="D8" s="42" t="s">
        <v>137</v>
      </c>
      <c r="E8" s="27">
        <v>43899</v>
      </c>
      <c r="F8" s="28">
        <v>81389</v>
      </c>
      <c r="H8" s="29">
        <v>43899</v>
      </c>
      <c r="I8" s="34">
        <v>0</v>
      </c>
      <c r="J8" s="47">
        <v>43917</v>
      </c>
      <c r="K8" s="44" t="s">
        <v>15</v>
      </c>
      <c r="L8" s="45">
        <v>23484</v>
      </c>
      <c r="M8" s="31">
        <v>66222</v>
      </c>
      <c r="N8" s="32">
        <v>2918</v>
      </c>
      <c r="O8" s="91"/>
    </row>
    <row r="9" spans="1:15" ht="16.5" thickBot="1" x14ac:dyDescent="0.3">
      <c r="A9" s="23"/>
      <c r="B9" s="24">
        <v>43900</v>
      </c>
      <c r="C9" s="25">
        <v>15956</v>
      </c>
      <c r="D9" s="46" t="s">
        <v>138</v>
      </c>
      <c r="E9" s="27">
        <v>43900</v>
      </c>
      <c r="F9" s="28">
        <v>65940</v>
      </c>
      <c r="H9" s="29">
        <v>43900</v>
      </c>
      <c r="I9" s="34">
        <v>114</v>
      </c>
      <c r="J9" s="47">
        <v>43920</v>
      </c>
      <c r="K9" s="48" t="s">
        <v>17</v>
      </c>
      <c r="L9" s="49">
        <v>20000</v>
      </c>
      <c r="M9" s="31">
        <v>49557</v>
      </c>
      <c r="N9" s="32">
        <v>313</v>
      </c>
      <c r="O9" s="91"/>
    </row>
    <row r="10" spans="1:15" ht="16.5" thickBot="1" x14ac:dyDescent="0.3">
      <c r="A10" s="23"/>
      <c r="B10" s="24">
        <v>43901</v>
      </c>
      <c r="C10" s="25">
        <v>2400</v>
      </c>
      <c r="D10" s="33" t="s">
        <v>139</v>
      </c>
      <c r="E10" s="27">
        <v>43901</v>
      </c>
      <c r="F10" s="28">
        <v>74179</v>
      </c>
      <c r="H10" s="29">
        <v>43901</v>
      </c>
      <c r="I10" s="34">
        <v>0</v>
      </c>
      <c r="J10" s="50"/>
      <c r="K10" s="51"/>
      <c r="L10" s="52"/>
      <c r="M10" s="31">
        <f>64432+18192.5</f>
        <v>82624.5</v>
      </c>
      <c r="N10" s="32">
        <v>1895</v>
      </c>
      <c r="O10" s="91"/>
    </row>
    <row r="11" spans="1:15" ht="15.75" thickBot="1" x14ac:dyDescent="0.3">
      <c r="A11" s="23"/>
      <c r="B11" s="24">
        <v>43902</v>
      </c>
      <c r="C11" s="25">
        <v>4852</v>
      </c>
      <c r="D11" s="33" t="s">
        <v>140</v>
      </c>
      <c r="E11" s="27">
        <v>43902</v>
      </c>
      <c r="F11" s="28">
        <v>59539</v>
      </c>
      <c r="H11" s="29">
        <v>43902</v>
      </c>
      <c r="I11" s="34">
        <v>250</v>
      </c>
      <c r="J11" s="53"/>
      <c r="K11" s="54"/>
      <c r="L11" s="52"/>
      <c r="M11" s="31">
        <v>53273</v>
      </c>
      <c r="N11" s="32">
        <v>1164</v>
      </c>
      <c r="O11" s="91"/>
    </row>
    <row r="12" spans="1:15" ht="15.75" thickBot="1" x14ac:dyDescent="0.3">
      <c r="A12" s="23"/>
      <c r="B12" s="24">
        <v>43903</v>
      </c>
      <c r="C12" s="25">
        <v>12830</v>
      </c>
      <c r="D12" s="33" t="s">
        <v>141</v>
      </c>
      <c r="E12" s="27">
        <v>43903</v>
      </c>
      <c r="F12" s="28">
        <v>105602</v>
      </c>
      <c r="H12" s="29">
        <v>43903</v>
      </c>
      <c r="I12" s="34">
        <v>12050</v>
      </c>
      <c r="J12" s="55">
        <v>43896</v>
      </c>
      <c r="K12" s="48" t="s">
        <v>28</v>
      </c>
      <c r="L12" s="52">
        <v>300</v>
      </c>
      <c r="M12" s="31">
        <v>76891</v>
      </c>
      <c r="N12" s="32">
        <v>3831</v>
      </c>
      <c r="O12" s="91"/>
    </row>
    <row r="13" spans="1:15" ht="15.75" thickBot="1" x14ac:dyDescent="0.3">
      <c r="A13" s="23"/>
      <c r="B13" s="24">
        <v>43904</v>
      </c>
      <c r="C13" s="25">
        <v>1672</v>
      </c>
      <c r="D13" s="42" t="s">
        <v>29</v>
      </c>
      <c r="E13" s="27">
        <v>43904</v>
      </c>
      <c r="F13" s="28">
        <v>140032</v>
      </c>
      <c r="H13" s="29">
        <v>43904</v>
      </c>
      <c r="I13" s="34">
        <v>0</v>
      </c>
      <c r="J13" s="55">
        <v>43897</v>
      </c>
      <c r="K13" s="48" t="s">
        <v>26</v>
      </c>
      <c r="L13" s="52">
        <f>14999.37+400+4000</f>
        <v>19399.370000000003</v>
      </c>
      <c r="M13" s="31">
        <v>119896</v>
      </c>
      <c r="N13" s="32">
        <v>7615</v>
      </c>
      <c r="O13" s="91"/>
    </row>
    <row r="14" spans="1:15" ht="15.75" thickBot="1" x14ac:dyDescent="0.3">
      <c r="A14" s="23"/>
      <c r="B14" s="24">
        <v>43905</v>
      </c>
      <c r="C14" s="25">
        <v>6794</v>
      </c>
      <c r="D14" s="38" t="s">
        <v>142</v>
      </c>
      <c r="E14" s="27">
        <v>43905</v>
      </c>
      <c r="F14" s="28">
        <v>105562</v>
      </c>
      <c r="H14" s="29">
        <v>43905</v>
      </c>
      <c r="I14" s="34">
        <v>0</v>
      </c>
      <c r="J14" s="55">
        <v>43904</v>
      </c>
      <c r="K14" s="48" t="s">
        <v>143</v>
      </c>
      <c r="L14" s="52">
        <f>15327.94+400+4000</f>
        <v>19727.940000000002</v>
      </c>
      <c r="M14" s="31">
        <v>95097</v>
      </c>
      <c r="N14" s="32">
        <v>3671</v>
      </c>
      <c r="O14" s="91"/>
    </row>
    <row r="15" spans="1:15" ht="15.75" thickBot="1" x14ac:dyDescent="0.3">
      <c r="A15" s="23"/>
      <c r="B15" s="24">
        <v>43906</v>
      </c>
      <c r="C15" s="25">
        <v>1302</v>
      </c>
      <c r="D15" s="33" t="s">
        <v>19</v>
      </c>
      <c r="E15" s="27">
        <v>43906</v>
      </c>
      <c r="F15" s="28">
        <v>93609</v>
      </c>
      <c r="H15" s="29">
        <v>43906</v>
      </c>
      <c r="I15" s="34">
        <v>0</v>
      </c>
      <c r="J15" s="55">
        <v>43911</v>
      </c>
      <c r="K15" s="48" t="s">
        <v>144</v>
      </c>
      <c r="L15" s="52">
        <f>15387.83+400+4000</f>
        <v>19787.830000000002</v>
      </c>
      <c r="M15" s="31">
        <v>87646</v>
      </c>
      <c r="N15" s="32">
        <v>4661</v>
      </c>
      <c r="O15" s="91"/>
    </row>
    <row r="16" spans="1:15" ht="15.75" thickBot="1" x14ac:dyDescent="0.3">
      <c r="A16" s="23"/>
      <c r="B16" s="24">
        <v>43907</v>
      </c>
      <c r="C16" s="25">
        <v>12675</v>
      </c>
      <c r="D16" s="33" t="s">
        <v>71</v>
      </c>
      <c r="E16" s="27">
        <v>43907</v>
      </c>
      <c r="F16" s="28">
        <v>71910</v>
      </c>
      <c r="H16" s="29">
        <v>43907</v>
      </c>
      <c r="I16" s="34">
        <v>76</v>
      </c>
      <c r="J16" s="55">
        <v>43918</v>
      </c>
      <c r="K16" s="48" t="s">
        <v>145</v>
      </c>
      <c r="L16" s="56">
        <f>13441.57+400+4000</f>
        <v>17841.57</v>
      </c>
      <c r="M16" s="31">
        <v>57332</v>
      </c>
      <c r="N16" s="32">
        <v>1827</v>
      </c>
      <c r="O16" s="91"/>
    </row>
    <row r="17" spans="1:15" ht="15.75" thickBot="1" x14ac:dyDescent="0.3">
      <c r="A17" s="23"/>
      <c r="B17" s="24">
        <v>43908</v>
      </c>
      <c r="C17" s="25">
        <v>1868</v>
      </c>
      <c r="D17" s="42" t="s">
        <v>146</v>
      </c>
      <c r="E17" s="27">
        <v>43908</v>
      </c>
      <c r="F17" s="28">
        <v>83114</v>
      </c>
      <c r="H17" s="29">
        <v>43908</v>
      </c>
      <c r="I17" s="34">
        <v>2000</v>
      </c>
      <c r="J17" s="57">
        <v>43925</v>
      </c>
      <c r="K17" s="48" t="s">
        <v>147</v>
      </c>
      <c r="L17" s="58">
        <f>15048.57+400+4000</f>
        <v>19448.57</v>
      </c>
      <c r="M17" s="31">
        <v>77484</v>
      </c>
      <c r="N17" s="32">
        <v>1762</v>
      </c>
      <c r="O17" s="91"/>
    </row>
    <row r="18" spans="1:15" ht="15.75" thickBot="1" x14ac:dyDescent="0.3">
      <c r="A18" s="23"/>
      <c r="B18" s="24">
        <v>43909</v>
      </c>
      <c r="C18" s="25">
        <v>1767</v>
      </c>
      <c r="D18" s="33" t="s">
        <v>39</v>
      </c>
      <c r="E18" s="27">
        <v>43909</v>
      </c>
      <c r="F18" s="28">
        <v>74875</v>
      </c>
      <c r="H18" s="29">
        <v>43909</v>
      </c>
      <c r="I18" s="34">
        <v>0</v>
      </c>
      <c r="J18" s="57"/>
      <c r="K18" s="59"/>
      <c r="L18" s="52"/>
      <c r="M18" s="31">
        <v>70484</v>
      </c>
      <c r="N18" s="32">
        <v>2624</v>
      </c>
      <c r="O18" s="91"/>
    </row>
    <row r="19" spans="1:15" ht="15.75" thickBot="1" x14ac:dyDescent="0.3">
      <c r="A19" s="23"/>
      <c r="B19" s="24">
        <v>43910</v>
      </c>
      <c r="C19" s="25">
        <v>24587</v>
      </c>
      <c r="D19" s="33" t="s">
        <v>148</v>
      </c>
      <c r="E19" s="27">
        <v>43910</v>
      </c>
      <c r="F19" s="28">
        <v>99486</v>
      </c>
      <c r="H19" s="29">
        <v>43910</v>
      </c>
      <c r="I19" s="34">
        <v>0</v>
      </c>
      <c r="J19" s="57"/>
      <c r="K19" s="60"/>
      <c r="L19" s="61"/>
      <c r="M19" s="31">
        <v>70171</v>
      </c>
      <c r="N19" s="32">
        <v>4728</v>
      </c>
      <c r="O19" s="91" t="s">
        <v>10</v>
      </c>
    </row>
    <row r="20" spans="1:15" ht="15.75" thickBot="1" x14ac:dyDescent="0.3">
      <c r="A20" s="23"/>
      <c r="B20" s="24">
        <v>43911</v>
      </c>
      <c r="C20" s="25">
        <v>2303</v>
      </c>
      <c r="D20" s="33" t="s">
        <v>149</v>
      </c>
      <c r="E20" s="27">
        <v>43911</v>
      </c>
      <c r="F20" s="28">
        <v>140852</v>
      </c>
      <c r="H20" s="29">
        <v>43911</v>
      </c>
      <c r="I20" s="34">
        <v>250</v>
      </c>
      <c r="J20" s="55"/>
      <c r="K20" s="62"/>
      <c r="L20" s="58"/>
      <c r="M20" s="31">
        <v>118978</v>
      </c>
      <c r="N20" s="32">
        <v>8260</v>
      </c>
      <c r="O20" s="91"/>
    </row>
    <row r="21" spans="1:15" ht="16.5" thickBot="1" x14ac:dyDescent="0.3">
      <c r="A21" s="23"/>
      <c r="B21" s="24">
        <v>43912</v>
      </c>
      <c r="C21" s="25">
        <v>4929</v>
      </c>
      <c r="D21" s="33" t="s">
        <v>150</v>
      </c>
      <c r="E21" s="27">
        <v>43912</v>
      </c>
      <c r="F21" s="28">
        <v>131316</v>
      </c>
      <c r="H21" s="29">
        <v>43912</v>
      </c>
      <c r="I21" s="34">
        <v>800</v>
      </c>
      <c r="J21" s="57"/>
      <c r="K21" s="63"/>
      <c r="L21" s="58"/>
      <c r="M21" s="31">
        <v>121395</v>
      </c>
      <c r="N21" s="32">
        <v>4192</v>
      </c>
      <c r="O21" s="91"/>
    </row>
    <row r="22" spans="1:15" ht="15.75" thickBot="1" x14ac:dyDescent="0.3">
      <c r="A22" s="23"/>
      <c r="B22" s="24">
        <v>43913</v>
      </c>
      <c r="C22" s="25">
        <v>15643</v>
      </c>
      <c r="D22" s="33" t="s">
        <v>151</v>
      </c>
      <c r="E22" s="27">
        <v>43913</v>
      </c>
      <c r="F22" s="28">
        <v>77087</v>
      </c>
      <c r="H22" s="29">
        <v>43913</v>
      </c>
      <c r="I22" s="34">
        <v>120</v>
      </c>
      <c r="J22" s="64">
        <v>43896</v>
      </c>
      <c r="K22" s="65" t="s">
        <v>152</v>
      </c>
      <c r="L22" s="66">
        <v>1195</v>
      </c>
      <c r="M22" s="31">
        <v>57526</v>
      </c>
      <c r="N22" s="32">
        <v>3798</v>
      </c>
      <c r="O22" s="91"/>
    </row>
    <row r="23" spans="1:15" ht="15.75" thickBot="1" x14ac:dyDescent="0.3">
      <c r="A23" s="23"/>
      <c r="B23" s="24">
        <v>43914</v>
      </c>
      <c r="C23" s="25">
        <v>2072</v>
      </c>
      <c r="D23" s="33" t="s">
        <v>153</v>
      </c>
      <c r="E23" s="27">
        <v>43914</v>
      </c>
      <c r="F23" s="28">
        <v>79388</v>
      </c>
      <c r="H23" s="29">
        <v>43914</v>
      </c>
      <c r="I23" s="34">
        <v>114</v>
      </c>
      <c r="J23" s="67"/>
      <c r="K23" s="68"/>
      <c r="L23" s="58"/>
      <c r="M23" s="31">
        <v>75294</v>
      </c>
      <c r="N23" s="32">
        <v>1908</v>
      </c>
      <c r="O23" s="91"/>
    </row>
    <row r="24" spans="1:15" ht="15.75" thickBot="1" x14ac:dyDescent="0.3">
      <c r="A24" s="23"/>
      <c r="B24" s="24">
        <v>43915</v>
      </c>
      <c r="C24" s="25">
        <v>19448.5</v>
      </c>
      <c r="D24" s="33" t="s">
        <v>148</v>
      </c>
      <c r="E24" s="27">
        <v>43915</v>
      </c>
      <c r="F24" s="28">
        <v>71607</v>
      </c>
      <c r="H24" s="29">
        <v>43915</v>
      </c>
      <c r="I24" s="34">
        <v>0</v>
      </c>
      <c r="J24" s="69"/>
      <c r="K24" s="70"/>
      <c r="L24" s="71"/>
      <c r="M24" s="31">
        <v>48563.5</v>
      </c>
      <c r="N24" s="32">
        <v>3595</v>
      </c>
      <c r="O24" s="91"/>
    </row>
    <row r="25" spans="1:15" ht="15.75" thickBot="1" x14ac:dyDescent="0.3">
      <c r="A25" s="23"/>
      <c r="B25" s="24">
        <v>43916</v>
      </c>
      <c r="C25" s="25">
        <v>3410</v>
      </c>
      <c r="D25" s="33" t="s">
        <v>154</v>
      </c>
      <c r="E25" s="27">
        <v>43916</v>
      </c>
      <c r="F25" s="28">
        <v>58924</v>
      </c>
      <c r="H25" s="29">
        <v>43916</v>
      </c>
      <c r="I25" s="34">
        <v>5010</v>
      </c>
      <c r="J25" s="72"/>
      <c r="K25" s="73"/>
      <c r="L25" s="74"/>
      <c r="M25" s="31">
        <f>45140+3485</f>
        <v>48625</v>
      </c>
      <c r="N25" s="32">
        <v>1879</v>
      </c>
      <c r="O25" s="91" t="s">
        <v>10</v>
      </c>
    </row>
    <row r="26" spans="1:15" ht="15.75" thickBot="1" x14ac:dyDescent="0.3">
      <c r="A26" s="23"/>
      <c r="B26" s="24">
        <v>43917</v>
      </c>
      <c r="C26" s="25">
        <v>3958</v>
      </c>
      <c r="D26" s="33" t="s">
        <v>155</v>
      </c>
      <c r="E26" s="27">
        <v>43917</v>
      </c>
      <c r="F26" s="28">
        <v>87194</v>
      </c>
      <c r="H26" s="29">
        <v>43917</v>
      </c>
      <c r="I26" s="34">
        <v>0</v>
      </c>
      <c r="J26" s="57"/>
      <c r="K26" s="75"/>
      <c r="L26" s="52"/>
      <c r="M26" s="31">
        <f>69835+10601</f>
        <v>80436</v>
      </c>
      <c r="N26" s="32">
        <v>2796</v>
      </c>
      <c r="O26" s="91"/>
    </row>
    <row r="27" spans="1:15" ht="15.75" thickBot="1" x14ac:dyDescent="0.3">
      <c r="A27" s="23"/>
      <c r="B27" s="24">
        <v>43918</v>
      </c>
      <c r="C27" s="25">
        <v>9980</v>
      </c>
      <c r="D27" s="33" t="s">
        <v>79</v>
      </c>
      <c r="E27" s="27">
        <v>43918</v>
      </c>
      <c r="F27" s="28">
        <v>132064</v>
      </c>
      <c r="H27" s="29">
        <v>43918</v>
      </c>
      <c r="I27" s="34">
        <v>15155</v>
      </c>
      <c r="J27" s="85" t="s">
        <v>156</v>
      </c>
      <c r="K27" s="86" t="s">
        <v>46</v>
      </c>
      <c r="L27" s="82">
        <v>1315.86</v>
      </c>
      <c r="M27" s="31">
        <v>92765</v>
      </c>
      <c r="N27" s="32">
        <v>4449</v>
      </c>
      <c r="O27" s="91"/>
    </row>
    <row r="28" spans="1:15" ht="16.5" thickBot="1" x14ac:dyDescent="0.3">
      <c r="A28" s="23"/>
      <c r="B28" s="24">
        <v>43919</v>
      </c>
      <c r="C28" s="189">
        <v>0</v>
      </c>
      <c r="D28" s="190" t="s">
        <v>157</v>
      </c>
      <c r="E28" s="27">
        <v>43919</v>
      </c>
      <c r="F28" s="191">
        <v>0</v>
      </c>
      <c r="H28" s="29">
        <v>43919</v>
      </c>
      <c r="I28" s="192">
        <v>0</v>
      </c>
      <c r="J28" s="85" t="s">
        <v>156</v>
      </c>
      <c r="K28" s="96" t="s">
        <v>158</v>
      </c>
      <c r="L28" s="82">
        <v>4753.2</v>
      </c>
      <c r="M28" s="193">
        <v>0</v>
      </c>
      <c r="N28" s="194">
        <v>0</v>
      </c>
      <c r="O28" s="91"/>
    </row>
    <row r="29" spans="1:15" ht="15.75" thickBot="1" x14ac:dyDescent="0.3">
      <c r="A29" s="23"/>
      <c r="B29" s="24">
        <v>43920</v>
      </c>
      <c r="C29" s="25">
        <v>6251</v>
      </c>
      <c r="D29" s="195" t="s">
        <v>159</v>
      </c>
      <c r="E29" s="196">
        <v>43920</v>
      </c>
      <c r="F29" s="28">
        <v>142734</v>
      </c>
      <c r="H29" s="29">
        <v>43920</v>
      </c>
      <c r="I29" s="34">
        <v>4200</v>
      </c>
      <c r="J29" s="85" t="s">
        <v>156</v>
      </c>
      <c r="K29" s="86" t="s">
        <v>160</v>
      </c>
      <c r="L29" s="82">
        <v>3636</v>
      </c>
      <c r="M29" s="31">
        <v>110000</v>
      </c>
      <c r="N29" s="32">
        <v>2298</v>
      </c>
      <c r="O29" s="91"/>
    </row>
    <row r="30" spans="1:15" ht="15.75" thickBot="1" x14ac:dyDescent="0.3">
      <c r="A30" s="23"/>
      <c r="B30" s="24">
        <v>43921</v>
      </c>
      <c r="C30" s="197">
        <v>15606</v>
      </c>
      <c r="D30" s="198" t="s">
        <v>148</v>
      </c>
      <c r="E30" s="196">
        <v>43921</v>
      </c>
      <c r="F30" s="28">
        <v>65762</v>
      </c>
      <c r="H30" s="29">
        <v>43921</v>
      </c>
      <c r="I30" s="199">
        <v>525</v>
      </c>
      <c r="J30" s="85" t="s">
        <v>156</v>
      </c>
      <c r="K30" s="200" t="s">
        <v>161</v>
      </c>
      <c r="L30" s="45">
        <v>2104.91</v>
      </c>
      <c r="M30" s="31">
        <v>44900</v>
      </c>
      <c r="N30" s="32">
        <v>4742</v>
      </c>
      <c r="O30" s="91"/>
    </row>
    <row r="31" spans="1:15" ht="15.75" thickBot="1" x14ac:dyDescent="0.3">
      <c r="A31" s="23"/>
      <c r="B31" s="24">
        <v>43922</v>
      </c>
      <c r="C31" s="201">
        <v>4289</v>
      </c>
      <c r="D31" s="198" t="s">
        <v>162</v>
      </c>
      <c r="E31" s="196">
        <v>43922</v>
      </c>
      <c r="F31" s="28">
        <v>64615</v>
      </c>
      <c r="H31" s="29">
        <v>43922</v>
      </c>
      <c r="I31" s="199">
        <v>4181</v>
      </c>
      <c r="J31" s="85" t="s">
        <v>156</v>
      </c>
      <c r="K31" s="96" t="s">
        <v>163</v>
      </c>
      <c r="L31" s="82">
        <v>3219.79</v>
      </c>
      <c r="M31" s="31">
        <v>53018</v>
      </c>
      <c r="N31" s="32">
        <v>3127</v>
      </c>
      <c r="O31" s="91"/>
    </row>
    <row r="32" spans="1:15" ht="15.75" thickBot="1" x14ac:dyDescent="0.3">
      <c r="A32" s="23"/>
      <c r="B32" s="24">
        <v>43923</v>
      </c>
      <c r="C32" s="201">
        <v>20009</v>
      </c>
      <c r="D32" s="198" t="s">
        <v>164</v>
      </c>
      <c r="E32" s="196">
        <v>43923</v>
      </c>
      <c r="F32" s="202">
        <v>66732</v>
      </c>
      <c r="H32" s="29">
        <v>43923</v>
      </c>
      <c r="I32" s="199">
        <v>0</v>
      </c>
      <c r="J32" s="85" t="s">
        <v>156</v>
      </c>
      <c r="K32" s="86" t="s">
        <v>165</v>
      </c>
      <c r="L32" s="82">
        <v>10000</v>
      </c>
      <c r="M32" s="203">
        <v>40576</v>
      </c>
      <c r="N32" s="32">
        <v>6147</v>
      </c>
      <c r="O32" s="204" t="s">
        <v>166</v>
      </c>
    </row>
    <row r="33" spans="1:15" ht="15.75" thickBot="1" x14ac:dyDescent="0.3">
      <c r="A33" s="23"/>
      <c r="B33" s="24">
        <v>43924</v>
      </c>
      <c r="C33" s="201">
        <v>11027.84</v>
      </c>
      <c r="D33" s="205" t="s">
        <v>167</v>
      </c>
      <c r="E33" s="206">
        <v>43924</v>
      </c>
      <c r="F33" s="97">
        <v>77182</v>
      </c>
      <c r="H33" s="29">
        <v>43924</v>
      </c>
      <c r="I33" s="199">
        <v>10020</v>
      </c>
      <c r="J33" s="85" t="s">
        <v>156</v>
      </c>
      <c r="K33" s="101" t="s">
        <v>168</v>
      </c>
      <c r="L33" s="82">
        <v>22305.960999999999</v>
      </c>
      <c r="M33" s="203">
        <v>50516</v>
      </c>
      <c r="N33" s="32">
        <v>5620</v>
      </c>
      <c r="O33" s="207" t="s">
        <v>166</v>
      </c>
    </row>
    <row r="34" spans="1:15" ht="15.75" thickBot="1" x14ac:dyDescent="0.3">
      <c r="A34" s="23"/>
      <c r="B34" s="24">
        <v>43925</v>
      </c>
      <c r="C34" s="201">
        <v>4502</v>
      </c>
      <c r="D34" s="208" t="s">
        <v>169</v>
      </c>
      <c r="E34" s="206">
        <v>43925</v>
      </c>
      <c r="F34" s="97">
        <v>106289</v>
      </c>
      <c r="H34" s="29">
        <v>43925</v>
      </c>
      <c r="I34" s="199">
        <v>0</v>
      </c>
      <c r="J34" s="85" t="s">
        <v>156</v>
      </c>
      <c r="K34" s="86" t="s">
        <v>170</v>
      </c>
      <c r="L34" s="82">
        <v>2506.1</v>
      </c>
      <c r="M34" s="203">
        <v>83206</v>
      </c>
      <c r="N34" s="32">
        <v>8011</v>
      </c>
      <c r="O34" s="207" t="s">
        <v>166</v>
      </c>
    </row>
    <row r="35" spans="1:15" ht="15.75" thickBot="1" x14ac:dyDescent="0.3">
      <c r="A35" s="23"/>
      <c r="B35" s="24">
        <v>43926</v>
      </c>
      <c r="C35" s="201">
        <v>1317</v>
      </c>
      <c r="D35" s="209" t="s">
        <v>19</v>
      </c>
      <c r="E35" s="206">
        <v>43926</v>
      </c>
      <c r="F35" s="97">
        <v>76644</v>
      </c>
      <c r="H35" s="29">
        <v>43926</v>
      </c>
      <c r="I35" s="199">
        <v>0</v>
      </c>
      <c r="J35" s="85" t="s">
        <v>156</v>
      </c>
      <c r="K35" s="96" t="s">
        <v>171</v>
      </c>
      <c r="L35" s="82">
        <v>555</v>
      </c>
      <c r="M35" s="31">
        <v>72614</v>
      </c>
      <c r="N35" s="32">
        <v>2713</v>
      </c>
      <c r="O35" s="207" t="s">
        <v>172</v>
      </c>
    </row>
    <row r="36" spans="1:15" ht="15.75" thickBot="1" x14ac:dyDescent="0.3">
      <c r="A36" s="23"/>
      <c r="B36" s="24">
        <v>43927</v>
      </c>
      <c r="C36" s="201">
        <v>18453.77</v>
      </c>
      <c r="D36" s="209" t="s">
        <v>173</v>
      </c>
      <c r="E36" s="206">
        <v>43927</v>
      </c>
      <c r="F36" s="97">
        <v>82500</v>
      </c>
      <c r="H36" s="29">
        <v>43927</v>
      </c>
      <c r="I36" s="199">
        <v>0</v>
      </c>
      <c r="J36" s="85" t="s">
        <v>156</v>
      </c>
      <c r="K36" s="96" t="s">
        <v>174</v>
      </c>
      <c r="L36" s="82">
        <v>6017.6</v>
      </c>
      <c r="M36" s="203">
        <v>60250</v>
      </c>
      <c r="N36" s="32">
        <v>3797</v>
      </c>
      <c r="O36" s="207" t="s">
        <v>166</v>
      </c>
    </row>
    <row r="37" spans="1:15" ht="15.75" thickBot="1" x14ac:dyDescent="0.3">
      <c r="A37" s="23"/>
      <c r="B37" s="24">
        <v>43928</v>
      </c>
      <c r="C37" s="201">
        <v>3573</v>
      </c>
      <c r="D37" s="209" t="s">
        <v>72</v>
      </c>
      <c r="E37" s="206">
        <v>43928</v>
      </c>
      <c r="F37" s="97">
        <v>81421</v>
      </c>
      <c r="H37" s="29">
        <v>43928</v>
      </c>
      <c r="I37" s="199">
        <v>271</v>
      </c>
      <c r="J37" s="85" t="s">
        <v>156</v>
      </c>
      <c r="K37" s="86" t="s">
        <v>175</v>
      </c>
      <c r="L37" s="82">
        <v>942.07</v>
      </c>
      <c r="M37" s="203">
        <v>74845</v>
      </c>
      <c r="N37" s="32">
        <v>2732</v>
      </c>
      <c r="O37" s="210" t="s">
        <v>166</v>
      </c>
    </row>
    <row r="38" spans="1:15" ht="15.75" thickBot="1" x14ac:dyDescent="0.3">
      <c r="A38" s="23"/>
      <c r="B38" s="211">
        <v>43896</v>
      </c>
      <c r="C38" s="212">
        <v>18259.599999999999</v>
      </c>
      <c r="D38" s="209" t="s">
        <v>41</v>
      </c>
      <c r="E38" s="90"/>
      <c r="F38" s="91"/>
      <c r="H38" s="29"/>
      <c r="I38" s="91"/>
      <c r="J38" s="85" t="s">
        <v>156</v>
      </c>
      <c r="K38" s="213" t="s">
        <v>176</v>
      </c>
      <c r="L38" s="66">
        <v>18525</v>
      </c>
      <c r="M38" s="31">
        <v>0</v>
      </c>
      <c r="N38" s="32">
        <v>0</v>
      </c>
      <c r="O38" s="207"/>
    </row>
    <row r="39" spans="1:15" ht="16.5" thickBot="1" x14ac:dyDescent="0.3">
      <c r="A39" s="102"/>
      <c r="B39" s="103"/>
      <c r="C39" s="104"/>
      <c r="D39" s="105"/>
      <c r="E39" s="106"/>
      <c r="F39" s="107"/>
      <c r="G39" s="108"/>
      <c r="H39" s="29">
        <v>43907</v>
      </c>
      <c r="I39" s="107"/>
      <c r="J39" s="85"/>
      <c r="K39" s="213"/>
      <c r="L39" s="66"/>
      <c r="M39" s="110">
        <f>SUM(M5:M38)</f>
        <v>2416178</v>
      </c>
      <c r="N39" s="111">
        <f>SUM(N5:N38)</f>
        <v>115565</v>
      </c>
      <c r="O39" s="181"/>
    </row>
    <row r="40" spans="1:15" ht="16.5" thickBot="1" x14ac:dyDescent="0.3">
      <c r="B40" s="112" t="s">
        <v>51</v>
      </c>
      <c r="C40" s="113">
        <f>SUM(C5:C39)</f>
        <v>270856.70999999996</v>
      </c>
      <c r="D40" s="114"/>
      <c r="E40" s="115" t="s">
        <v>51</v>
      </c>
      <c r="F40" s="116">
        <f>SUM(F5:F39)</f>
        <v>2910526</v>
      </c>
      <c r="G40" s="114"/>
      <c r="H40" s="117" t="s">
        <v>51</v>
      </c>
      <c r="I40" s="118">
        <f>SUM(I5:I39)</f>
        <v>70021.279999999999</v>
      </c>
      <c r="J40" s="119"/>
      <c r="K40" s="120" t="s">
        <v>51</v>
      </c>
      <c r="L40" s="121">
        <f>SUM(L6:L39)</f>
        <v>217065.77100000004</v>
      </c>
      <c r="O40" s="56"/>
    </row>
    <row r="41" spans="1:15" ht="20.25" thickTop="1" thickBot="1" x14ac:dyDescent="0.3">
      <c r="C41" s="5" t="s">
        <v>10</v>
      </c>
      <c r="M41" s="360">
        <f>N39+M39</f>
        <v>2531743</v>
      </c>
      <c r="N41" s="361"/>
      <c r="O41" s="182"/>
    </row>
    <row r="42" spans="1:15" ht="15.75" x14ac:dyDescent="0.25">
      <c r="A42" s="65"/>
      <c r="B42" s="122"/>
      <c r="C42" s="4"/>
      <c r="H42" s="362" t="s">
        <v>52</v>
      </c>
      <c r="I42" s="363"/>
      <c r="J42" s="123"/>
      <c r="K42" s="364">
        <f>I40+L40</f>
        <v>287087.05100000004</v>
      </c>
      <c r="L42" s="365"/>
    </row>
    <row r="43" spans="1:15" ht="15.75" x14ac:dyDescent="0.25">
      <c r="D43" s="367" t="s">
        <v>53</v>
      </c>
      <c r="E43" s="367"/>
      <c r="F43" s="124">
        <f>F40-K42-C40</f>
        <v>2352582.2390000001</v>
      </c>
      <c r="I43" s="125"/>
      <c r="J43" s="125"/>
    </row>
    <row r="44" spans="1:15" ht="18.75" x14ac:dyDescent="0.3">
      <c r="D44" s="368" t="s">
        <v>54</v>
      </c>
      <c r="E44" s="368"/>
      <c r="F44" s="126">
        <v>-2140783.8199999998</v>
      </c>
      <c r="I44" s="369" t="s">
        <v>55</v>
      </c>
      <c r="J44" s="370"/>
      <c r="K44" s="371">
        <f>F49</f>
        <v>471981.31900000025</v>
      </c>
      <c r="L44" s="372"/>
    </row>
    <row r="45" spans="1:15" ht="19.5" thickBot="1" x14ac:dyDescent="0.35">
      <c r="D45" s="127"/>
      <c r="E45" s="128"/>
      <c r="F45" s="129" t="s">
        <v>10</v>
      </c>
      <c r="I45" s="130"/>
      <c r="J45" s="130"/>
      <c r="K45" s="131"/>
      <c r="L45" s="131"/>
    </row>
    <row r="46" spans="1:15" ht="19.5" thickTop="1" x14ac:dyDescent="0.3">
      <c r="C46" s="13" t="s">
        <v>10</v>
      </c>
      <c r="E46" s="65" t="s">
        <v>56</v>
      </c>
      <c r="F46" s="126">
        <f>SUM(F43:F45)</f>
        <v>211798.41900000023</v>
      </c>
      <c r="H46" s="23"/>
      <c r="I46" s="132" t="s">
        <v>57</v>
      </c>
      <c r="J46" s="133"/>
      <c r="K46" s="373">
        <f>-C4</f>
        <v>-364365.66</v>
      </c>
      <c r="L46" s="374"/>
      <c r="M46" s="134"/>
    </row>
    <row r="47" spans="1:15" ht="16.5" thickBot="1" x14ac:dyDescent="0.3">
      <c r="D47" s="135" t="s">
        <v>58</v>
      </c>
      <c r="E47" s="65" t="s">
        <v>59</v>
      </c>
      <c r="F47" s="136">
        <v>17981</v>
      </c>
    </row>
    <row r="48" spans="1:15" ht="20.25" thickTop="1" thickBot="1" x14ac:dyDescent="0.35">
      <c r="C48" s="137">
        <v>43928</v>
      </c>
      <c r="D48" s="375" t="s">
        <v>60</v>
      </c>
      <c r="E48" s="376"/>
      <c r="F48" s="138">
        <v>242201.9</v>
      </c>
      <c r="I48" s="377" t="s">
        <v>61</v>
      </c>
      <c r="J48" s="378"/>
      <c r="K48" s="379">
        <f>K44+K46</f>
        <v>107615.65900000028</v>
      </c>
      <c r="L48" s="380"/>
    </row>
    <row r="49" spans="2:15" ht="18.75" x14ac:dyDescent="0.3">
      <c r="C49" s="139"/>
      <c r="D49" s="140"/>
      <c r="E49" s="141" t="s">
        <v>62</v>
      </c>
      <c r="F49" s="142">
        <f>F46+F47+F48</f>
        <v>471981.31900000025</v>
      </c>
      <c r="J49" s="6"/>
      <c r="M49" s="143"/>
    </row>
    <row r="51" spans="2:15" x14ac:dyDescent="0.25">
      <c r="B51"/>
      <c r="C51"/>
      <c r="D51" s="366"/>
      <c r="E51" s="366"/>
      <c r="M51" s="144"/>
      <c r="N51" s="65"/>
      <c r="O51" s="65"/>
    </row>
    <row r="52" spans="2:15" x14ac:dyDescent="0.25">
      <c r="B52"/>
      <c r="C52"/>
      <c r="M52" s="144"/>
      <c r="N52" s="65"/>
      <c r="O52" s="65"/>
    </row>
    <row r="53" spans="2:15" x14ac:dyDescent="0.25">
      <c r="B53"/>
      <c r="C53"/>
      <c r="N53" s="65"/>
      <c r="O53" s="65"/>
    </row>
    <row r="54" spans="2:15" x14ac:dyDescent="0.25">
      <c r="B54"/>
      <c r="C54"/>
      <c r="F54"/>
      <c r="I54"/>
      <c r="J54"/>
      <c r="M54"/>
      <c r="N54" s="65"/>
      <c r="O54" s="65"/>
    </row>
    <row r="55" spans="2:15" x14ac:dyDescent="0.25">
      <c r="B55"/>
      <c r="C55"/>
      <c r="F55" s="145"/>
      <c r="N55" s="65"/>
      <c r="O55" s="65"/>
    </row>
    <row r="56" spans="2:15" x14ac:dyDescent="0.25">
      <c r="F56" s="91"/>
      <c r="M56" s="4"/>
      <c r="N56" s="65"/>
      <c r="O56" s="65"/>
    </row>
    <row r="57" spans="2:15" x14ac:dyDescent="0.25">
      <c r="F57" s="91"/>
      <c r="M57" s="4"/>
      <c r="N57" s="65"/>
      <c r="O57" s="65"/>
    </row>
    <row r="58" spans="2:15" x14ac:dyDescent="0.25">
      <c r="F58" s="91"/>
      <c r="M58" s="4"/>
      <c r="N58" s="65"/>
      <c r="O58" s="65"/>
    </row>
    <row r="59" spans="2:15" x14ac:dyDescent="0.25">
      <c r="F59" s="91"/>
      <c r="M59" s="4"/>
      <c r="N59" s="65"/>
      <c r="O59" s="65"/>
    </row>
    <row r="60" spans="2:15" x14ac:dyDescent="0.25">
      <c r="F60" s="91"/>
      <c r="M60" s="4"/>
    </row>
    <row r="61" spans="2:15" x14ac:dyDescent="0.25">
      <c r="F61" s="91"/>
      <c r="M61" s="4"/>
    </row>
    <row r="62" spans="2:15" x14ac:dyDescent="0.25">
      <c r="F62" s="91"/>
      <c r="M62" s="4"/>
    </row>
    <row r="63" spans="2:15" x14ac:dyDescent="0.25">
      <c r="F63" s="91"/>
      <c r="M63" s="4"/>
    </row>
    <row r="64" spans="2:15" x14ac:dyDescent="0.25">
      <c r="F64" s="91"/>
      <c r="M64" s="4"/>
    </row>
    <row r="65" spans="6:13" x14ac:dyDescent="0.25">
      <c r="F65" s="145"/>
      <c r="M65" s="4"/>
    </row>
    <row r="66" spans="6:13" x14ac:dyDescent="0.25">
      <c r="M66" s="4"/>
    </row>
    <row r="67" spans="6:13" x14ac:dyDescent="0.25">
      <c r="M67" s="4"/>
    </row>
    <row r="68" spans="6:13" x14ac:dyDescent="0.25">
      <c r="M68" s="4"/>
    </row>
    <row r="69" spans="6:13" x14ac:dyDescent="0.25">
      <c r="M69" s="4"/>
    </row>
    <row r="70" spans="6:13" x14ac:dyDescent="0.25">
      <c r="M70" s="4"/>
    </row>
    <row r="71" spans="6:13" x14ac:dyDescent="0.25">
      <c r="M71" s="4"/>
    </row>
    <row r="72" spans="6:13" x14ac:dyDescent="0.25">
      <c r="M72" s="4"/>
    </row>
    <row r="73" spans="6:13" x14ac:dyDescent="0.25">
      <c r="M73" s="4"/>
    </row>
    <row r="74" spans="6:13" x14ac:dyDescent="0.25">
      <c r="M74" s="4"/>
    </row>
    <row r="75" spans="6:13" x14ac:dyDescent="0.25">
      <c r="M75" s="4"/>
    </row>
    <row r="76" spans="6:13" x14ac:dyDescent="0.25">
      <c r="M76" s="4"/>
    </row>
    <row r="77" spans="6:13" x14ac:dyDescent="0.25">
      <c r="M77" s="4"/>
    </row>
    <row r="78" spans="6:13" x14ac:dyDescent="0.25">
      <c r="M78" s="4"/>
    </row>
  </sheetData>
  <mergeCells count="17">
    <mergeCell ref="K46:L46"/>
    <mergeCell ref="D48:E48"/>
    <mergeCell ref="I48:J48"/>
    <mergeCell ref="K48:L48"/>
    <mergeCell ref="D51:E51"/>
    <mergeCell ref="H42:I42"/>
    <mergeCell ref="K42:L42"/>
    <mergeCell ref="D43:E43"/>
    <mergeCell ref="D44:E44"/>
    <mergeCell ref="I44:J44"/>
    <mergeCell ref="K44:L44"/>
    <mergeCell ref="M41:N41"/>
    <mergeCell ref="C1:K1"/>
    <mergeCell ref="E2:F3"/>
    <mergeCell ref="B3:C3"/>
    <mergeCell ref="E4:F4"/>
    <mergeCell ref="H4:I4"/>
  </mergeCells>
  <pageMargins left="0.7" right="0.7" top="0.75" bottom="0.75" header="0.3" footer="0.3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17A63-CA52-4F7F-BF53-EF40BECFA241}">
  <sheetPr>
    <tabColor rgb="FFFF00FF"/>
  </sheetPr>
  <dimension ref="A1:F87"/>
  <sheetViews>
    <sheetView workbookViewId="0">
      <selection activeCell="I52" sqref="I52"/>
    </sheetView>
  </sheetViews>
  <sheetFormatPr baseColWidth="10" defaultRowHeight="15" x14ac:dyDescent="0.25"/>
  <cols>
    <col min="1" max="1" width="13.42578125" style="65" bestFit="1" customWidth="1"/>
    <col min="2" max="2" width="12.85546875" bestFit="1" customWidth="1"/>
    <col min="3" max="3" width="15.85546875" style="13" bestFit="1" customWidth="1"/>
    <col min="4" max="4" width="12.42578125" bestFit="1" customWidth="1"/>
    <col min="5" max="5" width="15.140625" style="13" bestFit="1" customWidth="1"/>
    <col min="6" max="6" width="19.5703125" style="13" bestFit="1" customWidth="1"/>
  </cols>
  <sheetData>
    <row r="1" spans="1:6" ht="36.75" customHeight="1" x14ac:dyDescent="0.35">
      <c r="B1" s="146" t="s">
        <v>177</v>
      </c>
      <c r="C1" s="147"/>
      <c r="D1" s="148"/>
      <c r="E1" s="147"/>
      <c r="F1" s="149"/>
    </row>
    <row r="2" spans="1:6" ht="16.5" thickBot="1" x14ac:dyDescent="0.3">
      <c r="A2" s="150" t="s">
        <v>64</v>
      </c>
      <c r="B2" s="150" t="s">
        <v>65</v>
      </c>
      <c r="C2" s="151" t="s">
        <v>66</v>
      </c>
      <c r="D2" s="150" t="s">
        <v>67</v>
      </c>
      <c r="E2" s="151" t="s">
        <v>68</v>
      </c>
      <c r="F2" s="151" t="s">
        <v>66</v>
      </c>
    </row>
    <row r="3" spans="1:6" x14ac:dyDescent="0.25">
      <c r="A3" s="152">
        <v>43896</v>
      </c>
      <c r="B3" s="153">
        <v>7197</v>
      </c>
      <c r="C3" s="56">
        <v>107476.78</v>
      </c>
      <c r="D3" s="154"/>
      <c r="E3" s="56"/>
      <c r="F3" s="155">
        <f>C3-E3</f>
        <v>107476.78</v>
      </c>
    </row>
    <row r="4" spans="1:6" x14ac:dyDescent="0.25">
      <c r="A4" s="156">
        <v>43896</v>
      </c>
      <c r="B4" s="157">
        <v>7198</v>
      </c>
      <c r="C4" s="97">
        <v>2430</v>
      </c>
      <c r="D4" s="158"/>
      <c r="E4" s="97"/>
      <c r="F4" s="155">
        <f>F3+C4-E4</f>
        <v>109906.78</v>
      </c>
    </row>
    <row r="5" spans="1:6" x14ac:dyDescent="0.25">
      <c r="A5" s="158">
        <v>43897</v>
      </c>
      <c r="B5" s="157">
        <v>7282</v>
      </c>
      <c r="C5" s="97">
        <v>69850.490000000005</v>
      </c>
      <c r="D5" s="158"/>
      <c r="E5" s="97"/>
      <c r="F5" s="155">
        <f t="shared" ref="F5:F50" si="0">F4+C5-E5</f>
        <v>179757.27000000002</v>
      </c>
    </row>
    <row r="6" spans="1:6" x14ac:dyDescent="0.25">
      <c r="A6" s="158">
        <v>43898</v>
      </c>
      <c r="B6" s="157">
        <v>7375</v>
      </c>
      <c r="C6" s="97">
        <v>11373.8</v>
      </c>
      <c r="D6" s="158"/>
      <c r="E6" s="97"/>
      <c r="F6" s="155">
        <f t="shared" si="0"/>
        <v>191131.07</v>
      </c>
    </row>
    <row r="7" spans="1:6" x14ac:dyDescent="0.25">
      <c r="A7" s="158">
        <v>43899</v>
      </c>
      <c r="B7" s="157">
        <v>7452</v>
      </c>
      <c r="C7" s="97">
        <v>48853.36</v>
      </c>
      <c r="D7" s="158">
        <v>43900</v>
      </c>
      <c r="E7" s="97">
        <v>239984.43</v>
      </c>
      <c r="F7" s="155">
        <f t="shared" si="0"/>
        <v>0</v>
      </c>
    </row>
    <row r="8" spans="1:6" x14ac:dyDescent="0.25">
      <c r="A8" s="158">
        <v>43900</v>
      </c>
      <c r="B8" s="157">
        <v>7578</v>
      </c>
      <c r="C8" s="97">
        <v>70534.679999999993</v>
      </c>
      <c r="D8" s="158"/>
      <c r="E8" s="97"/>
      <c r="F8" s="155">
        <f t="shared" si="0"/>
        <v>70534.679999999993</v>
      </c>
    </row>
    <row r="9" spans="1:6" x14ac:dyDescent="0.25">
      <c r="A9" s="158">
        <v>43902</v>
      </c>
      <c r="B9" s="157">
        <v>7837</v>
      </c>
      <c r="C9" s="97">
        <v>122162.05</v>
      </c>
      <c r="D9" s="158"/>
      <c r="E9" s="97"/>
      <c r="F9" s="155">
        <f t="shared" si="0"/>
        <v>192696.72999999998</v>
      </c>
    </row>
    <row r="10" spans="1:6" x14ac:dyDescent="0.25">
      <c r="A10" s="158">
        <v>43902</v>
      </c>
      <c r="B10" s="157">
        <v>7838</v>
      </c>
      <c r="C10" s="97">
        <v>13112</v>
      </c>
      <c r="D10" s="158">
        <v>43904</v>
      </c>
      <c r="E10" s="97">
        <v>205808.73</v>
      </c>
      <c r="F10" s="155">
        <f t="shared" si="0"/>
        <v>0</v>
      </c>
    </row>
    <row r="11" spans="1:6" x14ac:dyDescent="0.25">
      <c r="A11" s="156">
        <v>43904</v>
      </c>
      <c r="B11" s="157">
        <v>8048</v>
      </c>
      <c r="C11" s="97">
        <v>2314.4</v>
      </c>
      <c r="D11" s="158"/>
      <c r="E11" s="97"/>
      <c r="F11" s="155">
        <f t="shared" si="0"/>
        <v>2314.4</v>
      </c>
    </row>
    <row r="12" spans="1:6" x14ac:dyDescent="0.25">
      <c r="A12" s="158">
        <v>43904</v>
      </c>
      <c r="B12" s="157">
        <v>8095</v>
      </c>
      <c r="C12" s="97">
        <v>220621.41</v>
      </c>
      <c r="D12" s="158"/>
      <c r="E12" s="97"/>
      <c r="F12" s="155">
        <f t="shared" si="0"/>
        <v>222935.81</v>
      </c>
    </row>
    <row r="13" spans="1:6" x14ac:dyDescent="0.25">
      <c r="A13" s="158">
        <v>43905</v>
      </c>
      <c r="B13" s="157">
        <v>8140</v>
      </c>
      <c r="C13" s="97">
        <v>48809.4</v>
      </c>
      <c r="D13" s="158"/>
      <c r="E13" s="97"/>
      <c r="F13" s="155">
        <f t="shared" si="0"/>
        <v>271745.21000000002</v>
      </c>
    </row>
    <row r="14" spans="1:6" x14ac:dyDescent="0.25">
      <c r="A14" s="158">
        <v>43905</v>
      </c>
      <c r="B14" s="157">
        <v>8143</v>
      </c>
      <c r="C14" s="97">
        <v>125</v>
      </c>
      <c r="D14" s="158"/>
      <c r="E14" s="97"/>
      <c r="F14" s="155">
        <f t="shared" si="0"/>
        <v>271870.21000000002</v>
      </c>
    </row>
    <row r="15" spans="1:6" x14ac:dyDescent="0.25">
      <c r="A15" s="158">
        <v>43906</v>
      </c>
      <c r="B15" s="157">
        <v>8272</v>
      </c>
      <c r="C15" s="97">
        <v>111259.1</v>
      </c>
      <c r="D15" s="158"/>
      <c r="E15" s="97"/>
      <c r="F15" s="155">
        <f t="shared" si="0"/>
        <v>383129.31000000006</v>
      </c>
    </row>
    <row r="16" spans="1:6" x14ac:dyDescent="0.25">
      <c r="A16" s="158">
        <v>43908</v>
      </c>
      <c r="B16" s="157">
        <v>8463</v>
      </c>
      <c r="C16" s="97">
        <v>64793.22</v>
      </c>
      <c r="D16" s="158"/>
      <c r="E16" s="97"/>
      <c r="F16" s="155">
        <f t="shared" si="0"/>
        <v>447922.53</v>
      </c>
    </row>
    <row r="17" spans="1:6" x14ac:dyDescent="0.25">
      <c r="A17" s="158">
        <v>43909</v>
      </c>
      <c r="B17" s="157">
        <v>8560</v>
      </c>
      <c r="C17" s="97">
        <v>1180</v>
      </c>
      <c r="D17" s="158">
        <v>43909</v>
      </c>
      <c r="E17" s="97">
        <v>449102.53</v>
      </c>
      <c r="F17" s="155">
        <f t="shared" si="0"/>
        <v>0</v>
      </c>
    </row>
    <row r="18" spans="1:6" x14ac:dyDescent="0.25">
      <c r="A18" s="158">
        <v>43910</v>
      </c>
      <c r="B18" s="157">
        <v>8652</v>
      </c>
      <c r="C18" s="97">
        <v>152548.12</v>
      </c>
      <c r="D18" s="158"/>
      <c r="E18" s="97"/>
      <c r="F18" s="155">
        <f t="shared" si="0"/>
        <v>152548.12</v>
      </c>
    </row>
    <row r="19" spans="1:6" x14ac:dyDescent="0.25">
      <c r="A19" s="158">
        <v>43910</v>
      </c>
      <c r="B19" s="157">
        <v>8688</v>
      </c>
      <c r="C19" s="97">
        <v>53618.85</v>
      </c>
      <c r="D19" s="158"/>
      <c r="E19" s="97"/>
      <c r="F19" s="155">
        <f t="shared" si="0"/>
        <v>206166.97</v>
      </c>
    </row>
    <row r="20" spans="1:6" x14ac:dyDescent="0.25">
      <c r="A20" s="158">
        <v>43911</v>
      </c>
      <c r="B20" s="157">
        <v>8793</v>
      </c>
      <c r="C20" s="97">
        <v>1443.3</v>
      </c>
      <c r="D20" s="158"/>
      <c r="E20" s="97"/>
      <c r="F20" s="155">
        <f t="shared" si="0"/>
        <v>207610.27</v>
      </c>
    </row>
    <row r="21" spans="1:6" x14ac:dyDescent="0.25">
      <c r="A21" s="158">
        <v>43911</v>
      </c>
      <c r="B21" s="157">
        <v>8811</v>
      </c>
      <c r="C21" s="97">
        <v>169567.84</v>
      </c>
      <c r="D21" s="158"/>
      <c r="E21" s="97"/>
      <c r="F21" s="155">
        <f t="shared" si="0"/>
        <v>377178.11</v>
      </c>
    </row>
    <row r="22" spans="1:6" x14ac:dyDescent="0.25">
      <c r="A22" s="158">
        <v>43911</v>
      </c>
      <c r="B22" s="157">
        <v>8869</v>
      </c>
      <c r="C22" s="97">
        <v>12504.8</v>
      </c>
      <c r="D22" s="158"/>
      <c r="E22" s="97"/>
      <c r="F22" s="155">
        <f t="shared" si="0"/>
        <v>389682.91</v>
      </c>
    </row>
    <row r="23" spans="1:6" x14ac:dyDescent="0.25">
      <c r="A23" s="158">
        <v>43912</v>
      </c>
      <c r="B23" s="157">
        <v>8926</v>
      </c>
      <c r="C23" s="97">
        <v>5334.5</v>
      </c>
      <c r="D23" s="158"/>
      <c r="E23" s="97"/>
      <c r="F23" s="155">
        <f t="shared" si="0"/>
        <v>395017.41</v>
      </c>
    </row>
    <row r="24" spans="1:6" x14ac:dyDescent="0.25">
      <c r="A24" s="158">
        <v>43913</v>
      </c>
      <c r="B24" s="157">
        <v>8959</v>
      </c>
      <c r="C24" s="97">
        <v>2700</v>
      </c>
      <c r="D24" s="158"/>
      <c r="E24" s="97"/>
      <c r="F24" s="155">
        <f t="shared" si="0"/>
        <v>397717.41</v>
      </c>
    </row>
    <row r="25" spans="1:6" x14ac:dyDescent="0.25">
      <c r="A25" s="158">
        <v>43914</v>
      </c>
      <c r="B25" s="157">
        <v>9087</v>
      </c>
      <c r="C25" s="97">
        <v>98444.92</v>
      </c>
      <c r="D25" s="158"/>
      <c r="E25" s="97"/>
      <c r="F25" s="155">
        <f t="shared" si="0"/>
        <v>496162.32999999996</v>
      </c>
    </row>
    <row r="26" spans="1:6" x14ac:dyDescent="0.25">
      <c r="A26" s="158">
        <v>43914</v>
      </c>
      <c r="B26" s="157">
        <v>9088</v>
      </c>
      <c r="C26" s="97">
        <v>12050.8</v>
      </c>
      <c r="D26" s="158"/>
      <c r="E26" s="97"/>
      <c r="F26" s="155">
        <f t="shared" si="0"/>
        <v>508213.12999999995</v>
      </c>
    </row>
    <row r="27" spans="1:6" x14ac:dyDescent="0.25">
      <c r="A27" s="158">
        <v>43915</v>
      </c>
      <c r="B27" s="157">
        <v>9231</v>
      </c>
      <c r="C27" s="97">
        <v>44204.800000000003</v>
      </c>
      <c r="D27" s="158">
        <v>43916</v>
      </c>
      <c r="E27" s="97">
        <v>552417.93000000005</v>
      </c>
      <c r="F27" s="155">
        <f t="shared" si="0"/>
        <v>0</v>
      </c>
    </row>
    <row r="28" spans="1:6" x14ac:dyDescent="0.25">
      <c r="A28" s="156">
        <v>43916</v>
      </c>
      <c r="B28" s="157">
        <v>9362</v>
      </c>
      <c r="C28" s="97">
        <v>35362.400000000001</v>
      </c>
      <c r="D28" s="158"/>
      <c r="E28" s="97"/>
      <c r="F28" s="155">
        <f t="shared" si="0"/>
        <v>35362.400000000001</v>
      </c>
    </row>
    <row r="29" spans="1:6" x14ac:dyDescent="0.25">
      <c r="A29" s="156">
        <v>43917</v>
      </c>
      <c r="B29" s="157">
        <v>9394</v>
      </c>
      <c r="C29" s="97">
        <v>67145.759999999995</v>
      </c>
      <c r="D29" s="158"/>
      <c r="E29" s="97"/>
      <c r="F29" s="155">
        <f t="shared" si="0"/>
        <v>102508.16</v>
      </c>
    </row>
    <row r="30" spans="1:6" x14ac:dyDescent="0.25">
      <c r="A30" s="156">
        <v>43917</v>
      </c>
      <c r="B30" s="157">
        <v>9407</v>
      </c>
      <c r="C30" s="97">
        <v>37214.74</v>
      </c>
      <c r="D30" s="158"/>
      <c r="E30" s="97"/>
      <c r="F30" s="155">
        <f t="shared" si="0"/>
        <v>139722.9</v>
      </c>
    </row>
    <row r="31" spans="1:6" x14ac:dyDescent="0.25">
      <c r="A31" s="156">
        <v>43918</v>
      </c>
      <c r="B31" s="157">
        <v>9543</v>
      </c>
      <c r="C31" s="97">
        <v>81554.399999999994</v>
      </c>
      <c r="D31" s="158"/>
      <c r="E31" s="97"/>
      <c r="F31" s="155">
        <f t="shared" si="0"/>
        <v>221277.3</v>
      </c>
    </row>
    <row r="32" spans="1:6" x14ac:dyDescent="0.25">
      <c r="A32" s="156">
        <v>43919</v>
      </c>
      <c r="B32" s="157">
        <v>9676</v>
      </c>
      <c r="C32" s="97">
        <v>32493.599999999999</v>
      </c>
      <c r="D32" s="158"/>
      <c r="E32" s="97"/>
      <c r="F32" s="155">
        <f t="shared" si="0"/>
        <v>253770.9</v>
      </c>
    </row>
    <row r="33" spans="1:6" x14ac:dyDescent="0.25">
      <c r="A33" s="156">
        <v>43919</v>
      </c>
      <c r="B33" s="157">
        <v>9687</v>
      </c>
      <c r="C33" s="97">
        <v>3709</v>
      </c>
      <c r="D33" s="158">
        <v>43920</v>
      </c>
      <c r="E33" s="97">
        <v>257479.9</v>
      </c>
      <c r="F33" s="155">
        <f t="shared" si="0"/>
        <v>0</v>
      </c>
    </row>
    <row r="34" spans="1:6" x14ac:dyDescent="0.25">
      <c r="A34" s="156">
        <v>43920</v>
      </c>
      <c r="B34" s="157">
        <v>9804</v>
      </c>
      <c r="C34" s="97">
        <v>37578.6</v>
      </c>
      <c r="D34" s="158"/>
      <c r="E34" s="97"/>
      <c r="F34" s="155">
        <f t="shared" si="0"/>
        <v>37578.6</v>
      </c>
    </row>
    <row r="35" spans="1:6" x14ac:dyDescent="0.25">
      <c r="A35" s="156">
        <v>43921</v>
      </c>
      <c r="B35" s="157">
        <v>9860</v>
      </c>
      <c r="C35" s="97">
        <v>1296</v>
      </c>
      <c r="D35" s="158"/>
      <c r="E35" s="97"/>
      <c r="F35" s="155">
        <f t="shared" si="0"/>
        <v>38874.6</v>
      </c>
    </row>
    <row r="36" spans="1:6" x14ac:dyDescent="0.25">
      <c r="A36" s="156">
        <v>43922</v>
      </c>
      <c r="B36" s="157">
        <v>9932</v>
      </c>
      <c r="C36" s="97">
        <v>77278.850000000006</v>
      </c>
      <c r="D36" s="158"/>
      <c r="E36" s="97"/>
      <c r="F36" s="155">
        <f t="shared" si="0"/>
        <v>116153.45000000001</v>
      </c>
    </row>
    <row r="37" spans="1:6" x14ac:dyDescent="0.25">
      <c r="A37" s="156">
        <v>43923</v>
      </c>
      <c r="B37" s="157">
        <v>10073</v>
      </c>
      <c r="C37" s="97">
        <v>29531.040000000001</v>
      </c>
      <c r="D37" s="158">
        <v>43925</v>
      </c>
      <c r="E37" s="97">
        <v>145684.49</v>
      </c>
      <c r="F37" s="155">
        <f t="shared" si="0"/>
        <v>0</v>
      </c>
    </row>
    <row r="38" spans="1:6" x14ac:dyDescent="0.25">
      <c r="A38" s="156">
        <v>43924</v>
      </c>
      <c r="B38" s="157">
        <v>10262</v>
      </c>
      <c r="C38" s="97">
        <v>152058.71</v>
      </c>
      <c r="D38" s="158"/>
      <c r="E38" s="97"/>
      <c r="F38" s="155">
        <f t="shared" si="0"/>
        <v>152058.71</v>
      </c>
    </row>
    <row r="39" spans="1:6" x14ac:dyDescent="0.25">
      <c r="A39" s="156">
        <v>43925</v>
      </c>
      <c r="B39" s="157">
        <v>10334</v>
      </c>
      <c r="C39" s="97">
        <v>78016.5</v>
      </c>
      <c r="D39" s="158"/>
      <c r="E39" s="97"/>
      <c r="F39" s="155">
        <f t="shared" si="0"/>
        <v>230075.21</v>
      </c>
    </row>
    <row r="40" spans="1:6" x14ac:dyDescent="0.25">
      <c r="A40" s="156">
        <v>43925</v>
      </c>
      <c r="B40" s="157">
        <v>10335</v>
      </c>
      <c r="C40" s="97">
        <v>386.4</v>
      </c>
      <c r="D40" s="158"/>
      <c r="E40" s="97"/>
      <c r="F40" s="155">
        <f t="shared" si="0"/>
        <v>230461.61</v>
      </c>
    </row>
    <row r="41" spans="1:6" x14ac:dyDescent="0.25">
      <c r="A41" s="156">
        <v>43928</v>
      </c>
      <c r="B41" s="157">
        <v>10635</v>
      </c>
      <c r="C41" s="97">
        <v>54300.3</v>
      </c>
      <c r="D41" s="158"/>
      <c r="E41" s="97"/>
      <c r="F41" s="155">
        <f t="shared" si="0"/>
        <v>284761.90999999997</v>
      </c>
    </row>
    <row r="42" spans="1:6" x14ac:dyDescent="0.25">
      <c r="A42" s="156">
        <v>43928</v>
      </c>
      <c r="B42" s="157">
        <v>10638</v>
      </c>
      <c r="C42" s="97">
        <v>5544</v>
      </c>
      <c r="D42" s="158"/>
      <c r="E42" s="97"/>
      <c r="F42" s="155">
        <f t="shared" si="0"/>
        <v>290305.90999999997</v>
      </c>
    </row>
    <row r="43" spans="1:6" x14ac:dyDescent="0.25">
      <c r="A43" s="214"/>
      <c r="B43" s="215"/>
      <c r="C43" s="97">
        <v>0</v>
      </c>
      <c r="D43" s="216"/>
      <c r="E43" s="97"/>
      <c r="F43" s="155">
        <f t="shared" si="0"/>
        <v>290305.90999999997</v>
      </c>
    </row>
    <row r="44" spans="1:6" x14ac:dyDescent="0.25">
      <c r="A44" s="156"/>
      <c r="B44" s="157"/>
      <c r="C44" s="97">
        <v>0</v>
      </c>
      <c r="D44" s="158"/>
      <c r="E44" s="97"/>
      <c r="F44" s="155">
        <f t="shared" si="0"/>
        <v>290305.90999999997</v>
      </c>
    </row>
    <row r="45" spans="1:6" x14ac:dyDescent="0.25">
      <c r="A45" s="156"/>
      <c r="B45" s="157"/>
      <c r="C45" s="97">
        <v>0</v>
      </c>
      <c r="D45" s="158"/>
      <c r="E45" s="97"/>
      <c r="F45" s="155">
        <f t="shared" si="0"/>
        <v>290305.90999999997</v>
      </c>
    </row>
    <row r="46" spans="1:6" x14ac:dyDescent="0.25">
      <c r="A46" s="156"/>
      <c r="B46" s="157"/>
      <c r="C46" s="97">
        <v>0</v>
      </c>
      <c r="D46" s="158"/>
      <c r="E46" s="97"/>
      <c r="F46" s="155">
        <f t="shared" si="0"/>
        <v>290305.90999999997</v>
      </c>
    </row>
    <row r="47" spans="1:6" x14ac:dyDescent="0.25">
      <c r="A47" s="156"/>
      <c r="B47" s="157"/>
      <c r="C47" s="97">
        <v>0</v>
      </c>
      <c r="D47" s="158"/>
      <c r="E47" s="97"/>
      <c r="F47" s="155">
        <f t="shared" si="0"/>
        <v>290305.90999999997</v>
      </c>
    </row>
    <row r="48" spans="1:6" x14ac:dyDescent="0.25">
      <c r="A48" s="156"/>
      <c r="B48" s="157"/>
      <c r="C48" s="97">
        <v>0</v>
      </c>
      <c r="D48" s="158"/>
      <c r="E48" s="97"/>
      <c r="F48" s="155">
        <f t="shared" si="0"/>
        <v>290305.90999999997</v>
      </c>
    </row>
    <row r="49" spans="1:6" x14ac:dyDescent="0.25">
      <c r="A49" s="156"/>
      <c r="B49" s="157"/>
      <c r="C49" s="97">
        <v>0</v>
      </c>
      <c r="D49" s="158"/>
      <c r="E49" s="97"/>
      <c r="F49" s="155">
        <f t="shared" si="0"/>
        <v>290305.90999999997</v>
      </c>
    </row>
    <row r="50" spans="1:6" ht="15.75" thickBot="1" x14ac:dyDescent="0.3">
      <c r="A50" s="159"/>
      <c r="B50" s="160"/>
      <c r="C50" s="161">
        <v>0</v>
      </c>
      <c r="D50" s="162"/>
      <c r="E50" s="161"/>
      <c r="F50" s="155">
        <f t="shared" si="0"/>
        <v>290305.90999999997</v>
      </c>
    </row>
    <row r="51" spans="1:6" ht="19.5" thickTop="1" x14ac:dyDescent="0.3">
      <c r="B51" s="65"/>
      <c r="C51" s="4">
        <f>SUM(C3:C50)</f>
        <v>2140783.92</v>
      </c>
      <c r="D51" s="1"/>
      <c r="E51" s="4">
        <f>SUM(E3:E50)</f>
        <v>1850478.01</v>
      </c>
      <c r="F51" s="163">
        <f>F50</f>
        <v>290305.90999999997</v>
      </c>
    </row>
    <row r="52" spans="1:6" x14ac:dyDescent="0.25">
      <c r="B52" s="65"/>
      <c r="C52" s="4"/>
      <c r="D52" s="1"/>
      <c r="E52" s="5"/>
      <c r="F52" s="4"/>
    </row>
    <row r="53" spans="1:6" x14ac:dyDescent="0.25">
      <c r="B53" s="65"/>
      <c r="C53" s="4"/>
      <c r="D53" s="1"/>
      <c r="E53" s="5"/>
      <c r="F53" s="4"/>
    </row>
    <row r="54" spans="1:6" x14ac:dyDescent="0.25">
      <c r="A54"/>
      <c r="B54" s="23"/>
      <c r="D54" s="23"/>
    </row>
    <row r="55" spans="1:6" x14ac:dyDescent="0.25">
      <c r="A55"/>
      <c r="B55" s="23"/>
      <c r="D55" s="23"/>
    </row>
    <row r="56" spans="1:6" x14ac:dyDescent="0.25">
      <c r="A56"/>
      <c r="B56" s="23"/>
      <c r="D56" s="23"/>
    </row>
    <row r="57" spans="1:6" x14ac:dyDescent="0.25">
      <c r="A57"/>
      <c r="B57" s="23"/>
      <c r="D57" s="23"/>
      <c r="F57"/>
    </row>
    <row r="58" spans="1:6" x14ac:dyDescent="0.25">
      <c r="A58"/>
      <c r="B58" s="23"/>
      <c r="D58" s="23"/>
      <c r="F58"/>
    </row>
    <row r="59" spans="1:6" x14ac:dyDescent="0.25">
      <c r="A59"/>
      <c r="B59" s="23"/>
      <c r="D59" s="23"/>
      <c r="F59"/>
    </row>
    <row r="60" spans="1:6" x14ac:dyDescent="0.25">
      <c r="A60"/>
      <c r="B60" s="23"/>
      <c r="D60" s="23"/>
      <c r="F60"/>
    </row>
    <row r="61" spans="1:6" x14ac:dyDescent="0.25">
      <c r="A61"/>
      <c r="B61" s="23"/>
      <c r="D61" s="23"/>
      <c r="F61"/>
    </row>
    <row r="62" spans="1:6" x14ac:dyDescent="0.25">
      <c r="A62"/>
      <c r="B62" s="23"/>
      <c r="D62" s="23"/>
      <c r="F62"/>
    </row>
    <row r="63" spans="1:6" x14ac:dyDescent="0.25">
      <c r="A63"/>
      <c r="B63" s="23"/>
      <c r="D63" s="23"/>
      <c r="F63"/>
    </row>
    <row r="64" spans="1:6" x14ac:dyDescent="0.25">
      <c r="A64"/>
      <c r="B64" s="23"/>
      <c r="D64" s="23"/>
      <c r="F64"/>
    </row>
    <row r="65" spans="1:6" x14ac:dyDescent="0.25">
      <c r="A65"/>
      <c r="B65" s="23"/>
      <c r="D65" s="23"/>
      <c r="F65"/>
    </row>
    <row r="66" spans="1:6" x14ac:dyDescent="0.25">
      <c r="A66"/>
      <c r="B66" s="23"/>
      <c r="D66" s="23"/>
      <c r="E66"/>
      <c r="F66"/>
    </row>
    <row r="67" spans="1:6" x14ac:dyDescent="0.25">
      <c r="A67"/>
      <c r="B67" s="23"/>
      <c r="D67" s="23"/>
      <c r="E67"/>
      <c r="F67"/>
    </row>
    <row r="68" spans="1:6" x14ac:dyDescent="0.25">
      <c r="A68"/>
      <c r="B68" s="23"/>
      <c r="D68" s="23"/>
      <c r="E68"/>
      <c r="F68"/>
    </row>
    <row r="69" spans="1:6" x14ac:dyDescent="0.25">
      <c r="A69"/>
      <c r="B69" s="23"/>
      <c r="D69" s="23"/>
      <c r="E69"/>
      <c r="F69"/>
    </row>
    <row r="70" spans="1:6" x14ac:dyDescent="0.25">
      <c r="A70"/>
      <c r="B70" s="23"/>
      <c r="D70" s="23"/>
      <c r="E70"/>
      <c r="F70"/>
    </row>
    <row r="71" spans="1:6" x14ac:dyDescent="0.25">
      <c r="A71"/>
      <c r="B71" s="23"/>
      <c r="D71" s="23"/>
      <c r="E71"/>
      <c r="F71"/>
    </row>
    <row r="72" spans="1:6" x14ac:dyDescent="0.25">
      <c r="B72" s="23"/>
      <c r="D72" s="23"/>
      <c r="E72"/>
    </row>
    <row r="73" spans="1:6" x14ac:dyDescent="0.25">
      <c r="B73" s="23"/>
      <c r="D73" s="23"/>
      <c r="E73"/>
    </row>
    <row r="74" spans="1:6" x14ac:dyDescent="0.25">
      <c r="B74" s="23"/>
      <c r="D74" s="23"/>
      <c r="E74"/>
    </row>
    <row r="75" spans="1:6" x14ac:dyDescent="0.25">
      <c r="B75" s="23"/>
      <c r="D75" s="23"/>
      <c r="E75"/>
    </row>
    <row r="76" spans="1:6" x14ac:dyDescent="0.25">
      <c r="B76" s="23"/>
      <c r="D76" s="23"/>
      <c r="E76"/>
    </row>
    <row r="77" spans="1:6" x14ac:dyDescent="0.25">
      <c r="B77" s="23"/>
      <c r="D77" s="23"/>
      <c r="E77"/>
    </row>
    <row r="78" spans="1:6" x14ac:dyDescent="0.25">
      <c r="B78" s="23"/>
      <c r="D78" s="23"/>
      <c r="E78"/>
    </row>
    <row r="79" spans="1:6" x14ac:dyDescent="0.25">
      <c r="B79" s="23"/>
      <c r="D79" s="23"/>
      <c r="E79"/>
    </row>
    <row r="80" spans="1:6" x14ac:dyDescent="0.25">
      <c r="B80" s="23"/>
      <c r="D80" s="23"/>
      <c r="E80"/>
    </row>
    <row r="81" spans="2:4" x14ac:dyDescent="0.25">
      <c r="B81" s="23"/>
    </row>
    <row r="82" spans="2:4" x14ac:dyDescent="0.25">
      <c r="B82" s="23"/>
    </row>
    <row r="83" spans="2:4" x14ac:dyDescent="0.25">
      <c r="B83" s="23"/>
      <c r="D83" s="23"/>
    </row>
    <row r="84" spans="2:4" x14ac:dyDescent="0.25">
      <c r="B84" s="23"/>
    </row>
    <row r="85" spans="2:4" x14ac:dyDescent="0.25">
      <c r="B85" s="23"/>
    </row>
    <row r="86" spans="2:4" x14ac:dyDescent="0.25">
      <c r="B86" s="23"/>
    </row>
    <row r="87" spans="2:4" ht="18.75" x14ac:dyDescent="0.3">
      <c r="C87" s="14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3CFFE-E1E9-43F5-BC3F-768195BE7705}">
  <sheetPr>
    <tabColor theme="7" tint="-0.249977111117893"/>
  </sheetPr>
  <dimension ref="A1:O78"/>
  <sheetViews>
    <sheetView topLeftCell="A31" workbookViewId="0">
      <selection activeCell="J55" sqref="J55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13" customWidth="1"/>
    <col min="4" max="4" width="15.28515625" customWidth="1"/>
    <col min="6" max="6" width="17.85546875" style="13" customWidth="1"/>
    <col min="7" max="7" width="2.85546875" customWidth="1"/>
    <col min="9" max="9" width="12.140625" style="13" customWidth="1"/>
    <col min="10" max="10" width="11.7109375" style="13" customWidth="1"/>
    <col min="11" max="11" width="17.28515625" customWidth="1"/>
    <col min="12" max="12" width="14.5703125" customWidth="1"/>
    <col min="13" max="13" width="18.140625" style="13" customWidth="1"/>
    <col min="14" max="14" width="14.42578125" style="4" customWidth="1"/>
    <col min="15" max="15" width="8.42578125" style="4" customWidth="1"/>
  </cols>
  <sheetData>
    <row r="1" spans="1:15" ht="23.25" x14ac:dyDescent="0.35">
      <c r="C1" s="353" t="s">
        <v>178</v>
      </c>
      <c r="D1" s="353"/>
      <c r="E1" s="353"/>
      <c r="F1" s="353"/>
      <c r="G1" s="353"/>
      <c r="H1" s="353"/>
      <c r="I1" s="353"/>
      <c r="J1" s="353"/>
      <c r="K1" s="353"/>
      <c r="L1" s="2"/>
      <c r="M1" s="3"/>
    </row>
    <row r="2" spans="1:15" ht="18.75" x14ac:dyDescent="0.3">
      <c r="C2" s="5"/>
      <c r="E2" s="381" t="s">
        <v>135</v>
      </c>
      <c r="F2" s="381"/>
      <c r="H2" s="184" t="s">
        <v>1</v>
      </c>
      <c r="I2" s="3"/>
      <c r="J2" s="3"/>
      <c r="M2" s="3"/>
      <c r="N2" s="56"/>
      <c r="O2" s="56"/>
    </row>
    <row r="3" spans="1:15" ht="19.5" thickBot="1" x14ac:dyDescent="0.35">
      <c r="B3" s="354" t="s">
        <v>2</v>
      </c>
      <c r="C3" s="355"/>
      <c r="D3" s="12"/>
      <c r="E3" s="382"/>
      <c r="F3" s="382"/>
      <c r="I3" s="185" t="s">
        <v>3</v>
      </c>
      <c r="J3" s="186"/>
      <c r="K3" s="187" t="s">
        <v>136</v>
      </c>
      <c r="L3" s="187"/>
    </row>
    <row r="4" spans="1:15" ht="20.25" thickTop="1" thickBot="1" x14ac:dyDescent="0.35">
      <c r="A4" s="16" t="s">
        <v>5</v>
      </c>
      <c r="B4" s="17"/>
      <c r="C4" s="18">
        <v>242201.9</v>
      </c>
      <c r="D4" s="188">
        <v>43928</v>
      </c>
      <c r="E4" s="356" t="s">
        <v>6</v>
      </c>
      <c r="F4" s="357"/>
      <c r="H4" s="358" t="s">
        <v>7</v>
      </c>
      <c r="I4" s="359"/>
      <c r="J4" s="20"/>
      <c r="K4" s="20"/>
      <c r="L4" s="20"/>
      <c r="M4" s="21" t="s">
        <v>8</v>
      </c>
      <c r="N4" s="22" t="s">
        <v>9</v>
      </c>
      <c r="O4" s="165"/>
    </row>
    <row r="5" spans="1:15" ht="15.75" thickBot="1" x14ac:dyDescent="0.3">
      <c r="A5" s="23" t="s">
        <v>10</v>
      </c>
      <c r="B5" s="24">
        <v>43929</v>
      </c>
      <c r="C5" s="25">
        <v>560</v>
      </c>
      <c r="D5" s="26" t="s">
        <v>82</v>
      </c>
      <c r="E5" s="27">
        <v>43929</v>
      </c>
      <c r="F5" s="28">
        <v>63283</v>
      </c>
      <c r="H5" s="29">
        <v>43929</v>
      </c>
      <c r="I5" s="30">
        <v>0</v>
      </c>
      <c r="M5" s="31">
        <v>57047</v>
      </c>
      <c r="N5" s="32">
        <v>4806</v>
      </c>
      <c r="O5" s="91"/>
    </row>
    <row r="6" spans="1:15" ht="15.75" thickBot="1" x14ac:dyDescent="0.3">
      <c r="A6" s="23"/>
      <c r="B6" s="24">
        <v>43930</v>
      </c>
      <c r="C6" s="25">
        <v>31868.65</v>
      </c>
      <c r="D6" s="33" t="s">
        <v>179</v>
      </c>
      <c r="E6" s="27">
        <v>43930</v>
      </c>
      <c r="F6" s="28">
        <v>81621</v>
      </c>
      <c r="H6" s="29">
        <v>43930</v>
      </c>
      <c r="I6" s="34">
        <v>0</v>
      </c>
      <c r="J6" s="35"/>
      <c r="K6" s="36"/>
      <c r="L6" s="37"/>
      <c r="M6" s="203">
        <v>49482</v>
      </c>
      <c r="N6" s="32">
        <v>2357</v>
      </c>
      <c r="O6" s="217" t="s">
        <v>166</v>
      </c>
    </row>
    <row r="7" spans="1:15" ht="16.5" thickBot="1" x14ac:dyDescent="0.3">
      <c r="A7" s="23"/>
      <c r="B7" s="24">
        <v>43931</v>
      </c>
      <c r="C7" s="189">
        <v>0</v>
      </c>
      <c r="D7" s="218" t="s">
        <v>180</v>
      </c>
      <c r="E7" s="27">
        <v>43931</v>
      </c>
      <c r="F7" s="191">
        <v>0</v>
      </c>
      <c r="H7" s="29">
        <v>43931</v>
      </c>
      <c r="I7" s="192">
        <v>0</v>
      </c>
      <c r="J7" s="39">
        <v>43938</v>
      </c>
      <c r="K7" s="40" t="s">
        <v>13</v>
      </c>
      <c r="L7" s="41">
        <v>1098</v>
      </c>
      <c r="M7" s="193">
        <v>0</v>
      </c>
      <c r="N7" s="194">
        <v>0</v>
      </c>
      <c r="O7" s="219"/>
    </row>
    <row r="8" spans="1:15" ht="16.5" thickBot="1" x14ac:dyDescent="0.3">
      <c r="A8" s="23"/>
      <c r="B8" s="24">
        <v>43932</v>
      </c>
      <c r="C8" s="25">
        <v>3252</v>
      </c>
      <c r="D8" s="42" t="s">
        <v>154</v>
      </c>
      <c r="E8" s="27">
        <v>43932</v>
      </c>
      <c r="F8" s="28">
        <v>153867</v>
      </c>
      <c r="H8" s="29">
        <v>43932</v>
      </c>
      <c r="I8" s="34">
        <v>10194</v>
      </c>
      <c r="J8" s="47"/>
      <c r="K8" s="44" t="s">
        <v>15</v>
      </c>
      <c r="L8" s="45">
        <v>0</v>
      </c>
      <c r="M8" s="203">
        <v>120014</v>
      </c>
      <c r="N8" s="32">
        <v>9501</v>
      </c>
      <c r="O8" s="217" t="s">
        <v>166</v>
      </c>
    </row>
    <row r="9" spans="1:15" ht="16.5" thickBot="1" x14ac:dyDescent="0.3">
      <c r="A9" s="23"/>
      <c r="B9" s="24">
        <v>43933</v>
      </c>
      <c r="C9" s="25">
        <v>1818</v>
      </c>
      <c r="D9" s="46" t="s">
        <v>73</v>
      </c>
      <c r="E9" s="27">
        <v>43933</v>
      </c>
      <c r="F9" s="28">
        <v>102527</v>
      </c>
      <c r="H9" s="29">
        <v>43933</v>
      </c>
      <c r="I9" s="34">
        <v>0</v>
      </c>
      <c r="J9" s="47">
        <v>43952</v>
      </c>
      <c r="K9" s="48" t="s">
        <v>17</v>
      </c>
      <c r="L9" s="49">
        <v>20000</v>
      </c>
      <c r="M9" s="203">
        <v>96965</v>
      </c>
      <c r="N9" s="32">
        <v>3744</v>
      </c>
      <c r="O9" s="217" t="s">
        <v>166</v>
      </c>
    </row>
    <row r="10" spans="1:15" ht="16.5" thickBot="1" x14ac:dyDescent="0.3">
      <c r="A10" s="23"/>
      <c r="B10" s="24">
        <v>43934</v>
      </c>
      <c r="C10" s="25">
        <v>12878.68</v>
      </c>
      <c r="D10" s="38" t="s">
        <v>181</v>
      </c>
      <c r="E10" s="27">
        <v>43934</v>
      </c>
      <c r="F10" s="28">
        <v>76290</v>
      </c>
      <c r="H10" s="29">
        <v>43934</v>
      </c>
      <c r="I10" s="34">
        <v>0</v>
      </c>
      <c r="J10" s="50"/>
      <c r="K10" s="51"/>
      <c r="L10" s="52"/>
      <c r="M10" s="31">
        <v>61215</v>
      </c>
      <c r="N10" s="32">
        <v>2196</v>
      </c>
      <c r="O10" s="219"/>
    </row>
    <row r="11" spans="1:15" ht="15.75" thickBot="1" x14ac:dyDescent="0.3">
      <c r="A11" s="23"/>
      <c r="B11" s="24">
        <v>43935</v>
      </c>
      <c r="C11" s="25">
        <v>473</v>
      </c>
      <c r="D11" s="33" t="s">
        <v>182</v>
      </c>
      <c r="E11" s="27">
        <v>43935</v>
      </c>
      <c r="F11" s="28">
        <v>63926</v>
      </c>
      <c r="H11" s="29">
        <v>43935</v>
      </c>
      <c r="I11" s="34">
        <v>0</v>
      </c>
      <c r="J11" s="53"/>
      <c r="K11" s="54"/>
      <c r="L11" s="52"/>
      <c r="M11" s="203">
        <v>59392</v>
      </c>
      <c r="N11" s="32">
        <v>4061</v>
      </c>
      <c r="O11" s="217" t="s">
        <v>166</v>
      </c>
    </row>
    <row r="12" spans="1:15" ht="15.75" thickBot="1" x14ac:dyDescent="0.3">
      <c r="A12" s="23"/>
      <c r="B12" s="24">
        <v>43936</v>
      </c>
      <c r="C12" s="25">
        <v>12114.74</v>
      </c>
      <c r="D12" s="33" t="s">
        <v>137</v>
      </c>
      <c r="E12" s="27">
        <v>43936</v>
      </c>
      <c r="F12" s="28">
        <v>126067</v>
      </c>
      <c r="H12" s="29">
        <v>43936</v>
      </c>
      <c r="I12" s="34">
        <v>4000</v>
      </c>
      <c r="J12" s="55">
        <v>43932</v>
      </c>
      <c r="K12" s="48" t="s">
        <v>183</v>
      </c>
      <c r="L12" s="52">
        <f>15384.61+4000+400</f>
        <v>19784.61</v>
      </c>
      <c r="M12" s="203">
        <f>29080+27660+200+49585</f>
        <v>106525</v>
      </c>
      <c r="N12" s="32">
        <v>3423</v>
      </c>
      <c r="O12" s="220" t="s">
        <v>184</v>
      </c>
    </row>
    <row r="13" spans="1:15" ht="15.75" thickBot="1" x14ac:dyDescent="0.3">
      <c r="A13" s="23"/>
      <c r="B13" s="24">
        <v>43937</v>
      </c>
      <c r="C13" s="25">
        <v>1266</v>
      </c>
      <c r="D13" s="42" t="s">
        <v>19</v>
      </c>
      <c r="E13" s="27">
        <v>43937</v>
      </c>
      <c r="F13" s="28">
        <v>71749</v>
      </c>
      <c r="H13" s="29">
        <v>43937</v>
      </c>
      <c r="I13" s="34">
        <v>0</v>
      </c>
      <c r="J13" s="55">
        <v>43939</v>
      </c>
      <c r="K13" s="48" t="s">
        <v>185</v>
      </c>
      <c r="L13" s="52">
        <f>16815.05+4000+400</f>
        <v>21215.05</v>
      </c>
      <c r="M13" s="203">
        <v>67386</v>
      </c>
      <c r="N13" s="32">
        <v>3097</v>
      </c>
      <c r="O13" s="217" t="s">
        <v>166</v>
      </c>
    </row>
    <row r="14" spans="1:15" ht="15.75" thickBot="1" x14ac:dyDescent="0.3">
      <c r="A14" s="23"/>
      <c r="B14" s="24">
        <v>43938</v>
      </c>
      <c r="C14" s="25">
        <v>12960</v>
      </c>
      <c r="D14" s="38" t="s">
        <v>148</v>
      </c>
      <c r="E14" s="27">
        <v>43938</v>
      </c>
      <c r="F14" s="28">
        <v>79540</v>
      </c>
      <c r="H14" s="29">
        <v>43938</v>
      </c>
      <c r="I14" s="34">
        <v>10180</v>
      </c>
      <c r="J14" s="55">
        <v>43946</v>
      </c>
      <c r="K14" s="48" t="s">
        <v>186</v>
      </c>
      <c r="L14" s="52">
        <f>15882.05+4000</f>
        <v>19882.05</v>
      </c>
      <c r="M14" s="203">
        <f>47071+16475</f>
        <v>63546</v>
      </c>
      <c r="N14" s="32">
        <v>5594</v>
      </c>
      <c r="O14" s="217" t="s">
        <v>166</v>
      </c>
    </row>
    <row r="15" spans="1:15" ht="15.75" thickBot="1" x14ac:dyDescent="0.3">
      <c r="A15" s="23"/>
      <c r="B15" s="24">
        <v>43939</v>
      </c>
      <c r="C15" s="25">
        <v>6441</v>
      </c>
      <c r="D15" s="33" t="s">
        <v>187</v>
      </c>
      <c r="E15" s="27">
        <v>43939</v>
      </c>
      <c r="F15" s="28">
        <v>110316</v>
      </c>
      <c r="H15" s="29">
        <v>43939</v>
      </c>
      <c r="I15" s="34">
        <v>0</v>
      </c>
      <c r="J15" s="55">
        <v>43947</v>
      </c>
      <c r="K15" s="48" t="s">
        <v>28</v>
      </c>
      <c r="L15" s="52">
        <v>400</v>
      </c>
      <c r="M15" s="203">
        <v>85248</v>
      </c>
      <c r="N15" s="32">
        <v>6257</v>
      </c>
      <c r="O15" s="217" t="s">
        <v>166</v>
      </c>
    </row>
    <row r="16" spans="1:15" ht="15.75" thickBot="1" x14ac:dyDescent="0.3">
      <c r="A16" s="23"/>
      <c r="B16" s="24">
        <v>43940</v>
      </c>
      <c r="C16" s="25">
        <v>8898</v>
      </c>
      <c r="D16" s="33" t="s">
        <v>30</v>
      </c>
      <c r="E16" s="27">
        <v>43940</v>
      </c>
      <c r="F16" s="28">
        <v>97344</v>
      </c>
      <c r="H16" s="29">
        <v>43940</v>
      </c>
      <c r="I16" s="34">
        <v>0</v>
      </c>
      <c r="J16" s="55">
        <v>43953</v>
      </c>
      <c r="K16" s="48" t="s">
        <v>188</v>
      </c>
      <c r="L16" s="56">
        <f>18329.34+4571.44+400</f>
        <v>23300.78</v>
      </c>
      <c r="M16" s="203">
        <v>84540</v>
      </c>
      <c r="N16" s="32">
        <v>3907</v>
      </c>
      <c r="O16" s="217" t="s">
        <v>189</v>
      </c>
    </row>
    <row r="17" spans="1:15" ht="15.75" thickBot="1" x14ac:dyDescent="0.3">
      <c r="A17" s="23"/>
      <c r="B17" s="24">
        <v>43941</v>
      </c>
      <c r="C17" s="25">
        <v>14089.54</v>
      </c>
      <c r="D17" s="42" t="s">
        <v>137</v>
      </c>
      <c r="E17" s="27">
        <v>43941</v>
      </c>
      <c r="F17" s="28">
        <v>64172</v>
      </c>
      <c r="H17" s="29">
        <v>43941</v>
      </c>
      <c r="I17" s="34">
        <v>0</v>
      </c>
      <c r="J17" s="57"/>
      <c r="K17" s="48" t="s">
        <v>190</v>
      </c>
      <c r="L17" s="58">
        <v>0</v>
      </c>
      <c r="M17" s="31">
        <v>47870</v>
      </c>
      <c r="N17" s="32">
        <v>2192</v>
      </c>
      <c r="O17" s="217"/>
    </row>
    <row r="18" spans="1:15" ht="15.75" thickBot="1" x14ac:dyDescent="0.3">
      <c r="A18" s="23"/>
      <c r="B18" s="24">
        <v>43942</v>
      </c>
      <c r="C18" s="25">
        <v>635</v>
      </c>
      <c r="D18" s="33" t="s">
        <v>154</v>
      </c>
      <c r="E18" s="27">
        <v>43942</v>
      </c>
      <c r="F18" s="28">
        <v>63892</v>
      </c>
      <c r="H18" s="29">
        <v>43942</v>
      </c>
      <c r="I18" s="34">
        <v>0</v>
      </c>
      <c r="J18" s="57"/>
      <c r="K18" s="59"/>
      <c r="L18" s="52"/>
      <c r="M18" s="203">
        <v>60271</v>
      </c>
      <c r="N18" s="32">
        <v>2985</v>
      </c>
      <c r="O18" s="217" t="s">
        <v>166</v>
      </c>
    </row>
    <row r="19" spans="1:15" ht="15.75" thickBot="1" x14ac:dyDescent="0.3">
      <c r="A19" s="23"/>
      <c r="B19" s="24">
        <v>43943</v>
      </c>
      <c r="C19" s="25">
        <v>2110</v>
      </c>
      <c r="D19" s="33" t="s">
        <v>12</v>
      </c>
      <c r="E19" s="27">
        <v>43943</v>
      </c>
      <c r="F19" s="28">
        <v>58260</v>
      </c>
      <c r="H19" s="29">
        <v>43943</v>
      </c>
      <c r="I19" s="34">
        <v>0</v>
      </c>
      <c r="J19" s="57"/>
      <c r="K19" s="60"/>
      <c r="L19" s="61"/>
      <c r="M19" s="31">
        <v>53161</v>
      </c>
      <c r="N19" s="32">
        <v>2989</v>
      </c>
      <c r="O19" s="217" t="s">
        <v>10</v>
      </c>
    </row>
    <row r="20" spans="1:15" ht="15.75" thickBot="1" x14ac:dyDescent="0.3">
      <c r="A20" s="23"/>
      <c r="B20" s="24">
        <v>43944</v>
      </c>
      <c r="C20" s="25">
        <v>20535.560000000001</v>
      </c>
      <c r="D20" s="33" t="s">
        <v>191</v>
      </c>
      <c r="E20" s="27">
        <v>43944</v>
      </c>
      <c r="F20" s="28">
        <v>78025</v>
      </c>
      <c r="H20" s="29">
        <v>43944</v>
      </c>
      <c r="I20" s="34">
        <v>0</v>
      </c>
      <c r="J20" s="55">
        <v>43929</v>
      </c>
      <c r="K20" s="62" t="s">
        <v>192</v>
      </c>
      <c r="L20" s="58">
        <v>870</v>
      </c>
      <c r="M20" s="31">
        <v>56258</v>
      </c>
      <c r="N20" s="32">
        <v>1251</v>
      </c>
      <c r="O20" s="217"/>
    </row>
    <row r="21" spans="1:15" ht="16.5" thickBot="1" x14ac:dyDescent="0.3">
      <c r="A21" s="23"/>
      <c r="B21" s="24">
        <v>43945</v>
      </c>
      <c r="C21" s="25">
        <v>4205</v>
      </c>
      <c r="D21" s="33" t="s">
        <v>193</v>
      </c>
      <c r="E21" s="27">
        <v>43945</v>
      </c>
      <c r="F21" s="28">
        <v>82500</v>
      </c>
      <c r="H21" s="29">
        <v>43945</v>
      </c>
      <c r="I21" s="34">
        <v>10020</v>
      </c>
      <c r="J21" s="57"/>
      <c r="K21" s="63"/>
      <c r="L21" s="58"/>
      <c r="M21" s="31">
        <v>65585</v>
      </c>
      <c r="N21" s="32">
        <v>2690</v>
      </c>
      <c r="O21" s="217"/>
    </row>
    <row r="22" spans="1:15" ht="15.75" thickBot="1" x14ac:dyDescent="0.3">
      <c r="A22" s="23"/>
      <c r="B22" s="24">
        <v>43946</v>
      </c>
      <c r="C22" s="25">
        <v>14765.8</v>
      </c>
      <c r="D22" s="33" t="s">
        <v>194</v>
      </c>
      <c r="E22" s="27">
        <v>43946</v>
      </c>
      <c r="F22" s="28">
        <v>124349</v>
      </c>
      <c r="H22" s="29">
        <v>43946</v>
      </c>
      <c r="I22" s="34">
        <v>284</v>
      </c>
      <c r="J22" s="64"/>
      <c r="K22" s="65"/>
      <c r="L22" s="66"/>
      <c r="M22" s="31">
        <v>93933</v>
      </c>
      <c r="N22" s="32">
        <v>4177</v>
      </c>
      <c r="O22" s="217"/>
    </row>
    <row r="23" spans="1:15" ht="15.75" thickBot="1" x14ac:dyDescent="0.3">
      <c r="A23" s="23"/>
      <c r="B23" s="24">
        <v>43947</v>
      </c>
      <c r="C23" s="25">
        <v>1278</v>
      </c>
      <c r="D23" s="33" t="s">
        <v>19</v>
      </c>
      <c r="E23" s="27">
        <v>43947</v>
      </c>
      <c r="F23" s="28">
        <v>113957</v>
      </c>
      <c r="H23" s="29">
        <v>43947</v>
      </c>
      <c r="I23" s="34">
        <v>0</v>
      </c>
      <c r="J23" s="221"/>
      <c r="K23" s="222"/>
      <c r="L23" s="223"/>
      <c r="M23" s="203">
        <v>109150</v>
      </c>
      <c r="N23" s="32">
        <v>3132</v>
      </c>
      <c r="O23" s="204" t="s">
        <v>189</v>
      </c>
    </row>
    <row r="24" spans="1:15" ht="15.75" thickBot="1" x14ac:dyDescent="0.3">
      <c r="A24" s="23"/>
      <c r="B24" s="24">
        <v>43948</v>
      </c>
      <c r="C24" s="25">
        <v>1780</v>
      </c>
      <c r="D24" s="33" t="s">
        <v>195</v>
      </c>
      <c r="E24" s="27">
        <v>43948</v>
      </c>
      <c r="F24" s="28">
        <v>106237</v>
      </c>
      <c r="H24" s="29">
        <v>43948</v>
      </c>
      <c r="I24" s="34">
        <v>0</v>
      </c>
      <c r="J24" s="224" t="s">
        <v>196</v>
      </c>
      <c r="K24" s="225" t="s">
        <v>197</v>
      </c>
      <c r="L24" s="226">
        <v>1315.86</v>
      </c>
      <c r="M24" s="31">
        <f>27405+74436</f>
        <v>101841</v>
      </c>
      <c r="N24" s="32">
        <v>2616</v>
      </c>
      <c r="O24" s="217"/>
    </row>
    <row r="25" spans="1:15" ht="15.75" thickBot="1" x14ac:dyDescent="0.3">
      <c r="A25" s="23"/>
      <c r="B25" s="24">
        <v>43949</v>
      </c>
      <c r="C25" s="25">
        <v>3562</v>
      </c>
      <c r="D25" s="33" t="s">
        <v>154</v>
      </c>
      <c r="E25" s="27">
        <v>43949</v>
      </c>
      <c r="F25" s="28">
        <v>59410</v>
      </c>
      <c r="H25" s="29">
        <v>43949</v>
      </c>
      <c r="I25" s="34">
        <v>76</v>
      </c>
      <c r="J25" s="227" t="s">
        <v>196</v>
      </c>
      <c r="K25" s="86" t="s">
        <v>198</v>
      </c>
      <c r="L25" s="178">
        <v>2207.4</v>
      </c>
      <c r="M25" s="31">
        <v>54725</v>
      </c>
      <c r="N25" s="32">
        <v>1047</v>
      </c>
      <c r="O25" s="217" t="s">
        <v>10</v>
      </c>
    </row>
    <row r="26" spans="1:15" ht="15.75" thickBot="1" x14ac:dyDescent="0.3">
      <c r="A26" s="23"/>
      <c r="B26" s="24">
        <v>43950</v>
      </c>
      <c r="C26" s="25">
        <v>8748</v>
      </c>
      <c r="D26" s="33" t="s">
        <v>199</v>
      </c>
      <c r="E26" s="27">
        <v>43950</v>
      </c>
      <c r="F26" s="28">
        <v>85109</v>
      </c>
      <c r="H26" s="29">
        <v>43950</v>
      </c>
      <c r="I26" s="34">
        <v>4000</v>
      </c>
      <c r="J26" s="57" t="s">
        <v>196</v>
      </c>
      <c r="K26" s="228" t="s">
        <v>200</v>
      </c>
      <c r="L26" s="223">
        <v>429</v>
      </c>
      <c r="M26" s="31">
        <f>5653+6596+55200</f>
        <v>67449</v>
      </c>
      <c r="N26" s="32">
        <v>4920</v>
      </c>
      <c r="O26" s="217"/>
    </row>
    <row r="27" spans="1:15" ht="15.75" thickBot="1" x14ac:dyDescent="0.3">
      <c r="A27" s="23"/>
      <c r="B27" s="24">
        <v>43951</v>
      </c>
      <c r="C27" s="25">
        <v>14995</v>
      </c>
      <c r="D27" s="33" t="s">
        <v>201</v>
      </c>
      <c r="E27" s="27">
        <v>43951</v>
      </c>
      <c r="F27" s="28">
        <v>91862</v>
      </c>
      <c r="H27" s="29">
        <v>43951</v>
      </c>
      <c r="I27" s="34">
        <v>450</v>
      </c>
      <c r="J27" s="176" t="s">
        <v>196</v>
      </c>
      <c r="K27" s="96" t="s">
        <v>202</v>
      </c>
      <c r="L27" s="178">
        <v>1703.14</v>
      </c>
      <c r="M27" s="203">
        <v>73112</v>
      </c>
      <c r="N27" s="32">
        <v>3277</v>
      </c>
      <c r="O27" s="217" t="s">
        <v>166</v>
      </c>
    </row>
    <row r="28" spans="1:15" ht="15.75" thickBot="1" x14ac:dyDescent="0.3">
      <c r="A28" s="23"/>
      <c r="B28" s="24">
        <v>43952</v>
      </c>
      <c r="C28" s="25">
        <v>15811</v>
      </c>
      <c r="D28" s="229" t="s">
        <v>79</v>
      </c>
      <c r="E28" s="27">
        <v>43952</v>
      </c>
      <c r="F28" s="28">
        <v>125150</v>
      </c>
      <c r="H28" s="29">
        <v>43952</v>
      </c>
      <c r="I28" s="34">
        <v>10020</v>
      </c>
      <c r="J28" s="176" t="s">
        <v>196</v>
      </c>
      <c r="K28" s="230" t="s">
        <v>203</v>
      </c>
      <c r="L28" s="178">
        <v>3571.86</v>
      </c>
      <c r="M28" s="203">
        <v>71601</v>
      </c>
      <c r="N28" s="32">
        <v>7718</v>
      </c>
      <c r="O28" s="217" t="s">
        <v>166</v>
      </c>
    </row>
    <row r="29" spans="1:15" ht="15.75" thickBot="1" x14ac:dyDescent="0.3">
      <c r="A29" s="23"/>
      <c r="B29" s="24">
        <v>43953</v>
      </c>
      <c r="C29" s="25">
        <v>5328</v>
      </c>
      <c r="D29" s="195" t="s">
        <v>204</v>
      </c>
      <c r="E29" s="27">
        <v>43953</v>
      </c>
      <c r="F29" s="28">
        <v>146487</v>
      </c>
      <c r="H29" s="29">
        <v>43953</v>
      </c>
      <c r="I29" s="34">
        <v>0</v>
      </c>
      <c r="J29" s="176" t="s">
        <v>196</v>
      </c>
      <c r="K29" s="86" t="s">
        <v>205</v>
      </c>
      <c r="L29" s="178">
        <v>2296.94</v>
      </c>
      <c r="M29" s="31">
        <v>121500</v>
      </c>
      <c r="N29" s="32">
        <v>5781</v>
      </c>
      <c r="O29" s="217" t="s">
        <v>10</v>
      </c>
    </row>
    <row r="30" spans="1:15" ht="15.75" thickBot="1" x14ac:dyDescent="0.3">
      <c r="A30" s="23"/>
      <c r="B30" s="24">
        <v>43954</v>
      </c>
      <c r="C30" s="197">
        <v>10542</v>
      </c>
      <c r="D30" s="198" t="s">
        <v>206</v>
      </c>
      <c r="E30" s="27">
        <v>43954</v>
      </c>
      <c r="F30" s="28">
        <v>85859</v>
      </c>
      <c r="H30" s="29">
        <v>43954</v>
      </c>
      <c r="I30" s="199">
        <v>0</v>
      </c>
      <c r="J30" s="176" t="s">
        <v>196</v>
      </c>
      <c r="K30" s="231" t="s">
        <v>207</v>
      </c>
      <c r="L30" s="232">
        <v>38875</v>
      </c>
      <c r="M30" s="31">
        <v>73022</v>
      </c>
      <c r="N30" s="32">
        <v>2288</v>
      </c>
      <c r="O30" s="217"/>
    </row>
    <row r="31" spans="1:15" ht="15.75" thickBot="1" x14ac:dyDescent="0.3">
      <c r="A31" s="23"/>
      <c r="B31" s="24">
        <v>43955</v>
      </c>
      <c r="C31" s="201">
        <v>14461.73</v>
      </c>
      <c r="D31" s="198" t="s">
        <v>208</v>
      </c>
      <c r="E31" s="27">
        <v>43955</v>
      </c>
      <c r="F31" s="28">
        <v>108521</v>
      </c>
      <c r="H31" s="29">
        <v>43955</v>
      </c>
      <c r="I31" s="199">
        <v>0</v>
      </c>
      <c r="J31" s="176" t="s">
        <v>196</v>
      </c>
      <c r="K31" s="86" t="s">
        <v>209</v>
      </c>
      <c r="L31" s="178">
        <v>8180.79</v>
      </c>
      <c r="M31" s="31">
        <v>91906</v>
      </c>
      <c r="N31" s="32">
        <v>2158</v>
      </c>
      <c r="O31" s="217"/>
    </row>
    <row r="32" spans="1:15" ht="15.75" thickBot="1" x14ac:dyDescent="0.3">
      <c r="A32" s="23"/>
      <c r="B32" s="24">
        <v>43956</v>
      </c>
      <c r="C32" s="201">
        <v>6353.8</v>
      </c>
      <c r="D32" s="198" t="s">
        <v>210</v>
      </c>
      <c r="E32" s="27">
        <v>43956</v>
      </c>
      <c r="F32" s="202">
        <v>64405</v>
      </c>
      <c r="H32" s="29">
        <v>43956</v>
      </c>
      <c r="I32" s="199">
        <v>421</v>
      </c>
      <c r="J32" s="176" t="s">
        <v>196</v>
      </c>
      <c r="K32" s="96" t="s">
        <v>211</v>
      </c>
      <c r="L32" s="178">
        <v>860</v>
      </c>
      <c r="M32" s="31">
        <f>3459+53074</f>
        <v>56533</v>
      </c>
      <c r="N32" s="32">
        <v>1153</v>
      </c>
      <c r="O32" s="217"/>
    </row>
    <row r="33" spans="1:15" ht="15.75" thickBot="1" x14ac:dyDescent="0.3">
      <c r="A33" s="23"/>
      <c r="B33" s="24">
        <v>43957</v>
      </c>
      <c r="C33" s="201">
        <v>2870</v>
      </c>
      <c r="D33" s="205" t="s">
        <v>212</v>
      </c>
      <c r="E33" s="27">
        <v>43957</v>
      </c>
      <c r="F33" s="97">
        <v>58998</v>
      </c>
      <c r="H33" s="29">
        <v>43957</v>
      </c>
      <c r="I33" s="199">
        <v>2039</v>
      </c>
      <c r="J33" s="176" t="s">
        <v>196</v>
      </c>
      <c r="K33" s="96" t="s">
        <v>213</v>
      </c>
      <c r="L33" s="178">
        <v>4862.45</v>
      </c>
      <c r="M33" s="31">
        <v>52365</v>
      </c>
      <c r="N33" s="32">
        <v>1724</v>
      </c>
      <c r="O33" s="217"/>
    </row>
    <row r="34" spans="1:15" ht="15.75" thickBot="1" x14ac:dyDescent="0.3">
      <c r="A34" s="23"/>
      <c r="B34" s="24"/>
      <c r="C34" s="201"/>
      <c r="D34" s="208"/>
      <c r="E34" s="206"/>
      <c r="F34" s="97">
        <v>0</v>
      </c>
      <c r="H34" s="29"/>
      <c r="I34" s="199"/>
      <c r="J34" s="176" t="s">
        <v>196</v>
      </c>
      <c r="K34" s="86" t="s">
        <v>214</v>
      </c>
      <c r="L34" s="178">
        <v>5382.4</v>
      </c>
      <c r="M34" s="31">
        <v>0</v>
      </c>
      <c r="N34" s="32">
        <v>0</v>
      </c>
      <c r="O34" s="217"/>
    </row>
    <row r="35" spans="1:15" ht="15.75" thickBot="1" x14ac:dyDescent="0.3">
      <c r="A35" s="23"/>
      <c r="B35" s="24"/>
      <c r="C35" s="201"/>
      <c r="D35" s="209"/>
      <c r="E35" s="206"/>
      <c r="F35" s="97">
        <v>0</v>
      </c>
      <c r="H35" s="29"/>
      <c r="I35" s="199"/>
      <c r="J35" s="176" t="s">
        <v>196</v>
      </c>
      <c r="K35" s="96" t="s">
        <v>215</v>
      </c>
      <c r="L35" s="233">
        <v>772</v>
      </c>
      <c r="M35" s="31">
        <v>0</v>
      </c>
      <c r="N35" s="32">
        <v>0</v>
      </c>
      <c r="O35" s="217"/>
    </row>
    <row r="36" spans="1:15" ht="15.75" thickBot="1" x14ac:dyDescent="0.3">
      <c r="A36" s="23"/>
      <c r="B36" s="24"/>
      <c r="C36" s="201"/>
      <c r="D36" s="209"/>
      <c r="E36" s="206"/>
      <c r="F36" s="97">
        <v>0</v>
      </c>
      <c r="H36" s="29"/>
      <c r="I36" s="199"/>
      <c r="J36" s="176" t="s">
        <v>196</v>
      </c>
      <c r="K36" s="86" t="s">
        <v>216</v>
      </c>
      <c r="L36" s="178">
        <v>19605</v>
      </c>
      <c r="M36" s="31">
        <v>0</v>
      </c>
      <c r="N36" s="32">
        <v>0</v>
      </c>
      <c r="O36" s="217"/>
    </row>
    <row r="37" spans="1:15" ht="15.75" thickBot="1" x14ac:dyDescent="0.3">
      <c r="A37" s="23"/>
      <c r="B37" s="24"/>
      <c r="C37" s="201"/>
      <c r="D37" s="209"/>
      <c r="E37" s="206"/>
      <c r="F37" s="97">
        <v>0</v>
      </c>
      <c r="H37" s="29"/>
      <c r="I37" s="199"/>
      <c r="J37" s="176" t="s">
        <v>196</v>
      </c>
      <c r="K37" s="86" t="s">
        <v>217</v>
      </c>
      <c r="L37" s="178">
        <v>538.42999999999995</v>
      </c>
      <c r="M37" s="31">
        <v>0</v>
      </c>
      <c r="N37" s="32">
        <v>0</v>
      </c>
      <c r="O37" s="217"/>
    </row>
    <row r="38" spans="1:15" ht="15.75" thickBot="1" x14ac:dyDescent="0.3">
      <c r="A38" s="23"/>
      <c r="B38" s="24"/>
      <c r="C38" s="234"/>
      <c r="D38" s="209"/>
      <c r="E38" s="206"/>
      <c r="F38" s="97">
        <v>0</v>
      </c>
      <c r="H38" s="29"/>
      <c r="I38" s="199"/>
      <c r="J38" s="176" t="s">
        <v>196</v>
      </c>
      <c r="K38" s="109" t="s">
        <v>218</v>
      </c>
      <c r="L38" s="235">
        <v>19605</v>
      </c>
      <c r="M38" s="31">
        <v>0</v>
      </c>
      <c r="N38" s="32">
        <v>0</v>
      </c>
      <c r="O38" s="217"/>
    </row>
    <row r="39" spans="1:15" ht="16.5" thickBot="1" x14ac:dyDescent="0.3">
      <c r="A39" s="102"/>
      <c r="B39" s="103"/>
      <c r="C39" s="104"/>
      <c r="D39" s="105"/>
      <c r="E39" s="106"/>
      <c r="F39" s="107">
        <v>0</v>
      </c>
      <c r="G39" s="108"/>
      <c r="H39" s="29"/>
      <c r="I39" s="107"/>
      <c r="J39" s="85"/>
      <c r="K39" s="213"/>
      <c r="L39" s="66"/>
      <c r="M39" s="110">
        <f>SUM(M5:M38)</f>
        <v>2101642</v>
      </c>
      <c r="N39" s="111">
        <f>SUM(N5:N38)</f>
        <v>101041</v>
      </c>
      <c r="O39" s="236"/>
    </row>
    <row r="40" spans="1:15" ht="16.5" thickBot="1" x14ac:dyDescent="0.3">
      <c r="B40" s="112" t="s">
        <v>51</v>
      </c>
      <c r="C40" s="113">
        <f>SUM(C5:C39)</f>
        <v>234600.5</v>
      </c>
      <c r="D40" s="114"/>
      <c r="E40" s="237" t="s">
        <v>51</v>
      </c>
      <c r="F40" s="238">
        <f>SUM(F5:F39)</f>
        <v>2543723</v>
      </c>
      <c r="G40" s="114"/>
      <c r="H40" s="117" t="s">
        <v>51</v>
      </c>
      <c r="I40" s="118">
        <f>SUM(I5:I39)</f>
        <v>51684</v>
      </c>
      <c r="J40" s="119"/>
      <c r="K40" s="120" t="s">
        <v>51</v>
      </c>
      <c r="L40" s="121">
        <f>SUM(L6:L39)</f>
        <v>216755.76</v>
      </c>
      <c r="O40" s="239"/>
    </row>
    <row r="41" spans="1:15" ht="20.25" thickTop="1" thickBot="1" x14ac:dyDescent="0.3">
      <c r="C41" s="5" t="s">
        <v>10</v>
      </c>
      <c r="M41" s="360">
        <f>N39+M39</f>
        <v>2202683</v>
      </c>
      <c r="N41" s="361"/>
      <c r="O41" s="240"/>
    </row>
    <row r="42" spans="1:15" ht="15.75" x14ac:dyDescent="0.25">
      <c r="A42" s="65"/>
      <c r="B42" s="122"/>
      <c r="C42" s="4"/>
      <c r="H42" s="362" t="s">
        <v>52</v>
      </c>
      <c r="I42" s="363"/>
      <c r="J42" s="164"/>
      <c r="K42" s="364">
        <f>I40+L40</f>
        <v>268439.76</v>
      </c>
      <c r="L42" s="365"/>
    </row>
    <row r="43" spans="1:15" ht="15.75" x14ac:dyDescent="0.25">
      <c r="D43" s="367" t="s">
        <v>53</v>
      </c>
      <c r="E43" s="367"/>
      <c r="F43" s="124">
        <f>F40-K42-C40</f>
        <v>2040682.7400000002</v>
      </c>
      <c r="I43" s="125"/>
      <c r="J43" s="125"/>
    </row>
    <row r="44" spans="1:15" ht="18.75" x14ac:dyDescent="0.3">
      <c r="D44" s="368" t="s">
        <v>54</v>
      </c>
      <c r="E44" s="368"/>
      <c r="F44" s="126">
        <v>-1908890.86</v>
      </c>
      <c r="I44" s="369" t="s">
        <v>55</v>
      </c>
      <c r="J44" s="370"/>
      <c r="K44" s="371">
        <f>F49</f>
        <v>384003.30000000016</v>
      </c>
      <c r="L44" s="372"/>
    </row>
    <row r="45" spans="1:15" ht="7.5" customHeight="1" thickBot="1" x14ac:dyDescent="0.35">
      <c r="D45" s="127"/>
      <c r="E45" s="128"/>
      <c r="F45" s="129" t="s">
        <v>10</v>
      </c>
      <c r="I45" s="130"/>
      <c r="J45" s="130"/>
      <c r="K45" s="131"/>
      <c r="L45" s="131"/>
    </row>
    <row r="46" spans="1:15" ht="19.5" thickTop="1" x14ac:dyDescent="0.3">
      <c r="C46" s="13" t="s">
        <v>10</v>
      </c>
      <c r="E46" s="65" t="s">
        <v>56</v>
      </c>
      <c r="F46" s="126">
        <f>SUM(F43:F45)</f>
        <v>131791.88000000012</v>
      </c>
      <c r="H46" s="23"/>
      <c r="I46" s="132" t="s">
        <v>57</v>
      </c>
      <c r="J46" s="133"/>
      <c r="K46" s="373">
        <f>-C4</f>
        <v>-242201.9</v>
      </c>
      <c r="L46" s="374"/>
      <c r="M46" s="134"/>
    </row>
    <row r="47" spans="1:15" ht="16.5" thickBot="1" x14ac:dyDescent="0.3">
      <c r="D47" s="135" t="s">
        <v>58</v>
      </c>
      <c r="E47" s="65" t="s">
        <v>59</v>
      </c>
      <c r="F47" s="136">
        <v>12791</v>
      </c>
    </row>
    <row r="48" spans="1:15" ht="20.25" thickTop="1" thickBot="1" x14ac:dyDescent="0.35">
      <c r="C48" s="137">
        <v>43957</v>
      </c>
      <c r="D48" s="375" t="s">
        <v>60</v>
      </c>
      <c r="E48" s="376"/>
      <c r="F48" s="138">
        <v>239420.42</v>
      </c>
      <c r="I48" s="377" t="s">
        <v>61</v>
      </c>
      <c r="J48" s="378"/>
      <c r="K48" s="379">
        <f>K44+K46</f>
        <v>141801.40000000017</v>
      </c>
      <c r="L48" s="380"/>
    </row>
    <row r="49" spans="2:15" ht="18.75" x14ac:dyDescent="0.3">
      <c r="C49" s="139"/>
      <c r="D49" s="140"/>
      <c r="E49" s="141" t="s">
        <v>62</v>
      </c>
      <c r="F49" s="142">
        <f>F46+F47+F48</f>
        <v>384003.30000000016</v>
      </c>
      <c r="J49" s="6"/>
      <c r="M49" s="143"/>
    </row>
    <row r="51" spans="2:15" x14ac:dyDescent="0.25">
      <c r="B51"/>
      <c r="C51"/>
      <c r="D51" s="366"/>
      <c r="E51" s="366"/>
      <c r="M51" s="144"/>
      <c r="N51" s="65"/>
      <c r="O51" s="65"/>
    </row>
    <row r="52" spans="2:15" x14ac:dyDescent="0.25">
      <c r="B52"/>
      <c r="C52"/>
      <c r="M52" s="144"/>
      <c r="N52" s="65"/>
      <c r="O52" s="65"/>
    </row>
    <row r="53" spans="2:15" x14ac:dyDescent="0.25">
      <c r="B53"/>
      <c r="C53"/>
      <c r="N53" s="65"/>
      <c r="O53" s="65"/>
    </row>
    <row r="54" spans="2:15" x14ac:dyDescent="0.25">
      <c r="B54"/>
      <c r="C54"/>
      <c r="F54"/>
      <c r="I54"/>
      <c r="J54"/>
      <c r="M54"/>
      <c r="N54" s="65"/>
      <c r="O54" s="65"/>
    </row>
    <row r="55" spans="2:15" x14ac:dyDescent="0.25">
      <c r="B55"/>
      <c r="C55"/>
      <c r="F55" s="145"/>
      <c r="N55" s="65"/>
      <c r="O55" s="65"/>
    </row>
    <row r="56" spans="2:15" x14ac:dyDescent="0.25">
      <c r="F56" s="91"/>
      <c r="M56" s="4"/>
      <c r="N56" s="65"/>
      <c r="O56" s="65"/>
    </row>
    <row r="57" spans="2:15" x14ac:dyDescent="0.25">
      <c r="F57" s="91"/>
      <c r="M57" s="4"/>
      <c r="N57" s="65"/>
      <c r="O57" s="65"/>
    </row>
    <row r="58" spans="2:15" x14ac:dyDescent="0.25">
      <c r="F58" s="91"/>
      <c r="M58" s="4"/>
      <c r="N58" s="65"/>
      <c r="O58" s="65"/>
    </row>
    <row r="59" spans="2:15" x14ac:dyDescent="0.25">
      <c r="F59" s="91"/>
      <c r="M59" s="4"/>
      <c r="N59" s="65"/>
      <c r="O59" s="65"/>
    </row>
    <row r="60" spans="2:15" x14ac:dyDescent="0.25">
      <c r="F60" s="91"/>
      <c r="M60" s="4"/>
    </row>
    <row r="61" spans="2:15" x14ac:dyDescent="0.25">
      <c r="F61" s="91"/>
      <c r="M61" s="4"/>
    </row>
    <row r="62" spans="2:15" x14ac:dyDescent="0.25">
      <c r="F62" s="91"/>
      <c r="M62" s="4"/>
    </row>
    <row r="63" spans="2:15" x14ac:dyDescent="0.25">
      <c r="F63" s="91"/>
      <c r="M63" s="4"/>
    </row>
    <row r="64" spans="2:15" x14ac:dyDescent="0.25">
      <c r="F64" s="91"/>
      <c r="M64" s="4"/>
    </row>
    <row r="65" spans="6:13" x14ac:dyDescent="0.25">
      <c r="F65" s="145"/>
      <c r="M65" s="4"/>
    </row>
    <row r="66" spans="6:13" x14ac:dyDescent="0.25">
      <c r="M66" s="4"/>
    </row>
    <row r="67" spans="6:13" x14ac:dyDescent="0.25">
      <c r="M67" s="4"/>
    </row>
    <row r="68" spans="6:13" x14ac:dyDescent="0.25">
      <c r="M68" s="4"/>
    </row>
    <row r="69" spans="6:13" x14ac:dyDescent="0.25">
      <c r="M69" s="4"/>
    </row>
    <row r="70" spans="6:13" x14ac:dyDescent="0.25">
      <c r="M70" s="4"/>
    </row>
    <row r="71" spans="6:13" x14ac:dyDescent="0.25">
      <c r="M71" s="4"/>
    </row>
    <row r="72" spans="6:13" x14ac:dyDescent="0.25">
      <c r="M72" s="4"/>
    </row>
    <row r="73" spans="6:13" x14ac:dyDescent="0.25">
      <c r="M73" s="4"/>
    </row>
    <row r="74" spans="6:13" x14ac:dyDescent="0.25">
      <c r="M74" s="4"/>
    </row>
    <row r="75" spans="6:13" x14ac:dyDescent="0.25">
      <c r="M75" s="4"/>
    </row>
    <row r="76" spans="6:13" x14ac:dyDescent="0.25">
      <c r="M76" s="4"/>
    </row>
    <row r="77" spans="6:13" x14ac:dyDescent="0.25">
      <c r="M77" s="4"/>
    </row>
    <row r="78" spans="6:13" x14ac:dyDescent="0.25">
      <c r="M78" s="4"/>
    </row>
  </sheetData>
  <mergeCells count="17">
    <mergeCell ref="M41:N41"/>
    <mergeCell ref="C1:K1"/>
    <mergeCell ref="E2:F3"/>
    <mergeCell ref="B3:C3"/>
    <mergeCell ref="E4:F4"/>
    <mergeCell ref="H4:I4"/>
    <mergeCell ref="H42:I42"/>
    <mergeCell ref="K42:L42"/>
    <mergeCell ref="D43:E43"/>
    <mergeCell ref="D44:E44"/>
    <mergeCell ref="I44:J44"/>
    <mergeCell ref="K44:L44"/>
    <mergeCell ref="K46:L46"/>
    <mergeCell ref="D48:E48"/>
    <mergeCell ref="I48:J48"/>
    <mergeCell ref="K48:L48"/>
    <mergeCell ref="D51:E51"/>
  </mergeCells>
  <pageMargins left="0.31496062992125984" right="0.15748031496062992" top="0.27559055118110237" bottom="0.31496062992125984" header="0.31496062992125984" footer="0.31496062992125984"/>
  <pageSetup scale="72" orientation="landscape" horizontalDpi="0" verticalDpi="0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D5B0D-A952-4F43-A9D6-B5B1D89EBF02}">
  <sheetPr>
    <tabColor theme="7" tint="-0.249977111117893"/>
  </sheetPr>
  <dimension ref="A1:F77"/>
  <sheetViews>
    <sheetView topLeftCell="A25" workbookViewId="0">
      <selection activeCell="H37" sqref="H37"/>
    </sheetView>
  </sheetViews>
  <sheetFormatPr baseColWidth="10" defaultRowHeight="15" x14ac:dyDescent="0.25"/>
  <cols>
    <col min="1" max="1" width="13.42578125" style="65" bestFit="1" customWidth="1"/>
    <col min="2" max="2" width="12.85546875" bestFit="1" customWidth="1"/>
    <col min="3" max="3" width="15.85546875" style="13" bestFit="1" customWidth="1"/>
    <col min="4" max="4" width="12.42578125" bestFit="1" customWidth="1"/>
    <col min="5" max="5" width="15.140625" style="13" bestFit="1" customWidth="1"/>
    <col min="6" max="6" width="19.5703125" style="13" bestFit="1" customWidth="1"/>
  </cols>
  <sheetData>
    <row r="1" spans="1:6" ht="21" x14ac:dyDescent="0.35">
      <c r="B1" s="146" t="s">
        <v>177</v>
      </c>
      <c r="C1" s="147"/>
      <c r="D1" s="148"/>
      <c r="E1" s="147"/>
      <c r="F1" s="149"/>
    </row>
    <row r="2" spans="1:6" ht="16.5" thickBot="1" x14ac:dyDescent="0.3">
      <c r="A2" s="150" t="s">
        <v>64</v>
      </c>
      <c r="B2" s="150" t="s">
        <v>65</v>
      </c>
      <c r="C2" s="151" t="s">
        <v>66</v>
      </c>
      <c r="D2" s="150" t="s">
        <v>67</v>
      </c>
      <c r="E2" s="151" t="s">
        <v>68</v>
      </c>
      <c r="F2" s="151" t="s">
        <v>66</v>
      </c>
    </row>
    <row r="3" spans="1:6" x14ac:dyDescent="0.25">
      <c r="A3" s="156">
        <v>43929</v>
      </c>
      <c r="B3" s="241">
        <v>10758</v>
      </c>
      <c r="C3" s="242">
        <v>147773.48000000001</v>
      </c>
      <c r="D3" s="154">
        <v>43929</v>
      </c>
      <c r="E3" s="56">
        <v>147773.48000000001</v>
      </c>
      <c r="F3" s="155">
        <f>C3-E3</f>
        <v>0</v>
      </c>
    </row>
    <row r="4" spans="1:6" x14ac:dyDescent="0.25">
      <c r="A4" s="156">
        <v>43930</v>
      </c>
      <c r="B4" s="157">
        <v>10898</v>
      </c>
      <c r="C4" s="97">
        <v>122882.46</v>
      </c>
      <c r="D4" s="158"/>
      <c r="E4" s="97"/>
      <c r="F4" s="155">
        <f>F3+C4-E4</f>
        <v>122882.46</v>
      </c>
    </row>
    <row r="5" spans="1:6" x14ac:dyDescent="0.25">
      <c r="A5" s="158">
        <v>43930</v>
      </c>
      <c r="B5" s="157">
        <v>10899</v>
      </c>
      <c r="C5" s="97">
        <v>8589.4</v>
      </c>
      <c r="D5" s="158"/>
      <c r="E5" s="97"/>
      <c r="F5" s="155">
        <f t="shared" ref="F5:F40" si="0">F4+C5-E5</f>
        <v>131471.86000000002</v>
      </c>
    </row>
    <row r="6" spans="1:6" x14ac:dyDescent="0.25">
      <c r="A6" s="158">
        <v>43932</v>
      </c>
      <c r="B6" s="157">
        <v>11052</v>
      </c>
      <c r="C6" s="97">
        <v>28110.28</v>
      </c>
      <c r="D6" s="158"/>
      <c r="E6" s="97"/>
      <c r="F6" s="155">
        <f t="shared" si="0"/>
        <v>159582.14000000001</v>
      </c>
    </row>
    <row r="7" spans="1:6" x14ac:dyDescent="0.25">
      <c r="A7" s="158">
        <v>43933</v>
      </c>
      <c r="B7" s="157">
        <v>11059</v>
      </c>
      <c r="C7" s="97">
        <v>2193.6</v>
      </c>
      <c r="D7" s="158"/>
      <c r="E7" s="97"/>
      <c r="F7" s="155">
        <f t="shared" si="0"/>
        <v>161775.74000000002</v>
      </c>
    </row>
    <row r="8" spans="1:6" x14ac:dyDescent="0.25">
      <c r="A8" s="158">
        <v>43933</v>
      </c>
      <c r="B8" s="157">
        <v>11141</v>
      </c>
      <c r="C8" s="97">
        <v>86400.960000000006</v>
      </c>
      <c r="D8" s="158"/>
      <c r="E8" s="97"/>
      <c r="F8" s="155">
        <f t="shared" si="0"/>
        <v>248176.7</v>
      </c>
    </row>
    <row r="9" spans="1:6" x14ac:dyDescent="0.25">
      <c r="A9" s="158">
        <v>43935</v>
      </c>
      <c r="B9" s="157">
        <v>11384</v>
      </c>
      <c r="C9" s="97">
        <v>4842.8</v>
      </c>
      <c r="D9" s="158"/>
      <c r="E9" s="97"/>
      <c r="F9" s="155">
        <f t="shared" si="0"/>
        <v>253019.5</v>
      </c>
    </row>
    <row r="10" spans="1:6" x14ac:dyDescent="0.25">
      <c r="A10" s="158">
        <v>43935</v>
      </c>
      <c r="B10" s="157">
        <v>11386</v>
      </c>
      <c r="C10" s="97">
        <v>81260.62</v>
      </c>
      <c r="D10" s="158"/>
      <c r="E10" s="97"/>
      <c r="F10" s="155">
        <f t="shared" si="0"/>
        <v>334280.12</v>
      </c>
    </row>
    <row r="11" spans="1:6" x14ac:dyDescent="0.25">
      <c r="A11" s="156">
        <v>43936</v>
      </c>
      <c r="B11" s="157">
        <v>11442</v>
      </c>
      <c r="C11" s="97">
        <v>1470.96</v>
      </c>
      <c r="D11" s="158"/>
      <c r="E11" s="97"/>
      <c r="F11" s="155">
        <f t="shared" si="0"/>
        <v>335751.08</v>
      </c>
    </row>
    <row r="12" spans="1:6" x14ac:dyDescent="0.25">
      <c r="A12" s="158">
        <v>43936</v>
      </c>
      <c r="B12" s="157">
        <v>11508</v>
      </c>
      <c r="C12" s="97">
        <v>159457.22</v>
      </c>
      <c r="D12" s="158">
        <v>43937</v>
      </c>
      <c r="E12" s="97">
        <v>495208.3</v>
      </c>
      <c r="F12" s="155">
        <f t="shared" si="0"/>
        <v>0</v>
      </c>
    </row>
    <row r="13" spans="1:6" x14ac:dyDescent="0.25">
      <c r="A13" s="158">
        <v>43938</v>
      </c>
      <c r="B13" s="157">
        <v>11813</v>
      </c>
      <c r="C13" s="97">
        <v>79313.100000000006</v>
      </c>
      <c r="D13" s="158"/>
      <c r="E13" s="97"/>
      <c r="F13" s="155">
        <f t="shared" si="0"/>
        <v>79313.100000000006</v>
      </c>
    </row>
    <row r="14" spans="1:6" x14ac:dyDescent="0.25">
      <c r="A14" s="158">
        <v>43939</v>
      </c>
      <c r="B14" s="157">
        <v>11943</v>
      </c>
      <c r="C14" s="97">
        <v>67061.34</v>
      </c>
      <c r="D14" s="158"/>
      <c r="E14" s="97"/>
      <c r="F14" s="155">
        <f t="shared" si="0"/>
        <v>146374.44</v>
      </c>
    </row>
    <row r="15" spans="1:6" x14ac:dyDescent="0.25">
      <c r="A15" s="158">
        <v>43940</v>
      </c>
      <c r="B15" s="157">
        <v>12016</v>
      </c>
      <c r="C15" s="97">
        <v>4828</v>
      </c>
      <c r="D15" s="158"/>
      <c r="E15" s="97"/>
      <c r="F15" s="155">
        <f t="shared" si="0"/>
        <v>151202.44</v>
      </c>
    </row>
    <row r="16" spans="1:6" x14ac:dyDescent="0.25">
      <c r="A16" s="158">
        <v>43940</v>
      </c>
      <c r="B16" s="157">
        <v>12043</v>
      </c>
      <c r="C16" s="97">
        <v>17605.8</v>
      </c>
      <c r="D16" s="158"/>
      <c r="E16" s="97"/>
      <c r="F16" s="155">
        <f t="shared" si="0"/>
        <v>168808.24</v>
      </c>
    </row>
    <row r="17" spans="1:6" x14ac:dyDescent="0.25">
      <c r="A17" s="158">
        <v>43941</v>
      </c>
      <c r="B17" s="157">
        <v>12180</v>
      </c>
      <c r="C17" s="97">
        <v>26827.3</v>
      </c>
      <c r="D17" s="158"/>
      <c r="E17" s="97"/>
      <c r="F17" s="155">
        <f t="shared" si="0"/>
        <v>195635.53999999998</v>
      </c>
    </row>
    <row r="18" spans="1:6" x14ac:dyDescent="0.25">
      <c r="A18" s="158">
        <v>43942</v>
      </c>
      <c r="B18" s="157">
        <v>12284</v>
      </c>
      <c r="C18" s="97">
        <v>95758.69</v>
      </c>
      <c r="D18" s="158"/>
      <c r="E18" s="97"/>
      <c r="F18" s="155">
        <f t="shared" si="0"/>
        <v>291394.23</v>
      </c>
    </row>
    <row r="19" spans="1:6" x14ac:dyDescent="0.25">
      <c r="A19" s="158">
        <v>43944</v>
      </c>
      <c r="B19" s="157">
        <v>12467</v>
      </c>
      <c r="C19" s="97">
        <v>94550.7</v>
      </c>
      <c r="D19" s="158"/>
      <c r="E19" s="97"/>
      <c r="F19" s="155">
        <f t="shared" si="0"/>
        <v>385944.93</v>
      </c>
    </row>
    <row r="20" spans="1:6" x14ac:dyDescent="0.25">
      <c r="A20" s="158">
        <v>43945</v>
      </c>
      <c r="B20" s="157">
        <v>12582</v>
      </c>
      <c r="C20" s="97">
        <v>856.8</v>
      </c>
      <c r="D20" s="158"/>
      <c r="E20" s="97"/>
      <c r="F20" s="155">
        <f t="shared" si="0"/>
        <v>386801.73</v>
      </c>
    </row>
    <row r="21" spans="1:6" x14ac:dyDescent="0.25">
      <c r="A21" s="158">
        <v>43946</v>
      </c>
      <c r="B21" s="157">
        <v>12722</v>
      </c>
      <c r="C21" s="97">
        <v>25527.599999999999</v>
      </c>
      <c r="D21" s="158"/>
      <c r="E21" s="97"/>
      <c r="F21" s="155">
        <f t="shared" si="0"/>
        <v>412329.32999999996</v>
      </c>
    </row>
    <row r="22" spans="1:6" x14ac:dyDescent="0.25">
      <c r="A22" s="158">
        <v>43946</v>
      </c>
      <c r="B22" s="157">
        <v>12724</v>
      </c>
      <c r="C22" s="97">
        <v>5544.5</v>
      </c>
      <c r="D22" s="158"/>
      <c r="E22" s="97"/>
      <c r="F22" s="155">
        <f t="shared" si="0"/>
        <v>417873.82999999996</v>
      </c>
    </row>
    <row r="23" spans="1:6" x14ac:dyDescent="0.25">
      <c r="A23" s="158">
        <v>43946</v>
      </c>
      <c r="B23" s="157">
        <v>12813</v>
      </c>
      <c r="C23" s="97">
        <v>104867.7</v>
      </c>
      <c r="D23" s="158"/>
      <c r="E23" s="97"/>
      <c r="F23" s="155">
        <f t="shared" si="0"/>
        <v>522741.52999999997</v>
      </c>
    </row>
    <row r="24" spans="1:6" x14ac:dyDescent="0.25">
      <c r="A24" s="158">
        <v>43946</v>
      </c>
      <c r="B24" s="157">
        <v>12836</v>
      </c>
      <c r="C24" s="97">
        <v>46384.56</v>
      </c>
      <c r="D24" s="158"/>
      <c r="E24" s="97"/>
      <c r="F24" s="155">
        <f t="shared" si="0"/>
        <v>569126.09</v>
      </c>
    </row>
    <row r="25" spans="1:6" x14ac:dyDescent="0.25">
      <c r="A25" s="158">
        <v>43947</v>
      </c>
      <c r="B25" s="157">
        <v>12857</v>
      </c>
      <c r="C25" s="97">
        <v>26491.5</v>
      </c>
      <c r="D25" s="158"/>
      <c r="E25" s="97"/>
      <c r="F25" s="155">
        <f t="shared" si="0"/>
        <v>595617.59</v>
      </c>
    </row>
    <row r="26" spans="1:6" x14ac:dyDescent="0.25">
      <c r="A26" s="158">
        <v>43948</v>
      </c>
      <c r="B26" s="157">
        <v>12950</v>
      </c>
      <c r="C26" s="97">
        <v>9954.25</v>
      </c>
      <c r="D26" s="158"/>
      <c r="E26" s="97"/>
      <c r="F26" s="155">
        <f t="shared" si="0"/>
        <v>605571.83999999997</v>
      </c>
    </row>
    <row r="27" spans="1:6" x14ac:dyDescent="0.25">
      <c r="A27" s="158">
        <v>43948</v>
      </c>
      <c r="B27" s="157">
        <v>13009</v>
      </c>
      <c r="C27" s="97">
        <v>109570.43</v>
      </c>
      <c r="D27" s="158"/>
      <c r="E27" s="97"/>
      <c r="F27" s="155">
        <f t="shared" si="0"/>
        <v>715142.27</v>
      </c>
    </row>
    <row r="28" spans="1:6" x14ac:dyDescent="0.25">
      <c r="A28" s="156">
        <v>43949</v>
      </c>
      <c r="B28" s="157">
        <v>13139</v>
      </c>
      <c r="C28" s="97">
        <v>116538.9</v>
      </c>
      <c r="D28" s="158"/>
      <c r="E28" s="97"/>
      <c r="F28" s="155">
        <f t="shared" si="0"/>
        <v>831681.17</v>
      </c>
    </row>
    <row r="29" spans="1:6" x14ac:dyDescent="0.25">
      <c r="A29" s="156">
        <v>43951</v>
      </c>
      <c r="B29" s="157">
        <v>13281</v>
      </c>
      <c r="C29" s="97">
        <v>91567.52</v>
      </c>
      <c r="D29" s="158"/>
      <c r="E29" s="97"/>
      <c r="F29" s="155">
        <f t="shared" si="0"/>
        <v>923248.69000000006</v>
      </c>
    </row>
    <row r="30" spans="1:6" x14ac:dyDescent="0.25">
      <c r="A30" s="156">
        <v>43951</v>
      </c>
      <c r="B30" s="157">
        <v>13309</v>
      </c>
      <c r="C30" s="97">
        <v>3642</v>
      </c>
      <c r="D30" s="158"/>
      <c r="E30" s="97"/>
      <c r="F30" s="155">
        <f t="shared" si="0"/>
        <v>926890.69000000006</v>
      </c>
    </row>
    <row r="31" spans="1:6" x14ac:dyDescent="0.25">
      <c r="A31" s="156">
        <v>43951</v>
      </c>
      <c r="B31" s="157">
        <v>13312</v>
      </c>
      <c r="C31" s="97">
        <v>6496.75</v>
      </c>
      <c r="D31" s="158"/>
      <c r="E31" s="97"/>
      <c r="F31" s="155">
        <f t="shared" si="0"/>
        <v>933387.44000000006</v>
      </c>
    </row>
    <row r="32" spans="1:6" x14ac:dyDescent="0.25">
      <c r="A32" s="156">
        <v>43951</v>
      </c>
      <c r="B32" s="157">
        <v>13376</v>
      </c>
      <c r="C32" s="97">
        <v>2304</v>
      </c>
      <c r="D32" s="158"/>
      <c r="E32" s="97"/>
      <c r="F32" s="155">
        <f t="shared" si="0"/>
        <v>935691.44000000006</v>
      </c>
    </row>
    <row r="33" spans="1:6" x14ac:dyDescent="0.25">
      <c r="A33" s="156">
        <v>43952</v>
      </c>
      <c r="B33" s="157">
        <v>13518</v>
      </c>
      <c r="C33" s="97">
        <v>48057.9</v>
      </c>
      <c r="D33" s="158"/>
      <c r="E33" s="97"/>
      <c r="F33" s="155">
        <f t="shared" si="0"/>
        <v>983749.34000000008</v>
      </c>
    </row>
    <row r="34" spans="1:6" x14ac:dyDescent="0.25">
      <c r="A34" s="156">
        <v>43953</v>
      </c>
      <c r="B34" s="157">
        <v>13565</v>
      </c>
      <c r="C34" s="97">
        <v>3217.5</v>
      </c>
      <c r="D34" s="158"/>
      <c r="E34" s="97"/>
      <c r="F34" s="155">
        <f t="shared" si="0"/>
        <v>986966.84000000008</v>
      </c>
    </row>
    <row r="35" spans="1:6" x14ac:dyDescent="0.25">
      <c r="A35" s="156">
        <v>43953</v>
      </c>
      <c r="B35" s="157">
        <v>13603</v>
      </c>
      <c r="C35" s="97">
        <v>178494.54</v>
      </c>
      <c r="D35" s="158"/>
      <c r="E35" s="97"/>
      <c r="F35" s="155">
        <f t="shared" si="0"/>
        <v>1165461.3800000001</v>
      </c>
    </row>
    <row r="36" spans="1:6" x14ac:dyDescent="0.25">
      <c r="A36" s="156">
        <v>43954</v>
      </c>
      <c r="B36" s="157">
        <v>13673</v>
      </c>
      <c r="C36" s="97">
        <v>4277</v>
      </c>
      <c r="D36" s="158"/>
      <c r="E36" s="97"/>
      <c r="F36" s="155">
        <f t="shared" si="0"/>
        <v>1169738.3800000001</v>
      </c>
    </row>
    <row r="37" spans="1:6" x14ac:dyDescent="0.25">
      <c r="A37" s="156">
        <v>43955</v>
      </c>
      <c r="B37" s="157">
        <v>13809</v>
      </c>
      <c r="C37" s="97">
        <v>96170.7</v>
      </c>
      <c r="D37" s="158">
        <v>43955</v>
      </c>
      <c r="E37" s="97">
        <v>1265909.08</v>
      </c>
      <c r="F37" s="155">
        <f t="shared" si="0"/>
        <v>0</v>
      </c>
    </row>
    <row r="38" spans="1:6" x14ac:dyDescent="0.25">
      <c r="A38" s="156"/>
      <c r="B38" s="157"/>
      <c r="C38" s="97">
        <v>0</v>
      </c>
      <c r="D38" s="158"/>
      <c r="E38" s="97"/>
      <c r="F38" s="155">
        <f t="shared" si="0"/>
        <v>0</v>
      </c>
    </row>
    <row r="39" spans="1:6" x14ac:dyDescent="0.25">
      <c r="A39" s="156"/>
      <c r="B39" s="157"/>
      <c r="C39" s="97">
        <v>0</v>
      </c>
      <c r="D39" s="158"/>
      <c r="E39" s="97"/>
      <c r="F39" s="155">
        <f t="shared" si="0"/>
        <v>0</v>
      </c>
    </row>
    <row r="40" spans="1:6" ht="15.75" thickBot="1" x14ac:dyDescent="0.3">
      <c r="A40" s="159"/>
      <c r="B40" s="160"/>
      <c r="C40" s="161">
        <v>0</v>
      </c>
      <c r="D40" s="162"/>
      <c r="E40" s="161"/>
      <c r="F40" s="155">
        <f t="shared" si="0"/>
        <v>0</v>
      </c>
    </row>
    <row r="41" spans="1:6" ht="19.5" thickTop="1" x14ac:dyDescent="0.3">
      <c r="B41" s="65"/>
      <c r="C41" s="4">
        <f>SUM(C3:C40)</f>
        <v>1908890.8599999999</v>
      </c>
      <c r="D41" s="1"/>
      <c r="E41" s="4">
        <f>SUM(E3:E40)</f>
        <v>1908890.86</v>
      </c>
      <c r="F41" s="163">
        <f>F40</f>
        <v>0</v>
      </c>
    </row>
    <row r="42" spans="1:6" x14ac:dyDescent="0.25">
      <c r="B42" s="65"/>
      <c r="C42" s="4"/>
      <c r="D42" s="1"/>
      <c r="E42" s="5"/>
      <c r="F42" s="4"/>
    </row>
    <row r="43" spans="1:6" x14ac:dyDescent="0.25">
      <c r="B43" s="65"/>
      <c r="C43" s="4"/>
      <c r="D43" s="1"/>
      <c r="E43" s="5"/>
      <c r="F43" s="4"/>
    </row>
    <row r="44" spans="1:6" x14ac:dyDescent="0.25">
      <c r="A44"/>
      <c r="B44" s="23"/>
      <c r="D44" s="23"/>
    </row>
    <row r="45" spans="1:6" x14ac:dyDescent="0.25">
      <c r="A45"/>
      <c r="B45" s="23"/>
      <c r="D45" s="23"/>
    </row>
    <row r="46" spans="1:6" x14ac:dyDescent="0.25">
      <c r="A46"/>
      <c r="B46" s="23"/>
      <c r="D46" s="23"/>
    </row>
    <row r="47" spans="1:6" x14ac:dyDescent="0.25">
      <c r="A47"/>
      <c r="B47" s="23"/>
      <c r="D47" s="23"/>
      <c r="F47"/>
    </row>
    <row r="48" spans="1:6" x14ac:dyDescent="0.25">
      <c r="A48"/>
      <c r="B48" s="23"/>
      <c r="D48" s="23"/>
      <c r="F48"/>
    </row>
    <row r="49" spans="1:6" x14ac:dyDescent="0.25">
      <c r="A49"/>
      <c r="B49" s="23"/>
      <c r="D49" s="23"/>
      <c r="F49"/>
    </row>
    <row r="50" spans="1:6" x14ac:dyDescent="0.25">
      <c r="A50"/>
      <c r="B50" s="23"/>
      <c r="D50" s="23"/>
      <c r="F50"/>
    </row>
    <row r="51" spans="1:6" x14ac:dyDescent="0.25">
      <c r="A51"/>
      <c r="B51" s="23"/>
      <c r="D51" s="23"/>
      <c r="F51"/>
    </row>
    <row r="52" spans="1:6" x14ac:dyDescent="0.25">
      <c r="A52"/>
      <c r="B52" s="23"/>
      <c r="D52" s="23"/>
      <c r="F52"/>
    </row>
    <row r="53" spans="1:6" x14ac:dyDescent="0.25">
      <c r="A53"/>
      <c r="B53" s="23"/>
      <c r="D53" s="23"/>
      <c r="F53"/>
    </row>
    <row r="54" spans="1:6" x14ac:dyDescent="0.25">
      <c r="A54"/>
      <c r="B54" s="23"/>
      <c r="D54" s="23"/>
      <c r="F54"/>
    </row>
    <row r="55" spans="1:6" x14ac:dyDescent="0.25">
      <c r="A55"/>
      <c r="B55" s="23"/>
      <c r="D55" s="23"/>
      <c r="F55"/>
    </row>
    <row r="56" spans="1:6" x14ac:dyDescent="0.25">
      <c r="A56"/>
      <c r="B56" s="23"/>
      <c r="D56" s="23"/>
      <c r="E56"/>
      <c r="F56"/>
    </row>
    <row r="57" spans="1:6" x14ac:dyDescent="0.25">
      <c r="A57"/>
      <c r="B57" s="23"/>
      <c r="D57" s="23"/>
      <c r="E57"/>
      <c r="F57"/>
    </row>
    <row r="58" spans="1:6" x14ac:dyDescent="0.25">
      <c r="A58"/>
      <c r="B58" s="23"/>
      <c r="D58" s="23"/>
      <c r="E58"/>
      <c r="F58"/>
    </row>
    <row r="59" spans="1:6" x14ac:dyDescent="0.25">
      <c r="A59"/>
      <c r="B59" s="23"/>
      <c r="D59" s="23"/>
      <c r="E59"/>
      <c r="F59"/>
    </row>
    <row r="60" spans="1:6" x14ac:dyDescent="0.25">
      <c r="A60"/>
      <c r="B60" s="23"/>
      <c r="D60" s="23"/>
      <c r="E60"/>
      <c r="F60"/>
    </row>
    <row r="61" spans="1:6" x14ac:dyDescent="0.25">
      <c r="A61"/>
      <c r="B61" s="23"/>
      <c r="D61" s="23"/>
      <c r="E61"/>
      <c r="F61"/>
    </row>
    <row r="62" spans="1:6" x14ac:dyDescent="0.25">
      <c r="B62" s="23"/>
      <c r="D62" s="23"/>
      <c r="E62"/>
    </row>
    <row r="63" spans="1:6" x14ac:dyDescent="0.25">
      <c r="B63" s="23"/>
      <c r="D63" s="23"/>
      <c r="E63"/>
    </row>
    <row r="64" spans="1:6" x14ac:dyDescent="0.25">
      <c r="B64" s="23"/>
      <c r="D64" s="23"/>
      <c r="E64"/>
    </row>
    <row r="65" spans="2:5" x14ac:dyDescent="0.25">
      <c r="B65" s="23"/>
      <c r="D65" s="23"/>
      <c r="E65"/>
    </row>
    <row r="66" spans="2:5" x14ac:dyDescent="0.25">
      <c r="B66" s="23"/>
      <c r="D66" s="23"/>
      <c r="E66"/>
    </row>
    <row r="67" spans="2:5" x14ac:dyDescent="0.25">
      <c r="B67" s="23"/>
      <c r="D67" s="23"/>
      <c r="E67"/>
    </row>
    <row r="68" spans="2:5" x14ac:dyDescent="0.25">
      <c r="B68" s="23"/>
      <c r="D68" s="23"/>
      <c r="E68"/>
    </row>
    <row r="69" spans="2:5" x14ac:dyDescent="0.25">
      <c r="B69" s="23"/>
      <c r="D69" s="23"/>
      <c r="E69"/>
    </row>
    <row r="70" spans="2:5" x14ac:dyDescent="0.25">
      <c r="B70" s="23"/>
      <c r="D70" s="23"/>
      <c r="E70"/>
    </row>
    <row r="71" spans="2:5" x14ac:dyDescent="0.25">
      <c r="B71" s="23"/>
    </row>
    <row r="72" spans="2:5" x14ac:dyDescent="0.25">
      <c r="B72" s="23"/>
    </row>
    <row r="73" spans="2:5" x14ac:dyDescent="0.25">
      <c r="B73" s="23"/>
      <c r="D73" s="23"/>
    </row>
    <row r="74" spans="2:5" x14ac:dyDescent="0.25">
      <c r="B74" s="23"/>
    </row>
    <row r="75" spans="2:5" x14ac:dyDescent="0.25">
      <c r="B75" s="23"/>
    </row>
    <row r="76" spans="2:5" x14ac:dyDescent="0.25">
      <c r="B76" s="23"/>
    </row>
    <row r="77" spans="2:5" ht="18.75" x14ac:dyDescent="0.3">
      <c r="C77" s="143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15</vt:i4>
      </vt:variant>
    </vt:vector>
  </HeadingPairs>
  <TitlesOfParts>
    <vt:vector size="15" baseType="lpstr">
      <vt:lpstr>E N E R O    2 0 2 0        </vt:lpstr>
      <vt:lpstr>Hoja1</vt:lpstr>
      <vt:lpstr>REMISIONES  ENERO  2020  </vt:lpstr>
      <vt:lpstr>FEBRERO  2020 </vt:lpstr>
      <vt:lpstr>REMISIONES  FEBRERO 2020</vt:lpstr>
      <vt:lpstr>  M A R Z O     2 0 2 0        </vt:lpstr>
      <vt:lpstr>REMISIONES  MARZO  2020    </vt:lpstr>
      <vt:lpstr>    A B R I L       2020       </vt:lpstr>
      <vt:lpstr>  REMISIONES   ABRIL    2020   </vt:lpstr>
      <vt:lpstr>M A Y O     2 0 2 0        </vt:lpstr>
      <vt:lpstr>REMISIONES  MAYO  2020    </vt:lpstr>
      <vt:lpstr> J U N I O     2020   </vt:lpstr>
      <vt:lpstr>REMISIONES  J U N I O     2020 </vt:lpstr>
      <vt:lpstr>J U L I O    2020      </vt:lpstr>
      <vt:lpstr>REMISIONES   J U L I O   2020 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2020-08-11T17:31:10Z</cp:lastPrinted>
  <dcterms:created xsi:type="dcterms:W3CDTF">2020-03-10T18:49:14Z</dcterms:created>
  <dcterms:modified xsi:type="dcterms:W3CDTF">2020-09-01T17:24:23Z</dcterms:modified>
</cp:coreProperties>
</file>