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# 08  AGOSTO 2020\"/>
    </mc:Choice>
  </mc:AlternateContent>
  <xr:revisionPtr revIDLastSave="0" documentId="13_ncr:1_{0B32D9B5-1437-4D24-85BC-6DE175F27C69}" xr6:coauthVersionLast="45" xr6:coauthVersionMax="45" xr10:uidLastSave="{00000000-0000-0000-0000-000000000000}"/>
  <bookViews>
    <workbookView xWindow="-120" yWindow="-120" windowWidth="24240" windowHeight="13140" firstSheet="3" activeTab="5" xr2:uid="{A10968E1-52C6-4273-89AC-BD62A545EBAA}"/>
  </bookViews>
  <sheets>
    <sheet name="CENTRAL   JUNIO   2020  " sheetId="1" r:id="rId1"/>
    <sheet name="SALIDAS MERCANCIA " sheetId="2" r:id="rId2"/>
    <sheet name="CENTRAL   J U L I O  2020 " sheetId="4" r:id="rId3"/>
    <sheet name="SALIDAS MERCANCIA JULIO 202" sheetId="3" r:id="rId4"/>
    <sheet name="CENTRAL   AGOSTO    2020   " sheetId="5" r:id="rId5"/>
    <sheet name="COMPRAS  AGOSTOS  2020      " sheetId="6" r:id="rId6"/>
    <sheet name="Hoja3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3" i="5" l="1"/>
  <c r="M43" i="5"/>
  <c r="L45" i="5"/>
  <c r="I45" i="5"/>
  <c r="F45" i="5"/>
  <c r="C45" i="5"/>
  <c r="L23" i="5" l="1"/>
  <c r="L30" i="5" l="1"/>
  <c r="L16" i="5"/>
  <c r="L9" i="5"/>
  <c r="H81" i="6" l="1"/>
  <c r="C99" i="6" l="1"/>
  <c r="N31" i="5" l="1"/>
  <c r="M30" i="5"/>
  <c r="N30" i="5"/>
  <c r="N29" i="5"/>
  <c r="M25" i="5"/>
  <c r="N28" i="5"/>
  <c r="N27" i="5"/>
  <c r="N26" i="5"/>
  <c r="N25" i="5" l="1"/>
  <c r="M24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H82" i="6" l="1"/>
  <c r="H84" i="6" s="1"/>
  <c r="K50" i="5" l="1"/>
  <c r="Q34" i="5"/>
  <c r="Q33" i="5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M46" i="5" l="1"/>
  <c r="K47" i="5"/>
  <c r="F48" i="5" s="1"/>
  <c r="F50" i="5" s="1"/>
  <c r="K49" i="5" s="1"/>
  <c r="K51" i="5" s="1"/>
  <c r="P4" i="5"/>
  <c r="F41" i="4"/>
  <c r="P43" i="5" l="1"/>
  <c r="Q4" i="5"/>
  <c r="Q43" i="5" s="1"/>
  <c r="N31" i="4"/>
  <c r="M30" i="4"/>
  <c r="M39" i="4" s="1"/>
  <c r="N39" i="4"/>
  <c r="N30" i="4"/>
  <c r="L30" i="4"/>
  <c r="N29" i="4"/>
  <c r="N28" i="4"/>
  <c r="M42" i="4" l="1"/>
  <c r="N27" i="4"/>
  <c r="N26" i="4"/>
  <c r="N25" i="4"/>
  <c r="N24" i="4"/>
  <c r="N23" i="4"/>
  <c r="L23" i="4"/>
  <c r="N22" i="4"/>
  <c r="N21" i="4"/>
  <c r="N20" i="4"/>
  <c r="N18" i="4"/>
  <c r="N17" i="4"/>
  <c r="N16" i="4"/>
  <c r="N15" i="4"/>
  <c r="N14" i="4"/>
  <c r="N13" i="4"/>
  <c r="N11" i="4"/>
  <c r="N12" i="4"/>
  <c r="N10" i="4" l="1"/>
  <c r="P9" i="4"/>
  <c r="N9" i="4"/>
  <c r="N8" i="4"/>
  <c r="N7" i="4"/>
  <c r="N6" i="4"/>
  <c r="N5" i="4"/>
  <c r="N4" i="4"/>
  <c r="H65" i="3" l="1"/>
  <c r="C99" i="3"/>
  <c r="H66" i="3" s="1"/>
  <c r="H68" i="3" s="1"/>
  <c r="K46" i="4" l="1"/>
  <c r="L41" i="4"/>
  <c r="I41" i="4"/>
  <c r="C41" i="4"/>
  <c r="P36" i="4"/>
  <c r="Q36" i="4" s="1"/>
  <c r="P35" i="4"/>
  <c r="Q35" i="4" s="1"/>
  <c r="P34" i="4"/>
  <c r="Q34" i="4" s="1"/>
  <c r="P33" i="4"/>
  <c r="Q33" i="4" s="1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Q9" i="4"/>
  <c r="P8" i="4"/>
  <c r="Q8" i="4" s="1"/>
  <c r="P7" i="4"/>
  <c r="Q7" i="4" s="1"/>
  <c r="P6" i="4"/>
  <c r="Q6" i="4" s="1"/>
  <c r="P5" i="4"/>
  <c r="Q5" i="4" s="1"/>
  <c r="P4" i="4"/>
  <c r="K43" i="4" l="1"/>
  <c r="F44" i="4" s="1"/>
  <c r="F46" i="4" s="1"/>
  <c r="F49" i="4" s="1"/>
  <c r="K45" i="4" s="1"/>
  <c r="K48" i="4" s="1"/>
  <c r="Q4" i="4"/>
  <c r="Q39" i="4" s="1"/>
  <c r="P39" i="4"/>
  <c r="P39" i="1"/>
  <c r="C40" i="1" l="1"/>
  <c r="N20" i="1"/>
  <c r="P20" i="1"/>
  <c r="Q20" i="1" s="1"/>
  <c r="Q5" i="1"/>
  <c r="Q6" i="1"/>
  <c r="Q8" i="1"/>
  <c r="Q9" i="1"/>
  <c r="Q10" i="1"/>
  <c r="Q11" i="1"/>
  <c r="Q12" i="1"/>
  <c r="Q13" i="1"/>
  <c r="Q14" i="1"/>
  <c r="Q15" i="1"/>
  <c r="Q16" i="1"/>
  <c r="Q17" i="1"/>
  <c r="Q18" i="1"/>
  <c r="Q19" i="1"/>
  <c r="Q21" i="1"/>
  <c r="Q22" i="1"/>
  <c r="Q23" i="1"/>
  <c r="Q24" i="1"/>
  <c r="Q26" i="1"/>
  <c r="Q27" i="1"/>
  <c r="Q28" i="1"/>
  <c r="Q29" i="1"/>
  <c r="Q30" i="1"/>
  <c r="Q31" i="1"/>
  <c r="Q32" i="1"/>
  <c r="Q33" i="1"/>
  <c r="Q34" i="1"/>
  <c r="Q35" i="1"/>
  <c r="Q36" i="1"/>
  <c r="Q4" i="1"/>
  <c r="P5" i="1"/>
  <c r="P6" i="1"/>
  <c r="P7" i="1"/>
  <c r="Q7" i="1" s="1"/>
  <c r="Q39" i="1" s="1"/>
  <c r="P8" i="1"/>
  <c r="P9" i="1"/>
  <c r="P10" i="1"/>
  <c r="P11" i="1"/>
  <c r="P12" i="1"/>
  <c r="P13" i="1"/>
  <c r="P14" i="1"/>
  <c r="P15" i="1"/>
  <c r="P16" i="1"/>
  <c r="P17" i="1"/>
  <c r="P18" i="1"/>
  <c r="P19" i="1"/>
  <c r="P21" i="1"/>
  <c r="P22" i="1"/>
  <c r="P23" i="1"/>
  <c r="P24" i="1"/>
  <c r="P25" i="1"/>
  <c r="Q25" i="1" s="1"/>
  <c r="P26" i="1"/>
  <c r="P27" i="1"/>
  <c r="P28" i="1"/>
  <c r="P29" i="1"/>
  <c r="P30" i="1"/>
  <c r="P31" i="1"/>
  <c r="P32" i="1"/>
  <c r="P33" i="1"/>
  <c r="P34" i="1"/>
  <c r="P35" i="1"/>
  <c r="P36" i="1"/>
  <c r="P4" i="1"/>
  <c r="N38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M38" i="1" l="1"/>
  <c r="M41" i="1" s="1"/>
  <c r="F40" i="1" l="1"/>
  <c r="I40" i="1"/>
  <c r="K45" i="1"/>
  <c r="E207" i="2" l="1"/>
  <c r="C207" i="2"/>
  <c r="D212" i="2" l="1"/>
  <c r="L63" i="1"/>
  <c r="L40" i="1"/>
  <c r="K42" i="1" s="1"/>
  <c r="F43" i="1" s="1"/>
  <c r="F45" i="1" l="1"/>
  <c r="F48" i="1" s="1"/>
  <c r="K44" i="1" s="1"/>
  <c r="K4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8A2A379F-11FB-466E-8CDE-AE62FB2F4413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10E831D1-FF03-4631-922D-4A8E6BCE8B8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4EF0308C-8F61-4A09-954B-8D991E9E2FC8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9CF9DA3-B4AD-4D6B-A0B9-7C51A379F7A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3C057FB7-1D25-46C0-8757-4E7299169D73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A6034CC8-1AA7-4D7E-9D87-84259DA61516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<sst xmlns="http://schemas.openxmlformats.org/spreadsheetml/2006/main" count="658" uniqueCount="567">
  <si>
    <t>INVENTARIO INICIAL</t>
  </si>
  <si>
    <t>GASTOS</t>
  </si>
  <si>
    <t>BANCO</t>
  </si>
  <si>
    <t>TARJETAS</t>
  </si>
  <si>
    <t xml:space="preserve"> </t>
  </si>
  <si>
    <t>TELMEX</t>
  </si>
  <si>
    <t xml:space="preserve">LUZ  </t>
  </si>
  <si>
    <t>RENTA</t>
  </si>
  <si>
    <t>NOMINA 23</t>
  </si>
  <si>
    <t>NOMINA 24</t>
  </si>
  <si>
    <t>NOMINA  25</t>
  </si>
  <si>
    <t>NOMINA 26</t>
  </si>
  <si>
    <t>NOMINA 27</t>
  </si>
  <si>
    <t>TOTAL</t>
  </si>
  <si>
    <t>TOTAL 1</t>
  </si>
  <si>
    <t>TOTAL  2</t>
  </si>
  <si>
    <t>GRAN TOTAL GASTOS</t>
  </si>
  <si>
    <t>VENTAS NETAS</t>
  </si>
  <si>
    <t>PROVEEDOREES</t>
  </si>
  <si>
    <t>SUB TOTAL</t>
  </si>
  <si>
    <t>Sub Total 1</t>
  </si>
  <si>
    <t>INVENTARIO  INICIAL</t>
  </si>
  <si>
    <t>INVENTARIO FINAL</t>
  </si>
  <si>
    <t xml:space="preserve">GANANCIA </t>
  </si>
  <si>
    <t xml:space="preserve">Sub Total 2 </t>
  </si>
  <si>
    <t>BALANCE    SUCURSAL      C E N T R A L         JUNIO        2 0 2 0</t>
  </si>
  <si>
    <t>RELACION SALIDAS OBRADOR-CENTRAL</t>
  </si>
  <si>
    <t>Fecha</t>
  </si>
  <si>
    <t># Nota</t>
  </si>
  <si>
    <t>Enviado</t>
  </si>
  <si>
    <t>Recivido</t>
  </si>
  <si>
    <t>,0441 E</t>
  </si>
  <si>
    <t>,0442 E</t>
  </si>
  <si>
    <t>,0443 E</t>
  </si>
  <si>
    <t>,0444 E</t>
  </si>
  <si>
    <t>,0445 E</t>
  </si>
  <si>
    <t>,0446 E</t>
  </si>
  <si>
    <t>,0447 E</t>
  </si>
  <si>
    <t>,0448 E</t>
  </si>
  <si>
    <t>,0449 E</t>
  </si>
  <si>
    <t>,0450 E</t>
  </si>
  <si>
    <t>,0451 E</t>
  </si>
  <si>
    <t>Cancelada</t>
  </si>
  <si>
    <t>,0452 E</t>
  </si>
  <si>
    <t>,0453 E</t>
  </si>
  <si>
    <t>,0454 E</t>
  </si>
  <si>
    <t>,0455 E</t>
  </si>
  <si>
    <t>,0456 E</t>
  </si>
  <si>
    <t>,0457 E</t>
  </si>
  <si>
    <t>,0458 E</t>
  </si>
  <si>
    <t>,0459 E</t>
  </si>
  <si>
    <t>,0460 E</t>
  </si>
  <si>
    <t>,0461 E</t>
  </si>
  <si>
    <t>,0462 E</t>
  </si>
  <si>
    <t>,0463 E</t>
  </si>
  <si>
    <t>,0464 E</t>
  </si>
  <si>
    <t>,0465 E</t>
  </si>
  <si>
    <t>,0466 E</t>
  </si>
  <si>
    <t>,0467 E</t>
  </si>
  <si>
    <t>,0468 E</t>
  </si>
  <si>
    <t>,0469 E</t>
  </si>
  <si>
    <t>,0470 E</t>
  </si>
  <si>
    <t>,0471 E</t>
  </si>
  <si>
    <t>,0472 E</t>
  </si>
  <si>
    <t>,0473 E</t>
  </si>
  <si>
    <t>,0474 E</t>
  </si>
  <si>
    <t>,0475 E</t>
  </si>
  <si>
    <t>,0476 E</t>
  </si>
  <si>
    <t>,0477 E</t>
  </si>
  <si>
    <t>,0478 E</t>
  </si>
  <si>
    <t>,0479 E</t>
  </si>
  <si>
    <t>,0480 E</t>
  </si>
  <si>
    <t>,0481 E</t>
  </si>
  <si>
    <t>,0482 E</t>
  </si>
  <si>
    <t>,0483 E</t>
  </si>
  <si>
    <t>,0484 E</t>
  </si>
  <si>
    <t>,0485 E</t>
  </si>
  <si>
    <t>,0486 E</t>
  </si>
  <si>
    <t>,0487 E</t>
  </si>
  <si>
    <t>,0488 E</t>
  </si>
  <si>
    <t>,0489 E</t>
  </si>
  <si>
    <t>,0490 E</t>
  </si>
  <si>
    <t>,0491 E</t>
  </si>
  <si>
    <t>,0492 E</t>
  </si>
  <si>
    <t>,0493 E</t>
  </si>
  <si>
    <t>,0494 E</t>
  </si>
  <si>
    <t>,0495 E</t>
  </si>
  <si>
    <t>,0496 E</t>
  </si>
  <si>
    <t>,0497 E</t>
  </si>
  <si>
    <t>,0498 E</t>
  </si>
  <si>
    <t>,0499 E</t>
  </si>
  <si>
    <t>,0500 E</t>
  </si>
  <si>
    <t>,0501 E</t>
  </si>
  <si>
    <t>,0502 E</t>
  </si>
  <si>
    <t>,0503 E</t>
  </si>
  <si>
    <t>,0504 E</t>
  </si>
  <si>
    <t>,0505 E</t>
  </si>
  <si>
    <t>,0506 E</t>
  </si>
  <si>
    <t>,0507 E</t>
  </si>
  <si>
    <t>,0508 E</t>
  </si>
  <si>
    <t>,0509 E</t>
  </si>
  <si>
    <t>,0510 E</t>
  </si>
  <si>
    <t>,0511 E</t>
  </si>
  <si>
    <t>,0512 E</t>
  </si>
  <si>
    <t>,0513 E</t>
  </si>
  <si>
    <t>,0514 E</t>
  </si>
  <si>
    <t>,0515 E</t>
  </si>
  <si>
    <t>,0516 E</t>
  </si>
  <si>
    <t>,0517 E</t>
  </si>
  <si>
    <t>,0518 E</t>
  </si>
  <si>
    <t>,0519 E</t>
  </si>
  <si>
    <t>,0520 E</t>
  </si>
  <si>
    <t>,0521 E</t>
  </si>
  <si>
    <t>,0522 E</t>
  </si>
  <si>
    <t>,0523 E</t>
  </si>
  <si>
    <t>,0524 E</t>
  </si>
  <si>
    <t>,0525 E</t>
  </si>
  <si>
    <t>,0526 E</t>
  </si>
  <si>
    <t xml:space="preserve">,0527 </t>
  </si>
  <si>
    <t>,0528 E</t>
  </si>
  <si>
    <t>,0529 E</t>
  </si>
  <si>
    <t>,0530 E</t>
  </si>
  <si>
    <t>,0531 E</t>
  </si>
  <si>
    <t>,0532 E</t>
  </si>
  <si>
    <t>,0533 E</t>
  </si>
  <si>
    <t>,0534 E</t>
  </si>
  <si>
    <t>,0535 E</t>
  </si>
  <si>
    <t>,0536 E</t>
  </si>
  <si>
    <t>,0537 E</t>
  </si>
  <si>
    <t>,0538 E</t>
  </si>
  <si>
    <t>,0539 E</t>
  </si>
  <si>
    <t>,0540 E</t>
  </si>
  <si>
    <t>,0541 E</t>
  </si>
  <si>
    <t>,0542 E</t>
  </si>
  <si>
    <t>,0543 E</t>
  </si>
  <si>
    <t>,0544 E</t>
  </si>
  <si>
    <t>,0545 E</t>
  </si>
  <si>
    <t>,0546 E</t>
  </si>
  <si>
    <t>,0547 E</t>
  </si>
  <si>
    <t>,0548 E</t>
  </si>
  <si>
    <t>,0549 E</t>
  </si>
  <si>
    <t>,0550 E</t>
  </si>
  <si>
    <t>,0551 E</t>
  </si>
  <si>
    <t>,0552 E</t>
  </si>
  <si>
    <t>,0553 E</t>
  </si>
  <si>
    <t>,0554 E</t>
  </si>
  <si>
    <t>,0555 E</t>
  </si>
  <si>
    <t>,0556 E</t>
  </si>
  <si>
    <t>,0557 E</t>
  </si>
  <si>
    <t>,0558 E</t>
  </si>
  <si>
    <t>,0559 E</t>
  </si>
  <si>
    <t>,0560 E</t>
  </si>
  <si>
    <t>,0561 E</t>
  </si>
  <si>
    <t>,0562 E</t>
  </si>
  <si>
    <t>,0563 E</t>
  </si>
  <si>
    <t>,0564 E</t>
  </si>
  <si>
    <t>,0565 E</t>
  </si>
  <si>
    <t>,0566 E</t>
  </si>
  <si>
    <t>,0567 E</t>
  </si>
  <si>
    <t>,0568 E</t>
  </si>
  <si>
    <t>,0569 E</t>
  </si>
  <si>
    <t>,0570 E</t>
  </si>
  <si>
    <t>,0571 E</t>
  </si>
  <si>
    <t>,0572 E</t>
  </si>
  <si>
    <t>,0573 E</t>
  </si>
  <si>
    <t>,0574 E</t>
  </si>
  <si>
    <t>,0575 E</t>
  </si>
  <si>
    <t>,0576 E</t>
  </si>
  <si>
    <t>,0577 E</t>
  </si>
  <si>
    <t>,0578 E</t>
  </si>
  <si>
    <t>,0579 E</t>
  </si>
  <si>
    <t>,0580 E</t>
  </si>
  <si>
    <t>,0581 E</t>
  </si>
  <si>
    <t>,0582 E</t>
  </si>
  <si>
    <t>,0583 E</t>
  </si>
  <si>
    <t>,0584 E</t>
  </si>
  <si>
    <t>,0585 E</t>
  </si>
  <si>
    <t>,0586 E</t>
  </si>
  <si>
    <t>,0587 E</t>
  </si>
  <si>
    <t>,0588 E</t>
  </si>
  <si>
    <t>,0589 E</t>
  </si>
  <si>
    <t>,0590 E</t>
  </si>
  <si>
    <t>,0591 E</t>
  </si>
  <si>
    <t>,0592 E</t>
  </si>
  <si>
    <t>,0593 E</t>
  </si>
  <si>
    <t>,0594 E</t>
  </si>
  <si>
    <t>,0595 E</t>
  </si>
  <si>
    <t>,0596 E</t>
  </si>
  <si>
    <t>,0597 E</t>
  </si>
  <si>
    <t>,0598 E</t>
  </si>
  <si>
    <t>,0599 E</t>
  </si>
  <si>
    <t>,0600 E</t>
  </si>
  <si>
    <t>,0601 E</t>
  </si>
  <si>
    <t>,0602 E</t>
  </si>
  <si>
    <t>,0603 E</t>
  </si>
  <si>
    <t>,0604 E</t>
  </si>
  <si>
    <t>,0605 E</t>
  </si>
  <si>
    <t>,0606 E</t>
  </si>
  <si>
    <t>,0607 E</t>
  </si>
  <si>
    <t>,0608 E</t>
  </si>
  <si>
    <t>,0609 E</t>
  </si>
  <si>
    <t>,0610 E</t>
  </si>
  <si>
    <t>,0611 E</t>
  </si>
  <si>
    <t>,0612 E</t>
  </si>
  <si>
    <t>,0613 E</t>
  </si>
  <si>
    <t>,0614 E</t>
  </si>
  <si>
    <t>,0615 E</t>
  </si>
  <si>
    <t>,0616 E</t>
  </si>
  <si>
    <t>,0617 E</t>
  </si>
  <si>
    <t>,0618 E</t>
  </si>
  <si>
    <t>,0619 E</t>
  </si>
  <si>
    <t>,0620 E</t>
  </si>
  <si>
    <t xml:space="preserve">,0621 </t>
  </si>
  <si>
    <t>,0622 E</t>
  </si>
  <si>
    <t>,0623 E</t>
  </si>
  <si>
    <t>,0624 E</t>
  </si>
  <si>
    <t>,0625 E</t>
  </si>
  <si>
    <t>,0626 E</t>
  </si>
  <si>
    <t>,0627 E</t>
  </si>
  <si>
    <t>,0628 E</t>
  </si>
  <si>
    <t>,0629 E</t>
  </si>
  <si>
    <t>,0630 E</t>
  </si>
  <si>
    <t>,0631 E</t>
  </si>
  <si>
    <t>,0632 E</t>
  </si>
  <si>
    <t>,0633 E</t>
  </si>
  <si>
    <t>,0634 E</t>
  </si>
  <si>
    <t>,0635 E</t>
  </si>
  <si>
    <t>,0636 E</t>
  </si>
  <si>
    <t>,0637 E</t>
  </si>
  <si>
    <t>,0638 E</t>
  </si>
  <si>
    <t>,0639 E</t>
  </si>
  <si>
    <t>,0640 E</t>
  </si>
  <si>
    <t>,0641 E</t>
  </si>
  <si>
    <t>,0642 E</t>
  </si>
  <si>
    <t>,0643 E</t>
  </si>
  <si>
    <t>,0644 E</t>
  </si>
  <si>
    <t>,0645 E</t>
  </si>
  <si>
    <t>,0646 E</t>
  </si>
  <si>
    <t>,0647 E</t>
  </si>
  <si>
    <t>,0648 E</t>
  </si>
  <si>
    <t>Compras</t>
  </si>
  <si>
    <t xml:space="preserve">V E N T A S </t>
  </si>
  <si>
    <t>ganchos</t>
  </si>
  <si>
    <t>S A T</t>
  </si>
  <si>
    <t>NOMINA 28</t>
  </si>
  <si>
    <t>BALANCE    SUCURSAL      C E N T R A L         JULIO        2 0 2 0</t>
  </si>
  <si>
    <t>,0787 E</t>
  </si>
  <si>
    <t>,0788 E</t>
  </si>
  <si>
    <t>,0789 E</t>
  </si>
  <si>
    <t>,0790 E</t>
  </si>
  <si>
    <t>,0791 E</t>
  </si>
  <si>
    <t>,0792 E</t>
  </si>
  <si>
    <t>,0793 E</t>
  </si>
  <si>
    <t>,0794 E</t>
  </si>
  <si>
    <t>,0795 E</t>
  </si>
  <si>
    <t>,0796 E</t>
  </si>
  <si>
    <t>,0649 E</t>
  </si>
  <si>
    <t>,0650 E</t>
  </si>
  <si>
    <t>,0651 E</t>
  </si>
  <si>
    <t>,0652 E</t>
  </si>
  <si>
    <t>,0653 E</t>
  </si>
  <si>
    <t>,0654 E</t>
  </si>
  <si>
    <t>,0655 E</t>
  </si>
  <si>
    <t>,0656 E</t>
  </si>
  <si>
    <t>,0657 E</t>
  </si>
  <si>
    <t>,0658 E</t>
  </si>
  <si>
    <t>,0659 E</t>
  </si>
  <si>
    <t>,0660 E</t>
  </si>
  <si>
    <t>,0661 E</t>
  </si>
  <si>
    <t>,0662 E</t>
  </si>
  <si>
    <t>,0663 E</t>
  </si>
  <si>
    <t>,0664 E</t>
  </si>
  <si>
    <t>,0665 E</t>
  </si>
  <si>
    <t>,0666 E</t>
  </si>
  <si>
    <t>,0667 E</t>
  </si>
  <si>
    <t>,0668 E</t>
  </si>
  <si>
    <t>,0669 E</t>
  </si>
  <si>
    <t>,0670 E</t>
  </si>
  <si>
    <t>,0671 E</t>
  </si>
  <si>
    <t>,0672 E</t>
  </si>
  <si>
    <t>,0673 E</t>
  </si>
  <si>
    <t>,0674 E</t>
  </si>
  <si>
    <t>,0675 E</t>
  </si>
  <si>
    <t>,0676 E</t>
  </si>
  <si>
    <t>,0677 E</t>
  </si>
  <si>
    <t>,0678 E</t>
  </si>
  <si>
    <t>,0679 E</t>
  </si>
  <si>
    <t>,0680 E</t>
  </si>
  <si>
    <t>,0681 E</t>
  </si>
  <si>
    <t>,0682 E</t>
  </si>
  <si>
    <t>,0683 E</t>
  </si>
  <si>
    <t>,0684 E</t>
  </si>
  <si>
    <t>,0685 E</t>
  </si>
  <si>
    <t>,0686 E</t>
  </si>
  <si>
    <t>,0687 E</t>
  </si>
  <si>
    <t>,0688 E</t>
  </si>
  <si>
    <t>,0689 E</t>
  </si>
  <si>
    <t>,0690 E</t>
  </si>
  <si>
    <t>,0691 E</t>
  </si>
  <si>
    <t>,0692 E</t>
  </si>
  <si>
    <t>,0693 E</t>
  </si>
  <si>
    <t>,0694 E</t>
  </si>
  <si>
    <t>,0695 E</t>
  </si>
  <si>
    <t>,0696 E</t>
  </si>
  <si>
    <t>,0697 E</t>
  </si>
  <si>
    <t>,0698 E</t>
  </si>
  <si>
    <t>,0699 E</t>
  </si>
  <si>
    <t>,0700 E</t>
  </si>
  <si>
    <t>,0701 E</t>
  </si>
  <si>
    <t>,0702 E</t>
  </si>
  <si>
    <t>,0703 E</t>
  </si>
  <si>
    <t>,0704 E</t>
  </si>
  <si>
    <t>,0705 E</t>
  </si>
  <si>
    <t>,0706 E</t>
  </si>
  <si>
    <t>,0707 E</t>
  </si>
  <si>
    <t>,0708 E</t>
  </si>
  <si>
    <t>,0709 E</t>
  </si>
  <si>
    <t>,0710 E</t>
  </si>
  <si>
    <t>,0711 E</t>
  </si>
  <si>
    <t>,0712 E</t>
  </si>
  <si>
    <t>,0713 E</t>
  </si>
  <si>
    <t>,0714 E</t>
  </si>
  <si>
    <t>,0715 E</t>
  </si>
  <si>
    <t>,0716 E</t>
  </si>
  <si>
    <t>,0717 E</t>
  </si>
  <si>
    <t>,0718 E</t>
  </si>
  <si>
    <t>,0719 E</t>
  </si>
  <si>
    <t>,0720 E</t>
  </si>
  <si>
    <t>,0721 E</t>
  </si>
  <si>
    <t>,0722 E</t>
  </si>
  <si>
    <t>,0723 E</t>
  </si>
  <si>
    <t>,0724 E</t>
  </si>
  <si>
    <t>,0725 E</t>
  </si>
  <si>
    <t>,0726 E</t>
  </si>
  <si>
    <t>,0727 E</t>
  </si>
  <si>
    <t>,0728 E</t>
  </si>
  <si>
    <t>,0729 E</t>
  </si>
  <si>
    <t>,0730 E</t>
  </si>
  <si>
    <t>,0731 E</t>
  </si>
  <si>
    <t>,0732 E</t>
  </si>
  <si>
    <t>,0733 E</t>
  </si>
  <si>
    <t>,0734 E</t>
  </si>
  <si>
    <t>,0735 E</t>
  </si>
  <si>
    <t>,0736 E</t>
  </si>
  <si>
    <t>,0737 E</t>
  </si>
  <si>
    <t>,0738 E</t>
  </si>
  <si>
    <t>,0739 E</t>
  </si>
  <si>
    <t>,0740 E</t>
  </si>
  <si>
    <t>,0741 E</t>
  </si>
  <si>
    <t>,0742 E</t>
  </si>
  <si>
    <t>,0743 E</t>
  </si>
  <si>
    <t>,0744 E</t>
  </si>
  <si>
    <t>,0745 E</t>
  </si>
  <si>
    <t>,0746 E</t>
  </si>
  <si>
    <t>,0747 E</t>
  </si>
  <si>
    <t>,0748 E</t>
  </si>
  <si>
    <t>,0749 E</t>
  </si>
  <si>
    <t>,0750 E</t>
  </si>
  <si>
    <t>,0751 E</t>
  </si>
  <si>
    <t>,0752 E</t>
  </si>
  <si>
    <t>,0753 E</t>
  </si>
  <si>
    <t>,0754 E</t>
  </si>
  <si>
    <t>,0755 E</t>
  </si>
  <si>
    <t>,0756 E</t>
  </si>
  <si>
    <t>,0757 E</t>
  </si>
  <si>
    <t>,0758 E</t>
  </si>
  <si>
    <t>,0759 E</t>
  </si>
  <si>
    <t>,0760 E</t>
  </si>
  <si>
    <t>,0761 E</t>
  </si>
  <si>
    <t>,0762 E</t>
  </si>
  <si>
    <t>,0763 E</t>
  </si>
  <si>
    <t>,0764 E</t>
  </si>
  <si>
    <t>,0765 E</t>
  </si>
  <si>
    <t>,0766 E</t>
  </si>
  <si>
    <t>,0767 E</t>
  </si>
  <si>
    <t>,0768 E</t>
  </si>
  <si>
    <t>,0769 E</t>
  </si>
  <si>
    <t>,0770 E</t>
  </si>
  <si>
    <t>,0771 E</t>
  </si>
  <si>
    <t>,0772 E</t>
  </si>
  <si>
    <t>,0773 E</t>
  </si>
  <si>
    <t>,0774 E</t>
  </si>
  <si>
    <t>,0775 E</t>
  </si>
  <si>
    <t>,0776 E</t>
  </si>
  <si>
    <t>,0777 E</t>
  </si>
  <si>
    <t>,0778 E</t>
  </si>
  <si>
    <t>,0779 E</t>
  </si>
  <si>
    <t>,0780 E</t>
  </si>
  <si>
    <t>,0781 E</t>
  </si>
  <si>
    <t>,0782 E</t>
  </si>
  <si>
    <t>,0783 E</t>
  </si>
  <si>
    <t>,0784 E</t>
  </si>
  <si>
    <t>,0785 E</t>
  </si>
  <si>
    <t>,0786 E</t>
  </si>
  <si>
    <t>Sub Total 2</t>
  </si>
  <si>
    <t xml:space="preserve">Gran Total </t>
  </si>
  <si>
    <t>NOMINA 29</t>
  </si>
  <si>
    <t>NOMINA  30</t>
  </si>
  <si>
    <t>NOMINA 31</t>
  </si>
  <si>
    <t>sobrante del 24 Junio</t>
  </si>
  <si>
    <t>KARINA</t>
  </si>
  <si>
    <t>RES</t>
  </si>
  <si>
    <t>BALANCE    SUCURSAL      C E N T R A L        A G O S T O         2 0 2 0</t>
  </si>
  <si>
    <t>Jamon</t>
  </si>
  <si>
    <t>13-Jul--800.00---1-Sept</t>
  </si>
  <si>
    <t>Sobrante</t>
  </si>
  <si>
    <t>sobrante</t>
  </si>
  <si>
    <t>16-Jul-18-Jul---280.00  19-Agosto</t>
  </si>
  <si>
    <t>NOMINA  32</t>
  </si>
  <si>
    <t>25 Y 30 JULIO</t>
  </si>
  <si>
    <t>NOMINA 33</t>
  </si>
  <si>
    <t>SAT  Impuestos</t>
  </si>
  <si>
    <r>
      <rPr>
        <b/>
        <sz val="11"/>
        <color rgb="FFFF0000"/>
        <rFont val="Calibri"/>
        <family val="2"/>
        <scheme val="minor"/>
      </rPr>
      <t>Lucero</t>
    </r>
    <r>
      <rPr>
        <b/>
        <sz val="11"/>
        <color theme="1"/>
        <rFont val="Calibri"/>
        <family val="2"/>
        <scheme val="minor"/>
      </rPr>
      <t xml:space="preserve">   +  20.00 ( S ) Ma. Luisa</t>
    </r>
  </si>
  <si>
    <t>15-Agosto aplicado a lucero</t>
  </si>
  <si>
    <t xml:space="preserve">LUCERO     </t>
  </si>
  <si>
    <t>LUCERO</t>
  </si>
  <si>
    <t>23-Ago---24-Ago--150.00+120.00 2-Sep</t>
  </si>
  <si>
    <t>NOMINA 35</t>
  </si>
  <si>
    <t>,0797 E</t>
  </si>
  <si>
    <t>,0798 E</t>
  </si>
  <si>
    <t>,0799 E</t>
  </si>
  <si>
    <t>,0800 E</t>
  </si>
  <si>
    <t>,0801 E</t>
  </si>
  <si>
    <t>,0802 E</t>
  </si>
  <si>
    <t>,0803 E</t>
  </si>
  <si>
    <t>,0804 E</t>
  </si>
  <si>
    <t>,0805 E</t>
  </si>
  <si>
    <t>,0806 E</t>
  </si>
  <si>
    <t>,0807 E</t>
  </si>
  <si>
    <t>,0808 E</t>
  </si>
  <si>
    <t>,0809 E</t>
  </si>
  <si>
    <t>,0810 E</t>
  </si>
  <si>
    <t>,0811 E</t>
  </si>
  <si>
    <t>,0812 E</t>
  </si>
  <si>
    <t>,0813 E</t>
  </si>
  <si>
    <t>,0814 E</t>
  </si>
  <si>
    <t>,0815 E</t>
  </si>
  <si>
    <t>,0816 E</t>
  </si>
  <si>
    <t>,0817 E</t>
  </si>
  <si>
    <t>,0818 E</t>
  </si>
  <si>
    <t>,0819 E</t>
  </si>
  <si>
    <t>,0820 E</t>
  </si>
  <si>
    <t>,0821 E</t>
  </si>
  <si>
    <t>,0822 E</t>
  </si>
  <si>
    <t>,0823 E</t>
  </si>
  <si>
    <t>,0824 E</t>
  </si>
  <si>
    <t>,0825 E</t>
  </si>
  <si>
    <t>,0826 E</t>
  </si>
  <si>
    <t>,0827 E</t>
  </si>
  <si>
    <t>,0828 E</t>
  </si>
  <si>
    <t>,0829 E</t>
  </si>
  <si>
    <t>,0830 E</t>
  </si>
  <si>
    <t>,0831 E</t>
  </si>
  <si>
    <t>,0832 E</t>
  </si>
  <si>
    <t>,0833 E</t>
  </si>
  <si>
    <t>,0834 E</t>
  </si>
  <si>
    <t>,0835 E</t>
  </si>
  <si>
    <t>,0836 E</t>
  </si>
  <si>
    <t>,0837 E</t>
  </si>
  <si>
    <t>,0838 E</t>
  </si>
  <si>
    <t>,0839 E</t>
  </si>
  <si>
    <t>,0840 E</t>
  </si>
  <si>
    <t>,0841 E</t>
  </si>
  <si>
    <t>,0842 E</t>
  </si>
  <si>
    <t>,0843 E</t>
  </si>
  <si>
    <t>,0844 E</t>
  </si>
  <si>
    <t>,0845 E</t>
  </si>
  <si>
    <t>,0846 E</t>
  </si>
  <si>
    <t>,0847 E</t>
  </si>
  <si>
    <t>,0848 E</t>
  </si>
  <si>
    <t>,0849 E</t>
  </si>
  <si>
    <t>,0850 E</t>
  </si>
  <si>
    <t>,0851 E</t>
  </si>
  <si>
    <t>,0852 E</t>
  </si>
  <si>
    <t>,0853 E</t>
  </si>
  <si>
    <t>,0854 E</t>
  </si>
  <si>
    <t>,0855 E</t>
  </si>
  <si>
    <t>,0856 E</t>
  </si>
  <si>
    <t>,0857 E</t>
  </si>
  <si>
    <t>,0858 E</t>
  </si>
  <si>
    <t>,0859 E</t>
  </si>
  <si>
    <t>,0860 E</t>
  </si>
  <si>
    <t>,0861 E</t>
  </si>
  <si>
    <t>,0862 E</t>
  </si>
  <si>
    <t>,0863 E</t>
  </si>
  <si>
    <t>,0864 E</t>
  </si>
  <si>
    <t>,0865 E</t>
  </si>
  <si>
    <t>,0866 E</t>
  </si>
  <si>
    <t>,0867 E</t>
  </si>
  <si>
    <t>,0868 E</t>
  </si>
  <si>
    <t>,0869 E</t>
  </si>
  <si>
    <t>,0870 E</t>
  </si>
  <si>
    <t>,0871 E</t>
  </si>
  <si>
    <t>,0872 E</t>
  </si>
  <si>
    <t>,0873 E</t>
  </si>
  <si>
    <t>,0874 E</t>
  </si>
  <si>
    <t>,0875 E</t>
  </si>
  <si>
    <t>,0876 E</t>
  </si>
  <si>
    <t>,0877 E</t>
  </si>
  <si>
    <t>,0878 E</t>
  </si>
  <si>
    <t>,0879 E</t>
  </si>
  <si>
    <t>,0880 E</t>
  </si>
  <si>
    <t>,0881 E</t>
  </si>
  <si>
    <t>,0882 E</t>
  </si>
  <si>
    <t>,0884 E</t>
  </si>
  <si>
    <t>,0885 E</t>
  </si>
  <si>
    <t>,0886 E</t>
  </si>
  <si>
    <t>,0887 E</t>
  </si>
  <si>
    <t>,0888 E</t>
  </si>
  <si>
    <t>,0889 E</t>
  </si>
  <si>
    <t>,0890 E</t>
  </si>
  <si>
    <t>,0891 E</t>
  </si>
  <si>
    <t>,0892 E</t>
  </si>
  <si>
    <t>,0893 E</t>
  </si>
  <si>
    <t>,0894 E</t>
  </si>
  <si>
    <t>,0895 E</t>
  </si>
  <si>
    <t>,0896 E</t>
  </si>
  <si>
    <t>,0897 E</t>
  </si>
  <si>
    <t>,0898 E</t>
  </si>
  <si>
    <t>,0899 E</t>
  </si>
  <si>
    <t>,0900 E</t>
  </si>
  <si>
    <t>,0901 E</t>
  </si>
  <si>
    <t>,0902 E</t>
  </si>
  <si>
    <t>,0903 E</t>
  </si>
  <si>
    <t>,0904 E</t>
  </si>
  <si>
    <t>,0905 E</t>
  </si>
  <si>
    <t>,0906 E</t>
  </si>
  <si>
    <t>,0907 E</t>
  </si>
  <si>
    <t>,0908 E</t>
  </si>
  <si>
    <t>,0909 E</t>
  </si>
  <si>
    <t>,0910 E</t>
  </si>
  <si>
    <t>,0911 E</t>
  </si>
  <si>
    <t>,0912 E</t>
  </si>
  <si>
    <t>,0913 E</t>
  </si>
  <si>
    <t>0914 E</t>
  </si>
  <si>
    <t>,0915 E</t>
  </si>
  <si>
    <t>,0916 E</t>
  </si>
  <si>
    <t>,0917 E</t>
  </si>
  <si>
    <t>,0918 E</t>
  </si>
  <si>
    <t>,0919 E</t>
  </si>
  <si>
    <t>,0920 E</t>
  </si>
  <si>
    <t>,0921 E</t>
  </si>
  <si>
    <t>,0922 E</t>
  </si>
  <si>
    <t>,0923 E</t>
  </si>
  <si>
    <t>,0924 E</t>
  </si>
  <si>
    <t>,0925 E</t>
  </si>
  <si>
    <t>,0926 E</t>
  </si>
  <si>
    <t>,0927 E</t>
  </si>
  <si>
    <t>,0928 E</t>
  </si>
  <si>
    <t>,0929 E</t>
  </si>
  <si>
    <t>,0930 E</t>
  </si>
  <si>
    <t>,0931 E</t>
  </si>
  <si>
    <t>,0932 E</t>
  </si>
  <si>
    <t>,0933 E</t>
  </si>
  <si>
    <t>,0934 E</t>
  </si>
  <si>
    <t>,0935 E</t>
  </si>
  <si>
    <t>,0936 E</t>
  </si>
  <si>
    <t>,0937 E</t>
  </si>
  <si>
    <t>,0938 E</t>
  </si>
  <si>
    <t>,0939 E</t>
  </si>
  <si>
    <t>,0940 E</t>
  </si>
  <si>
    <t>,0941 E</t>
  </si>
  <si>
    <t>,0942 E</t>
  </si>
  <si>
    <t>,0943 E</t>
  </si>
  <si>
    <t>GANANCIA</t>
  </si>
  <si>
    <t>NOMINA  34</t>
  </si>
  <si>
    <t>BILLETE FALSO 500.00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</si>
</sst>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660033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Dashed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auto="1"/>
      </left>
      <right style="medium">
        <color auto="1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2">
    <xf numFmtId="0" fontId="0" fillId="0" borderId="0" xfId="0"/>
    <xf numFmtId="164" fontId="0" fillId="0" borderId="0" xfId="0" applyNumberFormat="1" applyAlignment="1">
      <alignment horizontal="center"/>
    </xf>
    <xf numFmtId="0" fontId="5" fillId="0" borderId="0" xfId="0" applyFont="1"/>
    <xf numFmtId="44" fontId="1" fillId="0" borderId="0" xfId="1" applyFill="1"/>
    <xf numFmtId="44" fontId="3" fillId="0" borderId="0" xfId="1" applyFont="1"/>
    <xf numFmtId="44" fontId="3" fillId="0" borderId="0" xfId="1" applyFont="1" applyFill="1"/>
    <xf numFmtId="44" fontId="0" fillId="0" borderId="0" xfId="1" applyFont="1"/>
    <xf numFmtId="44" fontId="1" fillId="0" borderId="0" xfId="1"/>
    <xf numFmtId="0" fontId="8" fillId="0" borderId="2" xfId="0" applyFont="1" applyBorder="1"/>
    <xf numFmtId="0" fontId="11" fillId="0" borderId="4" xfId="0" applyFont="1" applyBorder="1"/>
    <xf numFmtId="44" fontId="3" fillId="0" borderId="0" xfId="1" applyFont="1" applyFill="1" applyBorder="1" applyAlignment="1">
      <alignment horizontal="center"/>
    </xf>
    <xf numFmtId="44" fontId="3" fillId="0" borderId="0" xfId="1" applyFont="1" applyFill="1" applyAlignment="1">
      <alignment horizontal="center"/>
    </xf>
    <xf numFmtId="16" fontId="0" fillId="0" borderId="0" xfId="0" applyNumberFormat="1"/>
    <xf numFmtId="164" fontId="3" fillId="0" borderId="9" xfId="0" applyNumberFormat="1" applyFont="1" applyBorder="1" applyAlignment="1">
      <alignment horizontal="center"/>
    </xf>
    <xf numFmtId="44" fontId="3" fillId="0" borderId="10" xfId="1" applyFont="1" applyFill="1" applyBorder="1"/>
    <xf numFmtId="166" fontId="13" fillId="0" borderId="5" xfId="0" applyNumberFormat="1" applyFont="1" applyBorder="1" applyAlignment="1">
      <alignment horizontal="left"/>
    </xf>
    <xf numFmtId="15" fontId="3" fillId="0" borderId="11" xfId="0" applyNumberFormat="1" applyFont="1" applyBorder="1"/>
    <xf numFmtId="44" fontId="3" fillId="0" borderId="12" xfId="1" applyFont="1" applyFill="1" applyBorder="1"/>
    <xf numFmtId="15" fontId="3" fillId="0" borderId="13" xfId="0" applyNumberFormat="1" applyFont="1" applyBorder="1"/>
    <xf numFmtId="165" fontId="1" fillId="0" borderId="0" xfId="1" applyNumberFormat="1"/>
    <xf numFmtId="44" fontId="3" fillId="0" borderId="14" xfId="1" applyFont="1" applyFill="1" applyBorder="1"/>
    <xf numFmtId="44" fontId="3" fillId="0" borderId="15" xfId="1" applyFont="1" applyFill="1" applyBorder="1"/>
    <xf numFmtId="44" fontId="3" fillId="0" borderId="0" xfId="1" applyFont="1" applyFill="1" applyBorder="1"/>
    <xf numFmtId="166" fontId="14" fillId="0" borderId="5" xfId="0" applyNumberFormat="1" applyFont="1" applyBorder="1"/>
    <xf numFmtId="44" fontId="3" fillId="0" borderId="16" xfId="1" applyFont="1" applyFill="1" applyBorder="1"/>
    <xf numFmtId="165" fontId="15" fillId="0" borderId="0" xfId="1" applyNumberFormat="1" applyFont="1" applyFill="1" applyAlignment="1">
      <alignment horizontal="center"/>
    </xf>
    <xf numFmtId="166" fontId="3" fillId="0" borderId="18" xfId="0" applyNumberFormat="1" applyFont="1" applyBorder="1"/>
    <xf numFmtId="44" fontId="16" fillId="0" borderId="0" xfId="1" applyFont="1" applyFill="1" applyBorder="1" applyAlignment="1">
      <alignment horizontal="right"/>
    </xf>
    <xf numFmtId="166" fontId="17" fillId="0" borderId="5" xfId="0" applyNumberFormat="1" applyFont="1" applyBorder="1"/>
    <xf numFmtId="166" fontId="3" fillId="0" borderId="0" xfId="0" applyNumberFormat="1" applyFont="1"/>
    <xf numFmtId="44" fontId="3" fillId="0" borderId="0" xfId="1" applyFont="1" applyFill="1" applyBorder="1" applyAlignment="1">
      <alignment horizontal="right"/>
    </xf>
    <xf numFmtId="166" fontId="13" fillId="0" borderId="5" xfId="0" applyNumberFormat="1" applyFont="1" applyBorder="1"/>
    <xf numFmtId="0" fontId="3" fillId="0" borderId="17" xfId="0" applyFont="1" applyBorder="1"/>
    <xf numFmtId="165" fontId="3" fillId="0" borderId="19" xfId="0" applyNumberFormat="1" applyFont="1" applyBorder="1" applyAlignment="1">
      <alignment horizontal="left"/>
    </xf>
    <xf numFmtId="44" fontId="3" fillId="0" borderId="18" xfId="1" applyFont="1" applyFill="1" applyBorder="1" applyAlignment="1">
      <alignment horizontal="right"/>
    </xf>
    <xf numFmtId="44" fontId="3" fillId="0" borderId="18" xfId="1" applyFont="1" applyFill="1" applyBorder="1"/>
    <xf numFmtId="44" fontId="19" fillId="0" borderId="0" xfId="1" applyFont="1" applyFill="1" applyBorder="1" applyAlignment="1">
      <alignment horizontal="center"/>
    </xf>
    <xf numFmtId="165" fontId="15" fillId="0" borderId="0" xfId="1" applyNumberFormat="1" applyFont="1" applyAlignment="1">
      <alignment horizontal="center"/>
    </xf>
    <xf numFmtId="16" fontId="3" fillId="0" borderId="19" xfId="0" applyNumberFormat="1" applyFont="1" applyBorder="1"/>
    <xf numFmtId="0" fontId="3" fillId="0" borderId="20" xfId="0" applyFont="1" applyBorder="1"/>
    <xf numFmtId="44" fontId="3" fillId="0" borderId="21" xfId="1" applyFont="1" applyFill="1" applyBorder="1"/>
    <xf numFmtId="165" fontId="3" fillId="0" borderId="0" xfId="1" applyNumberFormat="1" applyFont="1" applyAlignment="1">
      <alignment horizontal="center"/>
    </xf>
    <xf numFmtId="0" fontId="3" fillId="0" borderId="0" xfId="0" applyFont="1"/>
    <xf numFmtId="44" fontId="3" fillId="0" borderId="21" xfId="1" applyFont="1" applyFill="1" applyBorder="1" applyAlignment="1">
      <alignment horizontal="right"/>
    </xf>
    <xf numFmtId="165" fontId="15" fillId="0" borderId="13" xfId="1" applyNumberFormat="1" applyFont="1" applyBorder="1" applyAlignment="1">
      <alignment horizontal="center"/>
    </xf>
    <xf numFmtId="0" fontId="20" fillId="0" borderId="19" xfId="0" applyFont="1" applyBorder="1" applyAlignment="1">
      <alignment horizontal="left"/>
    </xf>
    <xf numFmtId="44" fontId="15" fillId="0" borderId="18" xfId="1" applyFont="1" applyFill="1" applyBorder="1" applyAlignment="1">
      <alignment horizontal="right"/>
    </xf>
    <xf numFmtId="44" fontId="16" fillId="0" borderId="0" xfId="1" applyFont="1" applyFill="1" applyBorder="1" applyAlignment="1">
      <alignment horizontal="center"/>
    </xf>
    <xf numFmtId="165" fontId="15" fillId="0" borderId="2" xfId="0" applyNumberFormat="1" applyFont="1" applyBorder="1" applyAlignment="1">
      <alignment horizontal="center"/>
    </xf>
    <xf numFmtId="0" fontId="15" fillId="0" borderId="19" xfId="0" applyFont="1" applyBorder="1" applyAlignment="1">
      <alignment horizontal="left"/>
    </xf>
    <xf numFmtId="44" fontId="15" fillId="0" borderId="22" xfId="1" applyFont="1" applyBorder="1" applyAlignment="1">
      <alignment horizontal="right"/>
    </xf>
    <xf numFmtId="165" fontId="17" fillId="0" borderId="13" xfId="1" applyNumberFormat="1" applyFont="1" applyBorder="1" applyAlignment="1">
      <alignment horizontal="left"/>
    </xf>
    <xf numFmtId="0" fontId="15" fillId="0" borderId="17" xfId="0" applyFont="1" applyBorder="1" applyAlignment="1">
      <alignment horizontal="left"/>
    </xf>
    <xf numFmtId="44" fontId="15" fillId="0" borderId="17" xfId="1" applyFont="1" applyFill="1" applyBorder="1" applyAlignment="1">
      <alignment horizontal="right"/>
    </xf>
    <xf numFmtId="0" fontId="17" fillId="0" borderId="19" xfId="0" applyFont="1" applyBorder="1" applyAlignment="1">
      <alignment horizontal="left"/>
    </xf>
    <xf numFmtId="165" fontId="17" fillId="0" borderId="17" xfId="1" applyNumberFormat="1" applyFont="1" applyFill="1" applyBorder="1" applyAlignment="1">
      <alignment horizontal="left"/>
    </xf>
    <xf numFmtId="0" fontId="17" fillId="0" borderId="17" xfId="0" applyFont="1" applyBorder="1" applyAlignment="1">
      <alignment horizontal="left"/>
    </xf>
    <xf numFmtId="166" fontId="21" fillId="0" borderId="5" xfId="0" applyNumberFormat="1" applyFont="1" applyBorder="1"/>
    <xf numFmtId="166" fontId="14" fillId="0" borderId="23" xfId="0" applyNumberFormat="1" applyFont="1" applyBorder="1"/>
    <xf numFmtId="44" fontId="3" fillId="0" borderId="24" xfId="1" applyFont="1" applyFill="1" applyBorder="1"/>
    <xf numFmtId="16" fontId="15" fillId="0" borderId="25" xfId="0" applyNumberFormat="1" applyFont="1" applyBorder="1" applyAlignment="1">
      <alignment horizontal="left"/>
    </xf>
    <xf numFmtId="44" fontId="15" fillId="0" borderId="0" xfId="1" applyFont="1" applyFill="1" applyBorder="1"/>
    <xf numFmtId="44" fontId="3" fillId="0" borderId="26" xfId="1" applyFont="1" applyFill="1" applyBorder="1"/>
    <xf numFmtId="44" fontId="3" fillId="0" borderId="27" xfId="1" applyFont="1" applyFill="1" applyBorder="1"/>
    <xf numFmtId="166" fontId="13" fillId="0" borderId="23" xfId="0" applyNumberFormat="1" applyFont="1" applyBorder="1"/>
    <xf numFmtId="44" fontId="3" fillId="0" borderId="17" xfId="1" applyFont="1" applyFill="1" applyBorder="1"/>
    <xf numFmtId="166" fontId="17" fillId="0" borderId="23" xfId="0" applyNumberFormat="1" applyFont="1" applyBorder="1"/>
    <xf numFmtId="166" fontId="15" fillId="0" borderId="17" xfId="0" applyNumberFormat="1" applyFont="1" applyBorder="1"/>
    <xf numFmtId="166" fontId="15" fillId="0" borderId="23" xfId="0" applyNumberFormat="1" applyFont="1" applyBorder="1"/>
    <xf numFmtId="44" fontId="3" fillId="0" borderId="28" xfId="1" applyFont="1" applyFill="1" applyBorder="1"/>
    <xf numFmtId="44" fontId="3" fillId="0" borderId="30" xfId="1" applyFont="1" applyFill="1" applyBorder="1"/>
    <xf numFmtId="166" fontId="15" fillId="0" borderId="0" xfId="0" applyNumberFormat="1" applyFont="1"/>
    <xf numFmtId="44" fontId="3" fillId="0" borderId="1" xfId="1" applyFont="1" applyFill="1" applyBorder="1"/>
    <xf numFmtId="164" fontId="15" fillId="0" borderId="31" xfId="0" applyNumberFormat="1" applyFont="1" applyBorder="1" applyAlignment="1">
      <alignment horizontal="center"/>
    </xf>
    <xf numFmtId="44" fontId="10" fillId="0" borderId="32" xfId="1" applyFont="1" applyBorder="1"/>
    <xf numFmtId="0" fontId="0" fillId="0" borderId="33" xfId="0" applyBorder="1"/>
    <xf numFmtId="0" fontId="16" fillId="0" borderId="33" xfId="0" applyFont="1" applyBorder="1" applyAlignment="1">
      <alignment horizontal="center"/>
    </xf>
    <xf numFmtId="44" fontId="22" fillId="0" borderId="33" xfId="1" applyFont="1" applyBorder="1"/>
    <xf numFmtId="0" fontId="3" fillId="0" borderId="33" xfId="0" applyFont="1" applyBorder="1" applyAlignment="1">
      <alignment horizontal="center"/>
    </xf>
    <xf numFmtId="44" fontId="3" fillId="0" borderId="34" xfId="1" applyFont="1" applyBorder="1"/>
    <xf numFmtId="165" fontId="3" fillId="0" borderId="0" xfId="1" applyNumberFormat="1" applyFont="1" applyBorder="1"/>
    <xf numFmtId="166" fontId="3" fillId="0" borderId="35" xfId="0" applyNumberFormat="1" applyFont="1" applyBorder="1" applyAlignment="1">
      <alignment horizontal="center"/>
    </xf>
    <xf numFmtId="166" fontId="7" fillId="0" borderId="36" xfId="0" applyNumberFormat="1" applyFont="1" applyBorder="1"/>
    <xf numFmtId="44" fontId="16" fillId="0" borderId="0" xfId="1" applyFont="1" applyFill="1" applyAlignment="1">
      <alignment horizontal="right"/>
    </xf>
    <xf numFmtId="167" fontId="23" fillId="0" borderId="0" xfId="1" applyNumberFormat="1" applyFont="1" applyFill="1" applyBorder="1" applyAlignment="1">
      <alignment horizontal="right" vertical="center" wrapText="1"/>
    </xf>
    <xf numFmtId="167" fontId="6" fillId="0" borderId="0" xfId="1" applyNumberFormat="1" applyFont="1" applyFill="1" applyBorder="1" applyAlignment="1">
      <alignment horizontal="center" vertical="center" wrapText="1"/>
    </xf>
    <xf numFmtId="164" fontId="24" fillId="0" borderId="0" xfId="0" applyNumberFormat="1" applyFont="1" applyAlignment="1">
      <alignment horizontal="center"/>
    </xf>
    <xf numFmtId="44" fontId="7" fillId="0" borderId="17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7" fillId="0" borderId="0" xfId="1" applyFont="1"/>
    <xf numFmtId="0" fontId="3" fillId="0" borderId="18" xfId="0" applyFont="1" applyBorder="1" applyAlignment="1">
      <alignment horizontal="left"/>
    </xf>
    <xf numFmtId="165" fontId="7" fillId="0" borderId="39" xfId="0" applyNumberFormat="1" applyFont="1" applyBorder="1" applyAlignment="1">
      <alignment vertical="center"/>
    </xf>
    <xf numFmtId="164" fontId="25" fillId="0" borderId="0" xfId="1" applyNumberFormat="1" applyFont="1" applyAlignment="1">
      <alignment horizontal="left"/>
    </xf>
    <xf numFmtId="0" fontId="3" fillId="0" borderId="0" xfId="0" applyFont="1" applyAlignment="1">
      <alignment horizontal="right"/>
    </xf>
    <xf numFmtId="44" fontId="7" fillId="0" borderId="17" xfId="1" applyFont="1" applyFill="1" applyBorder="1"/>
    <xf numFmtId="44" fontId="27" fillId="0" borderId="1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5" fillId="0" borderId="0" xfId="0" applyFont="1"/>
    <xf numFmtId="44" fontId="29" fillId="0" borderId="0" xfId="1" applyFont="1"/>
    <xf numFmtId="165" fontId="3" fillId="0" borderId="0" xfId="0" applyNumberFormat="1" applyFont="1" applyAlignment="1">
      <alignment horizontal="center"/>
    </xf>
    <xf numFmtId="44" fontId="6" fillId="0" borderId="0" xfId="1" applyFont="1"/>
    <xf numFmtId="44" fontId="5" fillId="0" borderId="0" xfId="1" applyFont="1"/>
    <xf numFmtId="165" fontId="0" fillId="0" borderId="0" xfId="0" applyNumberFormat="1"/>
    <xf numFmtId="44" fontId="1" fillId="0" borderId="0" xfId="1" applyBorder="1"/>
    <xf numFmtId="0" fontId="3" fillId="0" borderId="0" xfId="0" applyFont="1" applyFill="1"/>
    <xf numFmtId="44" fontId="3" fillId="0" borderId="0" xfId="1" applyFont="1" applyBorder="1"/>
    <xf numFmtId="167" fontId="3" fillId="0" borderId="0" xfId="1" applyNumberFormat="1" applyFont="1" applyFill="1" applyBorder="1" applyAlignment="1">
      <alignment horizontal="right"/>
    </xf>
    <xf numFmtId="166" fontId="3" fillId="0" borderId="0" xfId="1" applyNumberFormat="1" applyFont="1" applyFill="1" applyBorder="1" applyAlignment="1">
      <alignment horizontal="right"/>
    </xf>
    <xf numFmtId="0" fontId="3" fillId="0" borderId="0" xfId="0" applyFont="1" applyBorder="1"/>
    <xf numFmtId="44" fontId="3" fillId="0" borderId="0" xfId="0" applyNumberFormat="1" applyFont="1" applyBorder="1"/>
    <xf numFmtId="0" fontId="3" fillId="0" borderId="0" xfId="0" applyFont="1" applyFill="1" applyBorder="1"/>
    <xf numFmtId="164" fontId="3" fillId="0" borderId="9" xfId="0" applyNumberFormat="1" applyFont="1" applyFill="1" applyBorder="1" applyAlignment="1">
      <alignment horizontal="center"/>
    </xf>
    <xf numFmtId="166" fontId="17" fillId="0" borderId="5" xfId="0" applyNumberFormat="1" applyFont="1" applyFill="1" applyBorder="1"/>
    <xf numFmtId="15" fontId="3" fillId="0" borderId="11" xfId="0" applyNumberFormat="1" applyFont="1" applyFill="1" applyBorder="1"/>
    <xf numFmtId="166" fontId="13" fillId="0" borderId="5" xfId="0" applyNumberFormat="1" applyFont="1" applyFill="1" applyBorder="1"/>
    <xf numFmtId="166" fontId="15" fillId="0" borderId="5" xfId="0" applyNumberFormat="1" applyFont="1" applyFill="1" applyBorder="1"/>
    <xf numFmtId="166" fontId="14" fillId="0" borderId="5" xfId="0" applyNumberFormat="1" applyFont="1" applyFill="1" applyBorder="1"/>
    <xf numFmtId="0" fontId="8" fillId="0" borderId="0" xfId="0" applyFont="1" applyBorder="1"/>
    <xf numFmtId="0" fontId="11" fillId="0" borderId="0" xfId="0" applyFont="1" applyBorder="1"/>
    <xf numFmtId="0" fontId="0" fillId="0" borderId="47" xfId="0" applyBorder="1" applyAlignment="1">
      <alignment horizontal="center"/>
    </xf>
    <xf numFmtId="0" fontId="0" fillId="0" borderId="17" xfId="0" applyBorder="1" applyAlignment="1">
      <alignment horizontal="center"/>
    </xf>
    <xf numFmtId="166" fontId="0" fillId="0" borderId="17" xfId="0" applyNumberFormat="1" applyBorder="1"/>
    <xf numFmtId="166" fontId="2" fillId="0" borderId="17" xfId="0" applyNumberFormat="1" applyFont="1" applyBorder="1" applyAlignment="1">
      <alignment horizontal="center"/>
    </xf>
    <xf numFmtId="166" fontId="2" fillId="0" borderId="17" xfId="0" applyNumberFormat="1" applyFont="1" applyBorder="1"/>
    <xf numFmtId="166" fontId="0" fillId="0" borderId="25" xfId="0" applyNumberFormat="1" applyBorder="1"/>
    <xf numFmtId="166" fontId="0" fillId="0" borderId="8" xfId="0" applyNumberFormat="1" applyBorder="1"/>
    <xf numFmtId="166" fontId="0" fillId="0" borderId="0" xfId="0" applyNumberFormat="1"/>
    <xf numFmtId="166" fontId="0" fillId="6" borderId="8" xfId="0" applyNumberFormat="1" applyFill="1" applyBorder="1" applyAlignment="1">
      <alignment horizontal="center"/>
    </xf>
    <xf numFmtId="44" fontId="3" fillId="0" borderId="49" xfId="1" applyFont="1" applyFill="1" applyBorder="1"/>
    <xf numFmtId="165" fontId="7" fillId="0" borderId="5" xfId="0" applyNumberFormat="1" applyFont="1" applyFill="1" applyBorder="1" applyAlignment="1">
      <alignment horizontal="left"/>
    </xf>
    <xf numFmtId="44" fontId="12" fillId="3" borderId="40" xfId="1" applyFont="1" applyFill="1" applyBorder="1" applyAlignment="1">
      <alignment horizontal="center"/>
    </xf>
    <xf numFmtId="44" fontId="3" fillId="0" borderId="50" xfId="1" applyFont="1" applyFill="1" applyBorder="1"/>
    <xf numFmtId="44" fontId="7" fillId="0" borderId="37" xfId="1" applyFont="1" applyFill="1" applyBorder="1" applyAlignment="1">
      <alignment horizontal="center"/>
    </xf>
    <xf numFmtId="164" fontId="9" fillId="0" borderId="43" xfId="0" applyNumberFormat="1" applyFont="1" applyBorder="1" applyAlignment="1">
      <alignment horizontal="center"/>
    </xf>
    <xf numFmtId="44" fontId="10" fillId="0" borderId="51" xfId="1" applyFont="1" applyBorder="1"/>
    <xf numFmtId="164" fontId="3" fillId="0" borderId="52" xfId="0" applyNumberFormat="1" applyFont="1" applyBorder="1" applyAlignment="1">
      <alignment horizontal="center"/>
    </xf>
    <xf numFmtId="44" fontId="7" fillId="0" borderId="42" xfId="1" applyFont="1" applyBorder="1"/>
    <xf numFmtId="15" fontId="3" fillId="0" borderId="55" xfId="0" applyNumberFormat="1" applyFont="1" applyBorder="1"/>
    <xf numFmtId="44" fontId="7" fillId="0" borderId="42" xfId="1" applyFont="1" applyBorder="1" applyAlignment="1">
      <alignment horizontal="center"/>
    </xf>
    <xf numFmtId="165" fontId="7" fillId="0" borderId="56" xfId="0" applyNumberFormat="1" applyFont="1" applyFill="1" applyBorder="1" applyAlignment="1">
      <alignment horizontal="left"/>
    </xf>
    <xf numFmtId="0" fontId="0" fillId="0" borderId="0" xfId="0" applyBorder="1"/>
    <xf numFmtId="44" fontId="3" fillId="0" borderId="57" xfId="1" applyFont="1" applyBorder="1" applyAlignment="1">
      <alignment horizontal="center"/>
    </xf>
    <xf numFmtId="44" fontId="3" fillId="0" borderId="2" xfId="1" applyFont="1" applyFill="1" applyBorder="1"/>
    <xf numFmtId="44" fontId="3" fillId="0" borderId="58" xfId="1" applyFont="1" applyFill="1" applyBorder="1"/>
    <xf numFmtId="165" fontId="11" fillId="0" borderId="51" xfId="0" applyNumberFormat="1" applyFont="1" applyBorder="1"/>
    <xf numFmtId="165" fontId="11" fillId="0" borderId="13" xfId="0" applyNumberFormat="1" applyFont="1" applyBorder="1"/>
    <xf numFmtId="165" fontId="3" fillId="0" borderId="39" xfId="0" applyNumberFormat="1" applyFont="1" applyBorder="1" applyAlignment="1">
      <alignment horizontal="left"/>
    </xf>
    <xf numFmtId="16" fontId="18" fillId="0" borderId="39" xfId="0" applyNumberFormat="1" applyFont="1" applyBorder="1"/>
    <xf numFmtId="44" fontId="7" fillId="0" borderId="59" xfId="1" applyFont="1" applyBorder="1"/>
    <xf numFmtId="44" fontId="3" fillId="0" borderId="59" xfId="1" applyFont="1" applyFill="1" applyBorder="1"/>
    <xf numFmtId="165" fontId="10" fillId="0" borderId="59" xfId="1" applyNumberFormat="1" applyFont="1" applyFill="1" applyBorder="1"/>
    <xf numFmtId="165" fontId="17" fillId="0" borderId="59" xfId="1" applyNumberFormat="1" applyFont="1" applyFill="1" applyBorder="1" applyAlignment="1">
      <alignment horizontal="center"/>
    </xf>
    <xf numFmtId="0" fontId="6" fillId="0" borderId="0" xfId="0" applyFont="1" applyBorder="1" applyAlignment="1"/>
    <xf numFmtId="44" fontId="3" fillId="0" borderId="17" xfId="1" applyFont="1" applyFill="1" applyBorder="1" applyAlignment="1">
      <alignment horizontal="right"/>
    </xf>
    <xf numFmtId="165" fontId="15" fillId="0" borderId="17" xfId="1" applyNumberFormat="1" applyFont="1" applyFill="1" applyBorder="1" applyAlignment="1">
      <alignment horizontal="center"/>
    </xf>
    <xf numFmtId="166" fontId="3" fillId="0" borderId="17" xfId="0" applyNumberFormat="1" applyFont="1" applyBorder="1"/>
    <xf numFmtId="0" fontId="3" fillId="0" borderId="17" xfId="0" applyFont="1" applyBorder="1" applyAlignment="1">
      <alignment horizontal="left"/>
    </xf>
    <xf numFmtId="166" fontId="3" fillId="0" borderId="18" xfId="0" applyNumberFormat="1" applyFont="1" applyFill="1" applyBorder="1"/>
    <xf numFmtId="44" fontId="3" fillId="0" borderId="60" xfId="1" applyFont="1" applyFill="1" applyBorder="1"/>
    <xf numFmtId="44" fontId="3" fillId="0" borderId="61" xfId="1" applyFont="1" applyFill="1" applyBorder="1"/>
    <xf numFmtId="0" fontId="11" fillId="0" borderId="62" xfId="0" applyFont="1" applyBorder="1"/>
    <xf numFmtId="0" fontId="11" fillId="0" borderId="63" xfId="0" applyFont="1" applyBorder="1"/>
    <xf numFmtId="0" fontId="0" fillId="0" borderId="9" xfId="0" applyBorder="1"/>
    <xf numFmtId="0" fontId="0" fillId="0" borderId="64" xfId="0" applyBorder="1"/>
    <xf numFmtId="0" fontId="7" fillId="0" borderId="19" xfId="0" applyFont="1" applyFill="1" applyBorder="1" applyAlignment="1">
      <alignment horizontal="center"/>
    </xf>
    <xf numFmtId="166" fontId="3" fillId="0" borderId="65" xfId="0" applyNumberFormat="1" applyFont="1" applyFill="1" applyBorder="1"/>
    <xf numFmtId="0" fontId="3" fillId="0" borderId="9" xfId="0" applyFont="1" applyFill="1" applyBorder="1"/>
    <xf numFmtId="166" fontId="3" fillId="0" borderId="64" xfId="0" applyNumberFormat="1" applyFont="1" applyFill="1" applyBorder="1"/>
    <xf numFmtId="0" fontId="3" fillId="0" borderId="19" xfId="0" applyFont="1" applyFill="1" applyBorder="1"/>
    <xf numFmtId="165" fontId="3" fillId="0" borderId="0" xfId="1" applyNumberFormat="1" applyFont="1" applyFill="1" applyAlignment="1">
      <alignment horizontal="center"/>
    </xf>
    <xf numFmtId="165" fontId="3" fillId="0" borderId="17" xfId="1" applyNumberFormat="1" applyFont="1" applyFill="1" applyBorder="1" applyAlignment="1">
      <alignment horizontal="center"/>
    </xf>
    <xf numFmtId="44" fontId="0" fillId="0" borderId="47" xfId="1" applyFont="1" applyBorder="1" applyAlignment="1">
      <alignment horizontal="center"/>
    </xf>
    <xf numFmtId="44" fontId="0" fillId="0" borderId="17" xfId="1" applyFont="1" applyBorder="1" applyAlignment="1">
      <alignment horizontal="center"/>
    </xf>
    <xf numFmtId="44" fontId="0" fillId="0" borderId="29" xfId="1" applyFont="1" applyFill="1" applyBorder="1" applyAlignment="1">
      <alignment horizontal="center"/>
    </xf>
    <xf numFmtId="44" fontId="2" fillId="0" borderId="17" xfId="1" applyFont="1" applyBorder="1" applyAlignment="1">
      <alignment horizontal="center"/>
    </xf>
    <xf numFmtId="44" fontId="0" fillId="0" borderId="25" xfId="1" applyFont="1" applyBorder="1" applyAlignment="1">
      <alignment horizontal="center"/>
    </xf>
    <xf numFmtId="44" fontId="0" fillId="0" borderId="8" xfId="1" applyFont="1" applyBorder="1"/>
    <xf numFmtId="44" fontId="32" fillId="0" borderId="17" xfId="1" applyFont="1" applyBorder="1" applyAlignment="1">
      <alignment horizontal="center"/>
    </xf>
    <xf numFmtId="164" fontId="0" fillId="0" borderId="47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3" fillId="0" borderId="48" xfId="0" applyNumberFormat="1" applyFont="1" applyBorder="1" applyAlignment="1">
      <alignment horizontal="center"/>
    </xf>
    <xf numFmtId="164" fontId="3" fillId="0" borderId="17" xfId="0" applyNumberFormat="1" applyFont="1" applyBorder="1" applyAlignment="1">
      <alignment horizontal="center"/>
    </xf>
    <xf numFmtId="164" fontId="0" fillId="0" borderId="0" xfId="0" applyNumberFormat="1"/>
    <xf numFmtId="168" fontId="26" fillId="0" borderId="18" xfId="1" applyNumberFormat="1" applyFont="1" applyBorder="1" applyAlignment="1">
      <alignment horizontal="center"/>
    </xf>
    <xf numFmtId="0" fontId="3" fillId="2" borderId="39" xfId="0" applyFont="1" applyFill="1" applyBorder="1" applyAlignment="1">
      <alignment horizontal="center"/>
    </xf>
    <xf numFmtId="0" fontId="7" fillId="7" borderId="39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65" fontId="15" fillId="0" borderId="59" xfId="1" applyNumberFormat="1" applyFont="1" applyFill="1" applyBorder="1" applyAlignment="1">
      <alignment horizontal="left"/>
    </xf>
    <xf numFmtId="44" fontId="3" fillId="0" borderId="66" xfId="1" applyFont="1" applyFill="1" applyBorder="1"/>
    <xf numFmtId="44" fontId="3" fillId="0" borderId="67" xfId="1" applyFont="1" applyFill="1" applyBorder="1"/>
    <xf numFmtId="44" fontId="3" fillId="0" borderId="68" xfId="1" applyFont="1" applyFill="1" applyBorder="1"/>
    <xf numFmtId="44" fontId="3" fillId="0" borderId="37" xfId="1" applyFont="1" applyFill="1" applyBorder="1" applyAlignment="1">
      <alignment horizontal="center"/>
    </xf>
    <xf numFmtId="44" fontId="17" fillId="0" borderId="17" xfId="1" applyFont="1" applyFill="1" applyBorder="1" applyAlignment="1">
      <alignment horizontal="right"/>
    </xf>
    <xf numFmtId="44" fontId="9" fillId="0" borderId="0" xfId="0" applyNumberFormat="1" applyFont="1"/>
    <xf numFmtId="165" fontId="3" fillId="0" borderId="0" xfId="1" applyNumberFormat="1" applyFont="1" applyAlignment="1">
      <alignment horizontal="left"/>
    </xf>
    <xf numFmtId="44" fontId="6" fillId="3" borderId="8" xfId="1" applyFont="1" applyFill="1" applyBorder="1" applyAlignment="1">
      <alignment horizontal="center"/>
    </xf>
    <xf numFmtId="16" fontId="3" fillId="0" borderId="17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44" fontId="20" fillId="0" borderId="17" xfId="1" applyFont="1" applyBorder="1" applyAlignment="1">
      <alignment horizontal="center"/>
    </xf>
    <xf numFmtId="44" fontId="3" fillId="0" borderId="17" xfId="1" applyFont="1" applyBorder="1" applyAlignment="1">
      <alignment horizontal="center"/>
    </xf>
    <xf numFmtId="16" fontId="35" fillId="0" borderId="17" xfId="0" applyNumberFormat="1" applyFont="1" applyBorder="1" applyAlignment="1">
      <alignment horizontal="center"/>
    </xf>
    <xf numFmtId="0" fontId="35" fillId="0" borderId="17" xfId="0" applyFont="1" applyBorder="1" applyAlignment="1">
      <alignment horizontal="center"/>
    </xf>
    <xf numFmtId="44" fontId="35" fillId="0" borderId="17" xfId="1" applyFont="1" applyBorder="1" applyAlignment="1">
      <alignment horizontal="center"/>
    </xf>
    <xf numFmtId="16" fontId="15" fillId="0" borderId="48" xfId="0" applyNumberFormat="1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16" fontId="15" fillId="0" borderId="17" xfId="0" applyNumberFormat="1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0" fillId="2" borderId="0" xfId="0" applyFill="1"/>
    <xf numFmtId="44" fontId="15" fillId="0" borderId="48" xfId="1" applyFont="1" applyBorder="1" applyAlignment="1">
      <alignment horizontal="center"/>
    </xf>
    <xf numFmtId="44" fontId="15" fillId="0" borderId="17" xfId="1" applyFont="1" applyBorder="1" applyAlignment="1">
      <alignment horizontal="center"/>
    </xf>
    <xf numFmtId="0" fontId="3" fillId="0" borderId="47" xfId="0" applyFont="1" applyBorder="1" applyAlignment="1">
      <alignment horizontal="center"/>
    </xf>
    <xf numFmtId="44" fontId="3" fillId="0" borderId="47" xfId="1" applyFont="1" applyBorder="1" applyAlignment="1">
      <alignment horizontal="center"/>
    </xf>
    <xf numFmtId="0" fontId="0" fillId="0" borderId="72" xfId="0" applyBorder="1" applyAlignment="1">
      <alignment horizontal="center"/>
    </xf>
    <xf numFmtId="166" fontId="3" fillId="0" borderId="18" xfId="0" applyNumberFormat="1" applyFont="1" applyBorder="1" applyAlignment="1">
      <alignment horizontal="center"/>
    </xf>
    <xf numFmtId="166" fontId="20" fillId="0" borderId="18" xfId="0" applyNumberFormat="1" applyFont="1" applyBorder="1" applyAlignment="1">
      <alignment horizontal="center"/>
    </xf>
    <xf numFmtId="166" fontId="15" fillId="0" borderId="73" xfId="0" applyNumberFormat="1" applyFont="1" applyBorder="1" applyAlignment="1">
      <alignment horizontal="center"/>
    </xf>
    <xf numFmtId="166" fontId="15" fillId="0" borderId="18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0" xfId="0" applyNumberFormat="1" applyFont="1" applyBorder="1"/>
    <xf numFmtId="166" fontId="20" fillId="0" borderId="0" xfId="0" applyNumberFormat="1" applyFont="1" applyBorder="1" applyAlignment="1">
      <alignment horizontal="center"/>
    </xf>
    <xf numFmtId="166" fontId="15" fillId="0" borderId="0" xfId="0" applyNumberFormat="1" applyFont="1" applyBorder="1" applyAlignment="1">
      <alignment horizontal="center"/>
    </xf>
    <xf numFmtId="166" fontId="15" fillId="0" borderId="0" xfId="0" applyNumberFormat="1" applyFont="1" applyBorder="1"/>
    <xf numFmtId="0" fontId="3" fillId="0" borderId="19" xfId="0" applyFont="1" applyBorder="1" applyAlignment="1">
      <alignment horizontal="left"/>
    </xf>
    <xf numFmtId="16" fontId="3" fillId="0" borderId="25" xfId="0" applyNumberFormat="1" applyFont="1" applyBorder="1" applyAlignment="1">
      <alignment horizontal="left"/>
    </xf>
    <xf numFmtId="44" fontId="17" fillId="0" borderId="0" xfId="1" applyFont="1" applyFill="1" applyBorder="1" applyAlignment="1">
      <alignment horizontal="right"/>
    </xf>
    <xf numFmtId="44" fontId="15" fillId="0" borderId="0" xfId="1" applyFont="1" applyFill="1" applyBorder="1" applyAlignment="1">
      <alignment horizontal="right"/>
    </xf>
    <xf numFmtId="44" fontId="9" fillId="0" borderId="0" xfId="0" applyNumberFormat="1" applyFont="1" applyBorder="1"/>
    <xf numFmtId="44" fontId="3" fillId="2" borderId="0" xfId="1" applyFont="1" applyFill="1" applyAlignment="1">
      <alignment horizontal="center"/>
    </xf>
    <xf numFmtId="44" fontId="3" fillId="0" borderId="42" xfId="1" applyFont="1" applyBorder="1" applyAlignment="1">
      <alignment horizontal="center"/>
    </xf>
    <xf numFmtId="44" fontId="20" fillId="0" borderId="0" xfId="1" applyFont="1" applyFill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44" fontId="3" fillId="0" borderId="74" xfId="1" applyFont="1" applyFill="1" applyBorder="1"/>
    <xf numFmtId="15" fontId="3" fillId="0" borderId="43" xfId="0" applyNumberFormat="1" applyFont="1" applyBorder="1"/>
    <xf numFmtId="15" fontId="3" fillId="0" borderId="0" xfId="0" applyNumberFormat="1" applyFont="1" applyBorder="1"/>
    <xf numFmtId="165" fontId="17" fillId="0" borderId="0" xfId="1" applyNumberFormat="1" applyFont="1" applyFill="1" applyBorder="1" applyAlignment="1">
      <alignment horizontal="left"/>
    </xf>
    <xf numFmtId="0" fontId="3" fillId="2" borderId="20" xfId="0" applyFont="1" applyFill="1" applyBorder="1" applyAlignment="1">
      <alignment horizontal="center"/>
    </xf>
    <xf numFmtId="166" fontId="3" fillId="0" borderId="21" xfId="0" applyNumberFormat="1" applyFont="1" applyFill="1" applyBorder="1"/>
    <xf numFmtId="165" fontId="15" fillId="0" borderId="17" xfId="1" applyNumberFormat="1" applyFont="1" applyFill="1" applyBorder="1" applyAlignment="1">
      <alignment horizontal="left"/>
    </xf>
    <xf numFmtId="15" fontId="15" fillId="0" borderId="11" xfId="0" applyNumberFormat="1" applyFont="1" applyBorder="1"/>
    <xf numFmtId="44" fontId="15" fillId="0" borderId="17" xfId="1" applyFont="1" applyFill="1" applyBorder="1"/>
    <xf numFmtId="0" fontId="3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5" fontId="13" fillId="0" borderId="0" xfId="1" applyNumberFormat="1" applyFont="1" applyFill="1" applyAlignment="1">
      <alignment horizontal="center"/>
    </xf>
    <xf numFmtId="0" fontId="36" fillId="0" borderId="0" xfId="0" applyFont="1"/>
    <xf numFmtId="0" fontId="15" fillId="0" borderId="0" xfId="0" applyFont="1" applyAlignment="1">
      <alignment horizontal="center"/>
    </xf>
    <xf numFmtId="16" fontId="0" fillId="0" borderId="17" xfId="0" applyNumberFormat="1" applyBorder="1" applyAlignment="1">
      <alignment horizontal="center"/>
    </xf>
    <xf numFmtId="0" fontId="32" fillId="0" borderId="17" xfId="0" applyFont="1" applyBorder="1" applyAlignment="1">
      <alignment horizontal="center"/>
    </xf>
    <xf numFmtId="165" fontId="0" fillId="0" borderId="47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32" fillId="0" borderId="17" xfId="0" applyNumberFormat="1" applyFont="1" applyBorder="1" applyAlignment="1">
      <alignment horizontal="center"/>
    </xf>
    <xf numFmtId="165" fontId="3" fillId="0" borderId="17" xfId="0" applyNumberFormat="1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44" fontId="11" fillId="0" borderId="18" xfId="1" applyFont="1" applyBorder="1" applyAlignment="1">
      <alignment horizontal="center"/>
    </xf>
    <xf numFmtId="44" fontId="11" fillId="0" borderId="39" xfId="1" applyFont="1" applyBorder="1" applyAlignment="1">
      <alignment horizontal="center"/>
    </xf>
    <xf numFmtId="0" fontId="34" fillId="0" borderId="38" xfId="0" applyFont="1" applyBorder="1" applyAlignment="1">
      <alignment horizontal="center"/>
    </xf>
    <xf numFmtId="0" fontId="34" fillId="0" borderId="39" xfId="0" applyFont="1" applyBorder="1" applyAlignment="1">
      <alignment horizontal="center"/>
    </xf>
    <xf numFmtId="44" fontId="6" fillId="5" borderId="6" xfId="1" applyFont="1" applyFill="1" applyBorder="1" applyAlignment="1">
      <alignment horizontal="center"/>
    </xf>
    <xf numFmtId="44" fontId="6" fillId="5" borderId="41" xfId="1" applyFont="1" applyFill="1" applyBorder="1" applyAlignment="1">
      <alignment horizontal="center"/>
    </xf>
    <xf numFmtId="166" fontId="6" fillId="5" borderId="41" xfId="1" applyNumberFormat="1" applyFont="1" applyFill="1" applyBorder="1" applyAlignment="1">
      <alignment horizontal="center"/>
    </xf>
    <xf numFmtId="166" fontId="6" fillId="5" borderId="7" xfId="1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166" fontId="10" fillId="0" borderId="18" xfId="0" applyNumberFormat="1" applyFont="1" applyBorder="1" applyAlignment="1">
      <alignment horizontal="right" vertical="center" wrapText="1"/>
    </xf>
    <xf numFmtId="166" fontId="10" fillId="0" borderId="38" xfId="0" applyNumberFormat="1" applyFont="1" applyBorder="1" applyAlignment="1">
      <alignment horizontal="right" vertical="center" wrapText="1"/>
    </xf>
    <xf numFmtId="166" fontId="10" fillId="0" borderId="38" xfId="0" applyNumberFormat="1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166" fontId="10" fillId="0" borderId="0" xfId="0" applyNumberFormat="1" applyFont="1" applyAlignment="1">
      <alignment horizontal="center" vertical="center" wrapText="1"/>
    </xf>
    <xf numFmtId="166" fontId="15" fillId="0" borderId="0" xfId="0" applyNumberFormat="1" applyFont="1" applyAlignment="1">
      <alignment horizontal="center" vertical="center" wrapText="1"/>
    </xf>
    <xf numFmtId="44" fontId="10" fillId="0" borderId="18" xfId="1" applyFont="1" applyBorder="1" applyAlignment="1">
      <alignment horizontal="center" vertical="center" wrapText="1"/>
    </xf>
    <xf numFmtId="44" fontId="10" fillId="0" borderId="38" xfId="1" applyFont="1" applyBorder="1" applyAlignment="1">
      <alignment horizontal="center" vertical="center" wrapText="1"/>
    </xf>
    <xf numFmtId="44" fontId="6" fillId="0" borderId="38" xfId="1" applyFont="1" applyBorder="1" applyAlignment="1">
      <alignment horizontal="center"/>
    </xf>
    <xf numFmtId="44" fontId="6" fillId="0" borderId="39" xfId="1" applyFont="1" applyBorder="1" applyAlignment="1">
      <alignment horizontal="center"/>
    </xf>
    <xf numFmtId="0" fontId="4" fillId="0" borderId="0" xfId="0" applyFont="1"/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167" fontId="6" fillId="2" borderId="2" xfId="1" applyNumberFormat="1" applyFont="1" applyFill="1" applyBorder="1" applyAlignment="1">
      <alignment horizontal="center" vertical="center" wrapText="1"/>
    </xf>
    <xf numFmtId="167" fontId="6" fillId="2" borderId="37" xfId="1" applyNumberFormat="1" applyFont="1" applyFill="1" applyBorder="1" applyAlignment="1">
      <alignment horizontal="center" vertical="center" wrapText="1"/>
    </xf>
    <xf numFmtId="44" fontId="12" fillId="0" borderId="53" xfId="1" applyFont="1" applyBorder="1" applyAlignment="1">
      <alignment horizontal="center"/>
    </xf>
    <xf numFmtId="44" fontId="12" fillId="0" borderId="54" xfId="1" applyFont="1" applyBorder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69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44" fontId="7" fillId="0" borderId="70" xfId="1" applyFont="1" applyBorder="1" applyAlignment="1">
      <alignment horizontal="center" vertical="center"/>
    </xf>
    <xf numFmtId="44" fontId="7" fillId="0" borderId="71" xfId="1" applyFont="1" applyBorder="1" applyAlignment="1">
      <alignment horizontal="center" vertical="center"/>
    </xf>
    <xf numFmtId="165" fontId="7" fillId="7" borderId="0" xfId="0" applyNumberFormat="1" applyFont="1" applyFill="1" applyBorder="1" applyAlignment="1">
      <alignment horizontal="center"/>
    </xf>
    <xf numFmtId="44" fontId="12" fillId="2" borderId="53" xfId="1" applyFont="1" applyFill="1" applyBorder="1" applyAlignment="1">
      <alignment horizontal="center"/>
    </xf>
    <xf numFmtId="44" fontId="12" fillId="2" borderId="54" xfId="1" applyFont="1" applyFill="1" applyBorder="1" applyAlignment="1">
      <alignment horizontal="center"/>
    </xf>
    <xf numFmtId="166" fontId="15" fillId="0" borderId="30" xfId="0" applyNumberFormat="1" applyFont="1" applyBorder="1" applyAlignment="1">
      <alignment horizontal="center" vertical="center" wrapText="1"/>
    </xf>
    <xf numFmtId="44" fontId="7" fillId="0" borderId="30" xfId="1" applyFont="1" applyBorder="1"/>
    <xf numFmtId="44" fontId="12" fillId="0" borderId="75" xfId="1" applyFont="1" applyBorder="1"/>
    <xf numFmtId="44" fontId="11" fillId="0" borderId="18" xfId="1" applyFont="1" applyBorder="1" applyAlignment="1">
      <alignment horizontal="center" vertical="center" wrapText="1"/>
    </xf>
    <xf numFmtId="44" fontId="11" fillId="0" borderId="38" xfId="1" applyFont="1" applyBorder="1" applyAlignment="1">
      <alignment horizontal="center" vertical="center" wrapText="1"/>
    </xf>
    <xf numFmtId="44" fontId="0" fillId="8" borderId="17" xfId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0000FF"/>
      <color rgb="FF66FF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4B8C8B28-04A9-4783-9467-83204D086B26}"/>
            </a:ext>
          </a:extLst>
        </xdr:cNvPr>
        <xdr:cNvCxnSpPr/>
      </xdr:nvCxnSpPr>
      <xdr:spPr>
        <a:xfrm>
          <a:off x="5124450" y="86487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F3100857-DE87-4AC4-99FD-CFEC2209B6E4}"/>
            </a:ext>
          </a:extLst>
        </xdr:cNvPr>
        <xdr:cNvCxnSpPr/>
      </xdr:nvCxnSpPr>
      <xdr:spPr>
        <a:xfrm rot="10800000" flipV="1">
          <a:off x="5105400" y="90487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2773AC86-8898-4221-90B9-B09391B4F5EE}"/>
            </a:ext>
          </a:extLst>
        </xdr:cNvPr>
        <xdr:cNvCxnSpPr/>
      </xdr:nvCxnSpPr>
      <xdr:spPr>
        <a:xfrm>
          <a:off x="5019675" y="85439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7E1096DD-EE78-41C4-BA6C-B6036FECB808}"/>
            </a:ext>
          </a:extLst>
        </xdr:cNvPr>
        <xdr:cNvCxnSpPr/>
      </xdr:nvCxnSpPr>
      <xdr:spPr>
        <a:xfrm rot="10800000" flipV="1">
          <a:off x="5105400" y="90487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1FDA469-6FFC-4B39-87C6-E70D9C6333A8}"/>
            </a:ext>
          </a:extLst>
        </xdr:cNvPr>
        <xdr:cNvCxnSpPr/>
      </xdr:nvCxnSpPr>
      <xdr:spPr>
        <a:xfrm>
          <a:off x="2181225" y="85248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695323</xdr:colOff>
      <xdr:row>38</xdr:row>
      <xdr:rowOff>19050</xdr:rowOff>
    </xdr:from>
    <xdr:to>
      <xdr:col>13</xdr:col>
      <xdr:colOff>419099</xdr:colOff>
      <xdr:row>39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832AA8CA-B166-411B-B83E-C31E4193C2F8}"/>
            </a:ext>
          </a:extLst>
        </xdr:cNvPr>
        <xdr:cNvSpPr/>
      </xdr:nvSpPr>
      <xdr:spPr>
        <a:xfrm rot="5400000">
          <a:off x="10039347" y="7648576"/>
          <a:ext cx="342903" cy="933451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1219200</xdr:colOff>
      <xdr:row>43</xdr:row>
      <xdr:rowOff>95251</xdr:rowOff>
    </xdr:from>
    <xdr:to>
      <xdr:col>8</xdr:col>
      <xdr:colOff>19050</xdr:colOff>
      <xdr:row>47</xdr:row>
      <xdr:rowOff>95250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E387D03-FD1C-4ABA-99D0-EF7F6A035499}"/>
            </a:ext>
          </a:extLst>
        </xdr:cNvPr>
        <xdr:cNvCxnSpPr/>
      </xdr:nvCxnSpPr>
      <xdr:spPr>
        <a:xfrm flipV="1">
          <a:off x="4543425" y="9496426"/>
          <a:ext cx="1009650" cy="137159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C24EB495-95E0-4F1E-A562-A482E41ADE85}"/>
            </a:ext>
          </a:extLst>
        </xdr:cNvPr>
        <xdr:cNvSpPr/>
      </xdr:nvSpPr>
      <xdr:spPr>
        <a:xfrm rot="16200000">
          <a:off x="7705726" y="7629522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685653</xdr:colOff>
      <xdr:row>43</xdr:row>
      <xdr:rowOff>49507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40199AA6-6F76-4CF6-9F27-F165B7DDC9BD}"/>
            </a:ext>
          </a:extLst>
        </xdr:cNvPr>
        <xdr:cNvSpPr/>
      </xdr:nvSpPr>
      <xdr:spPr>
        <a:xfrm rot="18916712">
          <a:off x="8762853" y="90411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584200</xdr:colOff>
      <xdr:row>208</xdr:row>
      <xdr:rowOff>152400</xdr:rowOff>
    </xdr:from>
    <xdr:to>
      <xdr:col>4</xdr:col>
      <xdr:colOff>628650</xdr:colOff>
      <xdr:row>209</xdr:row>
      <xdr:rowOff>25400</xdr:rowOff>
    </xdr:to>
    <xdr:sp macro="" textlink="">
      <xdr:nvSpPr>
        <xdr:cNvPr id="2" name="12 Flecha derecha">
          <a:extLst>
            <a:ext uri="{FF2B5EF4-FFF2-40B4-BE49-F238E27FC236}">
              <a16:creationId xmlns:a16="http://schemas.microsoft.com/office/drawing/2014/main" id="{9C6D71B3-5E51-4BC6-85DB-6D2B865E2AE1}"/>
            </a:ext>
          </a:extLst>
        </xdr:cNvPr>
        <xdr:cNvSpPr/>
      </xdr:nvSpPr>
      <xdr:spPr>
        <a:xfrm rot="8171851">
          <a:off x="28406725" y="54502050"/>
          <a:ext cx="901700" cy="63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241300</xdr:colOff>
      <xdr:row>208</xdr:row>
      <xdr:rowOff>126999</xdr:rowOff>
    </xdr:from>
    <xdr:to>
      <xdr:col>3</xdr:col>
      <xdr:colOff>323850</xdr:colOff>
      <xdr:row>209</xdr:row>
      <xdr:rowOff>38099</xdr:rowOff>
    </xdr:to>
    <xdr:sp macro="" textlink="">
      <xdr:nvSpPr>
        <xdr:cNvPr id="3" name="13 Flecha derecha">
          <a:extLst>
            <a:ext uri="{FF2B5EF4-FFF2-40B4-BE49-F238E27FC236}">
              <a16:creationId xmlns:a16="http://schemas.microsoft.com/office/drawing/2014/main" id="{7AC1D62E-9FED-4C67-B474-036F30ACEC7B}"/>
            </a:ext>
          </a:extLst>
        </xdr:cNvPr>
        <xdr:cNvSpPr/>
      </xdr:nvSpPr>
      <xdr:spPr>
        <a:xfrm rot="2624269">
          <a:off x="27120850" y="54476649"/>
          <a:ext cx="1025525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40</xdr:row>
      <xdr:rowOff>104775</xdr:rowOff>
    </xdr:from>
    <xdr:to>
      <xdr:col>5</xdr:col>
      <xdr:colOff>85725</xdr:colOff>
      <xdr:row>42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29D6B0C7-6A70-49BE-85C3-7800401A55E6}"/>
            </a:ext>
          </a:extLst>
        </xdr:cNvPr>
        <xdr:cNvCxnSpPr/>
      </xdr:nvCxnSpPr>
      <xdr:spPr>
        <a:xfrm>
          <a:off x="2381250" y="8162925"/>
          <a:ext cx="1028700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695324</xdr:colOff>
      <xdr:row>39</xdr:row>
      <xdr:rowOff>19053</xdr:rowOff>
    </xdr:from>
    <xdr:to>
      <xdr:col>13</xdr:col>
      <xdr:colOff>390525</xdr:colOff>
      <xdr:row>40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79D0EAA7-1D9F-4D96-BAF4-7648507A06B9}"/>
            </a:ext>
          </a:extLst>
        </xdr:cNvPr>
        <xdr:cNvSpPr/>
      </xdr:nvSpPr>
      <xdr:spPr>
        <a:xfrm rot="5400000">
          <a:off x="10320337" y="8091490"/>
          <a:ext cx="342900" cy="904876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1219200</xdr:colOff>
      <xdr:row>44</xdr:row>
      <xdr:rowOff>95251</xdr:rowOff>
    </xdr:from>
    <xdr:to>
      <xdr:col>8</xdr:col>
      <xdr:colOff>19050</xdr:colOff>
      <xdr:row>48</xdr:row>
      <xdr:rowOff>95250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19E317E-3655-4F5C-BC20-D7AF0FBFA872}"/>
            </a:ext>
          </a:extLst>
        </xdr:cNvPr>
        <xdr:cNvCxnSpPr/>
      </xdr:nvCxnSpPr>
      <xdr:spPr>
        <a:xfrm flipV="1">
          <a:off x="4543425" y="9020176"/>
          <a:ext cx="1009650" cy="111442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40</xdr:row>
      <xdr:rowOff>200023</xdr:rowOff>
    </xdr:from>
    <xdr:to>
      <xdr:col>11</xdr:col>
      <xdr:colOff>133352</xdr:colOff>
      <xdr:row>41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6D174047-BC75-41E8-AADF-8265C0D51A49}"/>
            </a:ext>
          </a:extLst>
        </xdr:cNvPr>
        <xdr:cNvSpPr/>
      </xdr:nvSpPr>
      <xdr:spPr>
        <a:xfrm rot="16200000">
          <a:off x="7119938" y="7367585"/>
          <a:ext cx="200026" cy="198120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685653</xdr:colOff>
      <xdr:row>44</xdr:row>
      <xdr:rowOff>49507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49B46F98-BB22-4E79-BDE3-2A96C9F951F2}"/>
            </a:ext>
          </a:extLst>
        </xdr:cNvPr>
        <xdr:cNvSpPr/>
      </xdr:nvSpPr>
      <xdr:spPr>
        <a:xfrm rot="18916712">
          <a:off x="8762853" y="89744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44</xdr:row>
      <xdr:rowOff>104775</xdr:rowOff>
    </xdr:from>
    <xdr:to>
      <xdr:col>5</xdr:col>
      <xdr:colOff>85725</xdr:colOff>
      <xdr:row>46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AB285E66-A206-4B3C-8DAD-0A4EC4792162}"/>
            </a:ext>
          </a:extLst>
        </xdr:cNvPr>
        <xdr:cNvCxnSpPr/>
      </xdr:nvCxnSpPr>
      <xdr:spPr>
        <a:xfrm>
          <a:off x="2381250" y="8658225"/>
          <a:ext cx="1028700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695324</xdr:colOff>
      <xdr:row>43</xdr:row>
      <xdr:rowOff>19053</xdr:rowOff>
    </xdr:from>
    <xdr:to>
      <xdr:col>13</xdr:col>
      <xdr:colOff>390525</xdr:colOff>
      <xdr:row>44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B3C44DD3-7336-46FA-BFBB-6EDCFEB5AE96}"/>
            </a:ext>
          </a:extLst>
        </xdr:cNvPr>
        <xdr:cNvSpPr/>
      </xdr:nvSpPr>
      <xdr:spPr>
        <a:xfrm rot="5400000">
          <a:off x="10320337" y="8091490"/>
          <a:ext cx="342900" cy="904876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695325</xdr:colOff>
      <xdr:row>44</xdr:row>
      <xdr:rowOff>200023</xdr:rowOff>
    </xdr:from>
    <xdr:to>
      <xdr:col>11</xdr:col>
      <xdr:colOff>133352</xdr:colOff>
      <xdr:row>45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D91624AC-6CF9-4E0A-BF19-F2EFEF171321}"/>
            </a:ext>
          </a:extLst>
        </xdr:cNvPr>
        <xdr:cNvSpPr/>
      </xdr:nvSpPr>
      <xdr:spPr>
        <a:xfrm rot="16200000">
          <a:off x="7415213" y="7862885"/>
          <a:ext cx="200026" cy="198120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685653</xdr:colOff>
      <xdr:row>48</xdr:row>
      <xdr:rowOff>49507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904D5C7-4CC8-4DF7-9CFC-602CABAB3734}"/>
            </a:ext>
          </a:extLst>
        </xdr:cNvPr>
        <xdr:cNvSpPr/>
      </xdr:nvSpPr>
      <xdr:spPr>
        <a:xfrm rot="18916712">
          <a:off x="9058128" y="94697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247650</xdr:colOff>
      <xdr:row>48</xdr:row>
      <xdr:rowOff>152400</xdr:rowOff>
    </xdr:from>
    <xdr:to>
      <xdr:col>7</xdr:col>
      <xdr:colOff>714375</xdr:colOff>
      <xdr:row>50</xdr:row>
      <xdr:rowOff>28575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A5033836-E371-4082-8F70-1BFCAB7929A2}"/>
            </a:ext>
          </a:extLst>
        </xdr:cNvPr>
        <xdr:cNvCxnSpPr>
          <a:stCxn id="13" idx="1"/>
        </xdr:cNvCxnSpPr>
      </xdr:nvCxnSpPr>
      <xdr:spPr>
        <a:xfrm flipV="1">
          <a:off x="4829175" y="10410825"/>
          <a:ext cx="952500" cy="4191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49</xdr:row>
      <xdr:rowOff>104775</xdr:rowOff>
    </xdr:from>
    <xdr:to>
      <xdr:col>6</xdr:col>
      <xdr:colOff>247650</xdr:colOff>
      <xdr:row>50</xdr:row>
      <xdr:rowOff>209550</xdr:rowOff>
    </xdr:to>
    <xdr:sp macro="" textlink="">
      <xdr:nvSpPr>
        <xdr:cNvPr id="13" name="Cerrar llave 12">
          <a:extLst>
            <a:ext uri="{FF2B5EF4-FFF2-40B4-BE49-F238E27FC236}">
              <a16:creationId xmlns:a16="http://schemas.microsoft.com/office/drawing/2014/main" id="{1F776857-260C-4AAC-A111-32A93D6715B3}"/>
            </a:ext>
          </a:extLst>
        </xdr:cNvPr>
        <xdr:cNvSpPr/>
      </xdr:nvSpPr>
      <xdr:spPr>
        <a:xfrm>
          <a:off x="4581525" y="10648950"/>
          <a:ext cx="247650" cy="3619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C4A10-95A8-43B7-867C-8AD7FBFC7D0C}">
  <sheetPr>
    <tabColor rgb="FF00B0F0"/>
  </sheetPr>
  <dimension ref="A1:Q77"/>
  <sheetViews>
    <sheetView topLeftCell="A31" workbookViewId="0">
      <selection activeCell="F47" sqref="F4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9.42578125" style="7" customWidth="1"/>
    <col min="4" max="4" width="2.5703125" customWidth="1"/>
    <col min="5" max="5" width="12.85546875" customWidth="1"/>
    <col min="6" max="6" width="18.85546875" style="7" bestFit="1" customWidth="1"/>
    <col min="7" max="7" width="2.85546875" customWidth="1"/>
    <col min="9" max="9" width="13.140625" style="7" customWidth="1"/>
    <col min="10" max="10" width="11.7109375" style="19" customWidth="1"/>
    <col min="11" max="11" width="13.28515625" customWidth="1"/>
    <col min="12" max="12" width="14.5703125" customWidth="1"/>
    <col min="13" max="13" width="18.140625" style="7" customWidth="1"/>
    <col min="14" max="14" width="13.28515625" style="4" customWidth="1"/>
    <col min="15" max="15" width="8.42578125" style="4" customWidth="1"/>
    <col min="16" max="16" width="15.5703125" style="5" bestFit="1" customWidth="1"/>
    <col min="17" max="17" width="14.42578125" style="5" customWidth="1"/>
  </cols>
  <sheetData>
    <row r="1" spans="1:17" ht="24" thickBot="1" x14ac:dyDescent="0.4">
      <c r="C1" s="274" t="s">
        <v>25</v>
      </c>
      <c r="D1" s="274"/>
      <c r="E1" s="274"/>
      <c r="F1" s="274"/>
      <c r="G1" s="274"/>
      <c r="H1" s="274"/>
      <c r="I1" s="274"/>
      <c r="J1" s="274"/>
      <c r="K1" s="274"/>
      <c r="L1" s="2"/>
      <c r="M1" s="3"/>
    </row>
    <row r="2" spans="1:17" ht="20.25" customHeight="1" thickTop="1" thickBot="1" x14ac:dyDescent="0.35">
      <c r="A2" s="8" t="s">
        <v>0</v>
      </c>
      <c r="B2" s="135"/>
      <c r="C2" s="136">
        <v>1148228.8400000001</v>
      </c>
      <c r="D2" s="281">
        <v>43984</v>
      </c>
      <c r="E2" s="281"/>
      <c r="F2" s="154"/>
      <c r="G2" s="142"/>
      <c r="J2" s="146"/>
      <c r="K2" s="9"/>
      <c r="L2" s="9"/>
      <c r="O2" s="10"/>
      <c r="P2" s="10"/>
      <c r="Q2" s="11"/>
    </row>
    <row r="3" spans="1:17" ht="19.5" customHeight="1" thickTop="1" thickBot="1" x14ac:dyDescent="0.35">
      <c r="A3" s="119"/>
      <c r="B3" s="279" t="s">
        <v>241</v>
      </c>
      <c r="C3" s="280"/>
      <c r="D3" s="141"/>
      <c r="E3" s="282" t="s">
        <v>240</v>
      </c>
      <c r="F3" s="283"/>
      <c r="H3" s="275" t="s">
        <v>1</v>
      </c>
      <c r="I3" s="276"/>
      <c r="J3" s="147"/>
      <c r="K3" s="120"/>
      <c r="L3" s="120"/>
      <c r="M3" s="197" t="s">
        <v>2</v>
      </c>
      <c r="N3" s="132" t="s">
        <v>3</v>
      </c>
      <c r="O3" s="10"/>
      <c r="P3" s="10"/>
      <c r="Q3" s="11"/>
    </row>
    <row r="4" spans="1:17" ht="17.25" customHeight="1" thickBot="1" x14ac:dyDescent="0.35">
      <c r="A4" s="119"/>
      <c r="B4" s="137">
        <v>43985</v>
      </c>
      <c r="C4" s="140">
        <v>389598.42</v>
      </c>
      <c r="D4" s="131"/>
      <c r="E4" s="139">
        <v>43985</v>
      </c>
      <c r="F4" s="138">
        <v>36901.199999999997</v>
      </c>
      <c r="H4" s="18">
        <v>43985</v>
      </c>
      <c r="I4" s="143">
        <v>15061.4</v>
      </c>
      <c r="J4" s="150"/>
      <c r="K4" s="162"/>
      <c r="L4" s="163"/>
      <c r="M4" s="193">
        <v>302743</v>
      </c>
      <c r="N4" s="134">
        <f>18637.25+16256.44</f>
        <v>34893.69</v>
      </c>
      <c r="O4" s="10"/>
      <c r="P4" s="10">
        <f>F4+I4+L4+M4+N4</f>
        <v>389599.29</v>
      </c>
      <c r="Q4" s="11">
        <f>P4-C4</f>
        <v>0.86999999999534339</v>
      </c>
    </row>
    <row r="5" spans="1:17" ht="15.75" thickBot="1" x14ac:dyDescent="0.3">
      <c r="A5" s="12" t="s">
        <v>4</v>
      </c>
      <c r="B5" s="13">
        <v>43986</v>
      </c>
      <c r="C5" s="17">
        <v>494585.97</v>
      </c>
      <c r="D5" s="15"/>
      <c r="E5" s="16">
        <v>43986</v>
      </c>
      <c r="F5" s="14">
        <v>7317.5</v>
      </c>
      <c r="H5" s="18">
        <v>43986</v>
      </c>
      <c r="I5" s="144">
        <v>4470.5</v>
      </c>
      <c r="J5" s="151"/>
      <c r="K5" s="164"/>
      <c r="L5" s="165"/>
      <c r="M5" s="160">
        <v>452545.5</v>
      </c>
      <c r="N5" s="133">
        <f>20591.33+9661.84</f>
        <v>30253.170000000002</v>
      </c>
      <c r="O5" s="22"/>
      <c r="P5" s="10">
        <f t="shared" ref="P5:P36" si="0">F5+I5+L5+M5+N5</f>
        <v>494586.67</v>
      </c>
      <c r="Q5" s="11">
        <f t="shared" ref="Q5:Q36" si="1">P5-C5</f>
        <v>0.70000000001164153</v>
      </c>
    </row>
    <row r="6" spans="1:17" ht="16.5" thickBot="1" x14ac:dyDescent="0.3">
      <c r="A6" s="12"/>
      <c r="B6" s="13">
        <v>43987</v>
      </c>
      <c r="C6" s="17">
        <v>552224.24</v>
      </c>
      <c r="D6" s="23"/>
      <c r="E6" s="16">
        <v>43987</v>
      </c>
      <c r="F6" s="14">
        <v>11125</v>
      </c>
      <c r="H6" s="18">
        <v>43987</v>
      </c>
      <c r="I6" s="145">
        <v>42999.19</v>
      </c>
      <c r="J6" s="151"/>
      <c r="K6" s="166"/>
      <c r="L6" s="167"/>
      <c r="M6" s="161">
        <v>468581</v>
      </c>
      <c r="N6" s="21">
        <f>12773.19+16746.4</f>
        <v>29519.590000000004</v>
      </c>
      <c r="O6" s="27"/>
      <c r="P6" s="10">
        <f t="shared" si="0"/>
        <v>552224.78</v>
      </c>
      <c r="Q6" s="11">
        <f t="shared" si="1"/>
        <v>0.5400000000372529</v>
      </c>
    </row>
    <row r="7" spans="1:17" ht="15.75" thickBot="1" x14ac:dyDescent="0.3">
      <c r="A7" s="12"/>
      <c r="B7" s="113">
        <v>43988</v>
      </c>
      <c r="C7" s="17">
        <v>600501.06000000006</v>
      </c>
      <c r="D7" s="114"/>
      <c r="E7" s="115">
        <v>43988</v>
      </c>
      <c r="F7" s="14">
        <v>53256.4</v>
      </c>
      <c r="H7" s="18">
        <v>43988</v>
      </c>
      <c r="I7" s="145">
        <v>4092.2</v>
      </c>
      <c r="J7" s="171">
        <v>43988</v>
      </c>
      <c r="K7" s="168" t="s">
        <v>8</v>
      </c>
      <c r="L7" s="169">
        <v>135673.53</v>
      </c>
      <c r="M7" s="161">
        <v>378647</v>
      </c>
      <c r="N7" s="21">
        <f>11456.75+17375.37</f>
        <v>28832.12</v>
      </c>
      <c r="O7" s="30"/>
      <c r="P7" s="10">
        <f t="shared" si="0"/>
        <v>600501.25</v>
      </c>
      <c r="Q7" s="11">
        <f t="shared" si="1"/>
        <v>0.18999999994412065</v>
      </c>
    </row>
    <row r="8" spans="1:17" ht="15.75" thickBot="1" x14ac:dyDescent="0.3">
      <c r="A8" s="12"/>
      <c r="B8" s="113">
        <v>43989</v>
      </c>
      <c r="C8" s="17">
        <v>425897.43</v>
      </c>
      <c r="D8" s="116"/>
      <c r="E8" s="115">
        <v>43989</v>
      </c>
      <c r="F8" s="14">
        <v>87001.2</v>
      </c>
      <c r="H8" s="18">
        <v>43989</v>
      </c>
      <c r="I8" s="145">
        <v>19736.150000000001</v>
      </c>
      <c r="J8" s="151"/>
      <c r="K8" s="170"/>
      <c r="L8" s="167"/>
      <c r="M8" s="161">
        <v>291804</v>
      </c>
      <c r="N8" s="21">
        <f>6812.68+20543.02</f>
        <v>27355.7</v>
      </c>
      <c r="O8" s="27"/>
      <c r="P8" s="10">
        <f t="shared" si="0"/>
        <v>425897.05</v>
      </c>
      <c r="Q8" s="11">
        <f t="shared" si="1"/>
        <v>-0.38000000000465661</v>
      </c>
    </row>
    <row r="9" spans="1:17" ht="16.5" thickBot="1" x14ac:dyDescent="0.3">
      <c r="A9" s="12"/>
      <c r="B9" s="113">
        <v>43990</v>
      </c>
      <c r="C9" s="14">
        <v>383577.59</v>
      </c>
      <c r="D9" s="117"/>
      <c r="E9" s="115">
        <v>43990</v>
      </c>
      <c r="F9" s="17">
        <v>6507</v>
      </c>
      <c r="H9" s="18">
        <v>43990</v>
      </c>
      <c r="I9" s="145">
        <v>2662</v>
      </c>
      <c r="J9" s="152"/>
      <c r="K9" s="170"/>
      <c r="L9" s="167"/>
      <c r="M9" s="161">
        <v>353110</v>
      </c>
      <c r="N9" s="21">
        <f>10247.4+11051.06</f>
        <v>21298.46</v>
      </c>
      <c r="O9" s="27"/>
      <c r="P9" s="10">
        <f t="shared" si="0"/>
        <v>383577.46</v>
      </c>
      <c r="Q9" s="11">
        <f t="shared" si="1"/>
        <v>-0.13000000000465661</v>
      </c>
    </row>
    <row r="10" spans="1:17" ht="15.75" thickBot="1" x14ac:dyDescent="0.3">
      <c r="A10" s="12"/>
      <c r="B10" s="113">
        <v>43991</v>
      </c>
      <c r="C10" s="14">
        <v>346083.88</v>
      </c>
      <c r="D10" s="114"/>
      <c r="E10" s="115">
        <v>43991</v>
      </c>
      <c r="F10" s="17">
        <v>16083</v>
      </c>
      <c r="H10" s="18">
        <v>43991</v>
      </c>
      <c r="I10" s="145">
        <v>57288</v>
      </c>
      <c r="J10" s="189" t="s">
        <v>243</v>
      </c>
      <c r="K10" s="148"/>
      <c r="L10" s="34"/>
      <c r="M10" s="20">
        <v>225026</v>
      </c>
      <c r="N10" s="21">
        <f>34158.78+13528.11</f>
        <v>47686.89</v>
      </c>
      <c r="O10" s="30"/>
      <c r="P10" s="10">
        <f t="shared" si="0"/>
        <v>346083.89</v>
      </c>
      <c r="Q10" s="11">
        <f t="shared" si="1"/>
        <v>1.0000000009313226E-2</v>
      </c>
    </row>
    <row r="11" spans="1:17" ht="15.75" thickBot="1" x14ac:dyDescent="0.3">
      <c r="A11" s="12"/>
      <c r="B11" s="113">
        <v>43992</v>
      </c>
      <c r="C11" s="14">
        <v>383581.19</v>
      </c>
      <c r="D11" s="118"/>
      <c r="E11" s="115">
        <v>43992</v>
      </c>
      <c r="F11" s="17">
        <v>21246.5</v>
      </c>
      <c r="H11" s="18">
        <v>43992</v>
      </c>
      <c r="I11" s="145">
        <v>1721.9</v>
      </c>
      <c r="J11" s="153"/>
      <c r="K11" s="149"/>
      <c r="L11" s="35"/>
      <c r="M11" s="20">
        <v>327209</v>
      </c>
      <c r="N11" s="21">
        <f>14886.19+18517.88</f>
        <v>33404.07</v>
      </c>
      <c r="O11" s="27"/>
      <c r="P11" s="10">
        <f t="shared" si="0"/>
        <v>383581.47000000003</v>
      </c>
      <c r="Q11" s="11">
        <f t="shared" si="1"/>
        <v>0.28000000002793968</v>
      </c>
    </row>
    <row r="12" spans="1:17" ht="15.75" thickBot="1" x14ac:dyDescent="0.3">
      <c r="A12" s="12"/>
      <c r="B12" s="13">
        <v>43993</v>
      </c>
      <c r="C12" s="14">
        <v>474840.78</v>
      </c>
      <c r="D12" s="23"/>
      <c r="E12" s="16">
        <v>43993</v>
      </c>
      <c r="F12" s="17">
        <v>8369</v>
      </c>
      <c r="H12" s="18">
        <v>43993</v>
      </c>
      <c r="I12" s="24">
        <v>9684</v>
      </c>
      <c r="J12" s="25"/>
      <c r="K12" s="32"/>
      <c r="L12" s="35"/>
      <c r="M12" s="20">
        <v>417935</v>
      </c>
      <c r="N12" s="21">
        <f>17373.54+21478.7</f>
        <v>38852.240000000005</v>
      </c>
      <c r="O12" s="36"/>
      <c r="P12" s="10">
        <f t="shared" si="0"/>
        <v>474840.24</v>
      </c>
      <c r="Q12" s="11">
        <f t="shared" si="1"/>
        <v>-0.5400000000372529</v>
      </c>
    </row>
    <row r="13" spans="1:17" ht="15.75" thickBot="1" x14ac:dyDescent="0.3">
      <c r="A13" s="12"/>
      <c r="B13" s="13">
        <v>43994</v>
      </c>
      <c r="C13" s="14">
        <v>611591.35</v>
      </c>
      <c r="D13" s="31"/>
      <c r="E13" s="16">
        <v>43994</v>
      </c>
      <c r="F13" s="17">
        <v>19331</v>
      </c>
      <c r="H13" s="18">
        <v>43994</v>
      </c>
      <c r="I13" s="24">
        <v>35803.51</v>
      </c>
      <c r="J13" s="25"/>
      <c r="K13" s="32"/>
      <c r="L13" s="35"/>
      <c r="M13" s="20">
        <v>512720</v>
      </c>
      <c r="N13" s="21">
        <f>32279.02+11457.22</f>
        <v>43736.24</v>
      </c>
      <c r="O13" s="27"/>
      <c r="P13" s="10">
        <f t="shared" si="0"/>
        <v>611590.75</v>
      </c>
      <c r="Q13" s="11">
        <f t="shared" si="1"/>
        <v>-0.59999999997671694</v>
      </c>
    </row>
    <row r="14" spans="1:17" ht="15.75" thickBot="1" x14ac:dyDescent="0.3">
      <c r="A14" s="12"/>
      <c r="B14" s="13">
        <v>43995</v>
      </c>
      <c r="C14" s="14">
        <v>490611.54</v>
      </c>
      <c r="D14" s="28"/>
      <c r="E14" s="16">
        <v>43995</v>
      </c>
      <c r="F14" s="17">
        <v>54088.6</v>
      </c>
      <c r="H14" s="18">
        <v>43995</v>
      </c>
      <c r="I14" s="24">
        <v>14507.78</v>
      </c>
      <c r="J14" s="171">
        <v>43995</v>
      </c>
      <c r="K14" s="32" t="s">
        <v>9</v>
      </c>
      <c r="L14" s="35">
        <v>98722.25</v>
      </c>
      <c r="M14" s="20">
        <v>336143.5</v>
      </c>
      <c r="N14" s="21">
        <f>9593.02+16430.32</f>
        <v>26023.34</v>
      </c>
      <c r="O14" s="27"/>
      <c r="P14" s="10">
        <f t="shared" si="0"/>
        <v>529485.47</v>
      </c>
      <c r="Q14" s="11">
        <f t="shared" si="1"/>
        <v>38873.929999999993</v>
      </c>
    </row>
    <row r="15" spans="1:17" ht="15.75" thickBot="1" x14ac:dyDescent="0.3">
      <c r="A15" s="12"/>
      <c r="B15" s="13">
        <v>43996</v>
      </c>
      <c r="C15" s="14">
        <v>444707.26</v>
      </c>
      <c r="D15" s="23"/>
      <c r="E15" s="16">
        <v>43996</v>
      </c>
      <c r="F15" s="17">
        <v>15365.5</v>
      </c>
      <c r="H15" s="18">
        <v>43996</v>
      </c>
      <c r="I15" s="24">
        <v>5101.6000000000004</v>
      </c>
      <c r="J15" s="25"/>
      <c r="K15" s="32"/>
      <c r="L15" s="35"/>
      <c r="M15" s="20">
        <v>404737.5</v>
      </c>
      <c r="N15" s="21">
        <f>9799.45+9702.66</f>
        <v>19502.11</v>
      </c>
      <c r="O15" s="27"/>
      <c r="P15" s="10">
        <f t="shared" si="0"/>
        <v>444706.70999999996</v>
      </c>
      <c r="Q15" s="11">
        <f t="shared" si="1"/>
        <v>-0.55000000004656613</v>
      </c>
    </row>
    <row r="16" spans="1:17" ht="15.75" thickBot="1" x14ac:dyDescent="0.3">
      <c r="A16" s="12"/>
      <c r="B16" s="13">
        <v>43997</v>
      </c>
      <c r="C16" s="14">
        <v>461060.09</v>
      </c>
      <c r="D16" s="23"/>
      <c r="E16" s="16">
        <v>43997</v>
      </c>
      <c r="F16" s="17">
        <v>12488</v>
      </c>
      <c r="H16" s="18">
        <v>43997</v>
      </c>
      <c r="I16" s="24">
        <v>37800.199999999997</v>
      </c>
      <c r="J16" s="25"/>
      <c r="K16" s="32"/>
      <c r="L16" s="5"/>
      <c r="M16" s="20">
        <v>382622</v>
      </c>
      <c r="N16" s="21">
        <f>7563.22+20605.92</f>
        <v>28169.14</v>
      </c>
      <c r="O16" s="27"/>
      <c r="P16" s="10">
        <f t="shared" si="0"/>
        <v>461079.34</v>
      </c>
      <c r="Q16" s="11">
        <f t="shared" si="1"/>
        <v>19.25</v>
      </c>
    </row>
    <row r="17" spans="1:17" ht="15.75" thickBot="1" x14ac:dyDescent="0.3">
      <c r="A17" s="12"/>
      <c r="B17" s="13">
        <v>43998</v>
      </c>
      <c r="C17" s="14">
        <v>350675.93</v>
      </c>
      <c r="D17" s="31"/>
      <c r="E17" s="16">
        <v>43998</v>
      </c>
      <c r="F17" s="17">
        <v>19001.3</v>
      </c>
      <c r="H17" s="18">
        <v>43998</v>
      </c>
      <c r="I17" s="24">
        <v>1598</v>
      </c>
      <c r="J17" s="37"/>
      <c r="K17" s="32"/>
      <c r="L17" s="34"/>
      <c r="M17" s="20">
        <v>301072</v>
      </c>
      <c r="N17" s="21">
        <f>14408.25+14598.51</f>
        <v>29006.760000000002</v>
      </c>
      <c r="O17" s="27"/>
      <c r="P17" s="10">
        <f t="shared" si="0"/>
        <v>350678.06</v>
      </c>
      <c r="Q17" s="11">
        <f t="shared" si="1"/>
        <v>2.1300000000046566</v>
      </c>
    </row>
    <row r="18" spans="1:17" ht="15.75" thickBot="1" x14ac:dyDescent="0.3">
      <c r="A18" s="12"/>
      <c r="B18" s="13">
        <v>43999</v>
      </c>
      <c r="C18" s="14">
        <v>424702.37</v>
      </c>
      <c r="D18" s="23"/>
      <c r="E18" s="16">
        <v>43999</v>
      </c>
      <c r="F18" s="17">
        <v>21606</v>
      </c>
      <c r="H18" s="18">
        <v>43999</v>
      </c>
      <c r="I18" s="24">
        <v>6910.25</v>
      </c>
      <c r="J18" s="37"/>
      <c r="K18" s="38"/>
      <c r="L18" s="35"/>
      <c r="M18" s="20">
        <v>368928</v>
      </c>
      <c r="N18" s="21">
        <f>18709.27+8556.9</f>
        <v>27266.17</v>
      </c>
      <c r="O18" s="27"/>
      <c r="P18" s="10">
        <f t="shared" si="0"/>
        <v>424710.42</v>
      </c>
      <c r="Q18" s="11">
        <f t="shared" si="1"/>
        <v>8.0499999999883585</v>
      </c>
    </row>
    <row r="19" spans="1:17" ht="15.75" thickBot="1" x14ac:dyDescent="0.3">
      <c r="A19" s="12"/>
      <c r="B19" s="13">
        <v>44000</v>
      </c>
      <c r="C19" s="14">
        <v>507505.99</v>
      </c>
      <c r="D19" s="23"/>
      <c r="E19" s="16">
        <v>44000</v>
      </c>
      <c r="F19" s="17">
        <v>9666</v>
      </c>
      <c r="H19" s="18">
        <v>44000</v>
      </c>
      <c r="I19" s="24">
        <v>12675.44</v>
      </c>
      <c r="J19" s="37"/>
      <c r="K19" s="39"/>
      <c r="L19" s="40"/>
      <c r="M19" s="20">
        <v>457877</v>
      </c>
      <c r="N19" s="21">
        <f>22814.23+4129.77+344.4</f>
        <v>27288.400000000001</v>
      </c>
      <c r="O19" s="27"/>
      <c r="P19" s="10">
        <f t="shared" si="0"/>
        <v>507506.84</v>
      </c>
      <c r="Q19" s="11">
        <f t="shared" si="1"/>
        <v>0.8500000000349246</v>
      </c>
    </row>
    <row r="20" spans="1:17" ht="15.75" thickBot="1" x14ac:dyDescent="0.3">
      <c r="A20" s="12"/>
      <c r="B20" s="13">
        <v>44001</v>
      </c>
      <c r="C20" s="14">
        <v>641145.35</v>
      </c>
      <c r="D20" s="23"/>
      <c r="E20" s="16">
        <v>44001</v>
      </c>
      <c r="F20" s="17">
        <v>19057.63</v>
      </c>
      <c r="H20" s="18">
        <v>44001</v>
      </c>
      <c r="I20" s="24">
        <v>31381.65</v>
      </c>
      <c r="J20" s="25"/>
      <c r="K20" s="33"/>
      <c r="L20" s="34">
        <v>0</v>
      </c>
      <c r="M20" s="20">
        <v>548295</v>
      </c>
      <c r="N20" s="21">
        <f>21105.88+21308.69</f>
        <v>42414.57</v>
      </c>
      <c r="O20" s="27"/>
      <c r="P20" s="10">
        <f>F20+I20+L20+M20+N20</f>
        <v>641148.85</v>
      </c>
      <c r="Q20" s="11">
        <f t="shared" si="1"/>
        <v>3.5</v>
      </c>
    </row>
    <row r="21" spans="1:17" ht="15.75" thickBot="1" x14ac:dyDescent="0.3">
      <c r="A21" s="12"/>
      <c r="B21" s="13">
        <v>44002</v>
      </c>
      <c r="C21" s="14">
        <v>730385.54</v>
      </c>
      <c r="D21" s="23"/>
      <c r="E21" s="16">
        <v>44002</v>
      </c>
      <c r="F21" s="17">
        <v>72734.5</v>
      </c>
      <c r="H21" s="18">
        <v>44002</v>
      </c>
      <c r="I21" s="24">
        <v>9149</v>
      </c>
      <c r="J21" s="41">
        <v>44002</v>
      </c>
      <c r="K21" s="32" t="s">
        <v>10</v>
      </c>
      <c r="L21" s="34">
        <v>95661.29</v>
      </c>
      <c r="M21" s="20">
        <v>557601</v>
      </c>
      <c r="N21" s="21">
        <f>19069.78+15330.71</f>
        <v>34400.49</v>
      </c>
      <c r="O21" s="27"/>
      <c r="P21" s="10">
        <f t="shared" si="0"/>
        <v>769546.28</v>
      </c>
      <c r="Q21" s="11">
        <f t="shared" si="1"/>
        <v>39160.739999999991</v>
      </c>
    </row>
    <row r="22" spans="1:17" ht="15.75" thickBot="1" x14ac:dyDescent="0.3">
      <c r="A22" s="12"/>
      <c r="B22" s="13">
        <v>44003</v>
      </c>
      <c r="C22" s="14">
        <v>594765.81999999995</v>
      </c>
      <c r="D22" s="23"/>
      <c r="E22" s="16">
        <v>44003</v>
      </c>
      <c r="F22" s="17">
        <v>16076</v>
      </c>
      <c r="H22" s="18">
        <v>44003</v>
      </c>
      <c r="I22" s="24">
        <v>58994.400000000001</v>
      </c>
      <c r="J22" s="196" t="s">
        <v>242</v>
      </c>
      <c r="K22" s="42"/>
      <c r="L22" s="43"/>
      <c r="M22" s="20">
        <v>502119</v>
      </c>
      <c r="N22" s="21">
        <f>9507.08+8074.99</f>
        <v>17582.07</v>
      </c>
      <c r="O22" s="27"/>
      <c r="P22" s="10">
        <f t="shared" si="0"/>
        <v>594771.47</v>
      </c>
      <c r="Q22" s="11">
        <f t="shared" si="1"/>
        <v>5.6500000000232831</v>
      </c>
    </row>
    <row r="23" spans="1:17" ht="15.75" thickBot="1" x14ac:dyDescent="0.3">
      <c r="A23" s="12"/>
      <c r="B23" s="13">
        <v>44004</v>
      </c>
      <c r="C23" s="14">
        <v>357843.81</v>
      </c>
      <c r="D23" s="23"/>
      <c r="E23" s="16">
        <v>44004</v>
      </c>
      <c r="F23" s="17">
        <v>22519</v>
      </c>
      <c r="H23" s="18">
        <v>44004</v>
      </c>
      <c r="I23" s="24">
        <v>4511.7</v>
      </c>
      <c r="J23" s="44"/>
      <c r="K23" s="45"/>
      <c r="L23" s="46"/>
      <c r="M23" s="20">
        <v>318594</v>
      </c>
      <c r="N23" s="21">
        <f>5621.14+6597.53</f>
        <v>12218.67</v>
      </c>
      <c r="O23" s="47"/>
      <c r="P23" s="10">
        <f t="shared" si="0"/>
        <v>357843.37</v>
      </c>
      <c r="Q23" s="11">
        <f t="shared" si="1"/>
        <v>-0.44000000000232831</v>
      </c>
    </row>
    <row r="24" spans="1:17" ht="15.75" thickBot="1" x14ac:dyDescent="0.3">
      <c r="A24" s="12"/>
      <c r="B24" s="13">
        <v>44005</v>
      </c>
      <c r="C24" s="14">
        <v>323756.55</v>
      </c>
      <c r="D24" s="23"/>
      <c r="E24" s="16">
        <v>44005</v>
      </c>
      <c r="F24" s="17">
        <v>4107</v>
      </c>
      <c r="H24" s="18">
        <v>44005</v>
      </c>
      <c r="I24" s="24">
        <v>1303</v>
      </c>
      <c r="J24" s="48"/>
      <c r="K24" s="49"/>
      <c r="L24" s="50"/>
      <c r="M24" s="20">
        <v>301168</v>
      </c>
      <c r="N24" s="21">
        <f>15962.4+1216</f>
        <v>17178.400000000001</v>
      </c>
      <c r="O24" s="27"/>
      <c r="P24" s="10">
        <f t="shared" si="0"/>
        <v>323756.40000000002</v>
      </c>
      <c r="Q24" s="11">
        <f t="shared" si="1"/>
        <v>-0.1499999999650754</v>
      </c>
    </row>
    <row r="25" spans="1:17" ht="15.75" thickBot="1" x14ac:dyDescent="0.3">
      <c r="A25" s="12"/>
      <c r="B25" s="13">
        <v>44006</v>
      </c>
      <c r="C25" s="14">
        <v>366286.84</v>
      </c>
      <c r="D25" s="23"/>
      <c r="E25" s="16">
        <v>44006</v>
      </c>
      <c r="F25" s="17">
        <v>33144.699999999997</v>
      </c>
      <c r="H25" s="18">
        <v>44006</v>
      </c>
      <c r="I25" s="24">
        <v>2020.9</v>
      </c>
      <c r="J25" s="51"/>
      <c r="K25" s="52"/>
      <c r="L25" s="53">
        <v>0</v>
      </c>
      <c r="M25" s="20">
        <v>319524.2</v>
      </c>
      <c r="N25" s="21">
        <f>7886.45+3910.16</f>
        <v>11796.61</v>
      </c>
      <c r="O25" s="27"/>
      <c r="P25" s="10">
        <f t="shared" si="0"/>
        <v>366486.41</v>
      </c>
      <c r="Q25" s="11">
        <f t="shared" si="1"/>
        <v>199.56999999994878</v>
      </c>
    </row>
    <row r="26" spans="1:17" ht="15.75" thickBot="1" x14ac:dyDescent="0.3">
      <c r="A26" s="12"/>
      <c r="B26" s="13">
        <v>44007</v>
      </c>
      <c r="C26" s="14">
        <v>394790.7</v>
      </c>
      <c r="D26" s="23"/>
      <c r="E26" s="16">
        <v>44007</v>
      </c>
      <c r="F26" s="17">
        <v>20935.47</v>
      </c>
      <c r="H26" s="18">
        <v>44007</v>
      </c>
      <c r="I26" s="24">
        <v>2291.64</v>
      </c>
      <c r="J26" s="37"/>
      <c r="K26" s="54"/>
      <c r="L26" s="46"/>
      <c r="M26" s="20">
        <v>355927</v>
      </c>
      <c r="N26" s="21">
        <f>15636.7</f>
        <v>15636.7</v>
      </c>
      <c r="O26" s="27"/>
      <c r="P26" s="10">
        <f t="shared" si="0"/>
        <v>394790.81</v>
      </c>
      <c r="Q26" s="11">
        <f t="shared" si="1"/>
        <v>0.10999999998603016</v>
      </c>
    </row>
    <row r="27" spans="1:17" ht="15.75" thickBot="1" x14ac:dyDescent="0.3">
      <c r="A27" s="12"/>
      <c r="B27" s="13">
        <v>44008</v>
      </c>
      <c r="C27" s="14">
        <v>631597.64</v>
      </c>
      <c r="D27" s="23"/>
      <c r="E27" s="16">
        <v>44008</v>
      </c>
      <c r="F27" s="17">
        <v>130158.84</v>
      </c>
      <c r="H27" s="18">
        <v>44008</v>
      </c>
      <c r="I27" s="24">
        <v>31148.18</v>
      </c>
      <c r="J27" s="156"/>
      <c r="K27" s="32"/>
      <c r="L27" s="155"/>
      <c r="M27" s="20">
        <v>434453.5</v>
      </c>
      <c r="N27" s="21">
        <f>22850.31+12987.2</f>
        <v>35837.51</v>
      </c>
      <c r="O27" s="27"/>
      <c r="P27" s="10">
        <f t="shared" si="0"/>
        <v>631598.03</v>
      </c>
      <c r="Q27" s="11">
        <f t="shared" si="1"/>
        <v>0.39000000001396984</v>
      </c>
    </row>
    <row r="28" spans="1:17" ht="15.75" thickBot="1" x14ac:dyDescent="0.3">
      <c r="A28" s="12"/>
      <c r="B28" s="13">
        <v>44009</v>
      </c>
      <c r="C28" s="14">
        <v>599084.24</v>
      </c>
      <c r="D28" s="57"/>
      <c r="E28" s="16">
        <v>44009</v>
      </c>
      <c r="F28" s="17">
        <v>46823.4</v>
      </c>
      <c r="H28" s="18">
        <v>44009</v>
      </c>
      <c r="I28" s="24">
        <v>8357.56</v>
      </c>
      <c r="J28" s="172">
        <v>44009</v>
      </c>
      <c r="K28" s="32" t="s">
        <v>11</v>
      </c>
      <c r="L28" s="155">
        <v>99245.03</v>
      </c>
      <c r="M28" s="20">
        <v>447985</v>
      </c>
      <c r="N28" s="21">
        <f>13780.99+23098.76</f>
        <v>36879.75</v>
      </c>
      <c r="O28" s="27"/>
      <c r="P28" s="10">
        <f t="shared" si="0"/>
        <v>639290.74</v>
      </c>
      <c r="Q28" s="11">
        <f t="shared" si="1"/>
        <v>40206.5</v>
      </c>
    </row>
    <row r="29" spans="1:17" ht="15.75" thickBot="1" x14ac:dyDescent="0.3">
      <c r="A29" s="12"/>
      <c r="B29" s="13">
        <v>44010</v>
      </c>
      <c r="C29" s="14">
        <v>551830.46</v>
      </c>
      <c r="D29" s="58"/>
      <c r="E29" s="16">
        <v>44010</v>
      </c>
      <c r="F29" s="17">
        <v>9980</v>
      </c>
      <c r="H29" s="18">
        <v>44010</v>
      </c>
      <c r="I29" s="24">
        <v>15231.34</v>
      </c>
      <c r="J29" s="55"/>
      <c r="K29" s="52"/>
      <c r="L29" s="53"/>
      <c r="M29" s="20">
        <v>512475</v>
      </c>
      <c r="N29" s="21">
        <f>9284.82+4229.54</f>
        <v>13514.36</v>
      </c>
      <c r="O29" s="27"/>
      <c r="P29" s="10">
        <f t="shared" si="0"/>
        <v>551200.69999999995</v>
      </c>
      <c r="Q29" s="11">
        <f t="shared" si="1"/>
        <v>-629.76000000000931</v>
      </c>
    </row>
    <row r="30" spans="1:17" ht="15.75" thickBot="1" x14ac:dyDescent="0.3">
      <c r="A30" s="12"/>
      <c r="B30" s="13">
        <v>44011</v>
      </c>
      <c r="C30" s="14">
        <v>405004.74</v>
      </c>
      <c r="D30" s="58"/>
      <c r="E30" s="16">
        <v>44011</v>
      </c>
      <c r="F30" s="17">
        <v>11219.5</v>
      </c>
      <c r="H30" s="18">
        <v>44011</v>
      </c>
      <c r="I30" s="59">
        <v>10840.3</v>
      </c>
      <c r="J30" s="55"/>
      <c r="K30" s="60"/>
      <c r="L30" s="61"/>
      <c r="M30" s="20">
        <v>360851</v>
      </c>
      <c r="N30" s="21">
        <f>22093.87</f>
        <v>22093.87</v>
      </c>
      <c r="O30" s="27"/>
      <c r="P30" s="10">
        <f t="shared" si="0"/>
        <v>405004.67</v>
      </c>
      <c r="Q30" s="11">
        <f t="shared" si="1"/>
        <v>-7.0000000006984919E-2</v>
      </c>
    </row>
    <row r="31" spans="1:17" ht="15.75" thickBot="1" x14ac:dyDescent="0.3">
      <c r="A31" s="12"/>
      <c r="B31" s="13">
        <v>44012</v>
      </c>
      <c r="C31" s="62">
        <v>358557.56</v>
      </c>
      <c r="D31" s="58"/>
      <c r="E31" s="16">
        <v>44012</v>
      </c>
      <c r="F31" s="17">
        <v>44601.68</v>
      </c>
      <c r="H31" s="18">
        <v>44012</v>
      </c>
      <c r="I31" s="59">
        <v>3480.05</v>
      </c>
      <c r="J31" s="55"/>
      <c r="K31" s="52"/>
      <c r="L31" s="53"/>
      <c r="M31" s="20">
        <v>277003</v>
      </c>
      <c r="N31" s="21">
        <f>33472.89</f>
        <v>33472.89</v>
      </c>
      <c r="O31" s="27"/>
      <c r="P31" s="10">
        <f t="shared" si="0"/>
        <v>358557.62</v>
      </c>
      <c r="Q31" s="11">
        <f t="shared" si="1"/>
        <v>5.9999999997671694E-2</v>
      </c>
    </row>
    <row r="32" spans="1:17" ht="15.75" thickBot="1" x14ac:dyDescent="0.3">
      <c r="A32" s="12"/>
      <c r="B32" s="13">
        <v>44013</v>
      </c>
      <c r="C32" s="62">
        <v>451614.53</v>
      </c>
      <c r="D32" s="58"/>
      <c r="E32" s="16">
        <v>44013</v>
      </c>
      <c r="F32" s="63">
        <v>25412</v>
      </c>
      <c r="H32" s="18">
        <v>44013</v>
      </c>
      <c r="I32" s="59">
        <v>2255.6999999999998</v>
      </c>
      <c r="J32" s="55"/>
      <c r="K32" s="56"/>
      <c r="L32" s="53"/>
      <c r="M32" s="20">
        <v>392022</v>
      </c>
      <c r="N32" s="21">
        <f>14134.7+17784.22</f>
        <v>31918.920000000002</v>
      </c>
      <c r="O32" s="27"/>
      <c r="P32" s="10">
        <f t="shared" si="0"/>
        <v>451608.62</v>
      </c>
      <c r="Q32" s="11">
        <f t="shared" si="1"/>
        <v>-5.9100000000325963</v>
      </c>
    </row>
    <row r="33" spans="1:17" ht="15.75" thickBot="1" x14ac:dyDescent="0.3">
      <c r="A33" s="12"/>
      <c r="B33" s="13">
        <v>44014</v>
      </c>
      <c r="C33" s="62">
        <v>459124.22</v>
      </c>
      <c r="D33" s="64"/>
      <c r="E33" s="16">
        <v>44014</v>
      </c>
      <c r="F33" s="65">
        <v>22739.4</v>
      </c>
      <c r="H33" s="18">
        <v>44014</v>
      </c>
      <c r="I33" s="59">
        <v>5893.82</v>
      </c>
      <c r="J33" s="55"/>
      <c r="K33" s="56"/>
      <c r="L33" s="53"/>
      <c r="M33" s="20">
        <v>403573</v>
      </c>
      <c r="N33" s="21">
        <f>16149.94+10775.81</f>
        <v>26925.75</v>
      </c>
      <c r="O33" s="27"/>
      <c r="P33" s="10">
        <f t="shared" si="0"/>
        <v>459131.97</v>
      </c>
      <c r="Q33" s="11">
        <f t="shared" si="1"/>
        <v>7.75</v>
      </c>
    </row>
    <row r="34" spans="1:17" ht="15.75" thickBot="1" x14ac:dyDescent="0.3">
      <c r="A34" s="12"/>
      <c r="B34" s="13">
        <v>44015</v>
      </c>
      <c r="C34" s="62">
        <v>570107.82999999996</v>
      </c>
      <c r="D34" s="66"/>
      <c r="E34" s="16">
        <v>44015</v>
      </c>
      <c r="F34" s="65">
        <v>31631</v>
      </c>
      <c r="H34" s="18">
        <v>44015</v>
      </c>
      <c r="I34" s="59">
        <v>26307.5</v>
      </c>
      <c r="J34" s="55"/>
      <c r="K34" s="52"/>
      <c r="L34" s="53"/>
      <c r="M34" s="20">
        <v>491003</v>
      </c>
      <c r="N34" s="21">
        <f>5219.1+15950.72</f>
        <v>21169.82</v>
      </c>
      <c r="O34" s="27"/>
      <c r="P34" s="10">
        <f t="shared" si="0"/>
        <v>570111.31999999995</v>
      </c>
      <c r="Q34" s="11">
        <f t="shared" si="1"/>
        <v>3.4899999999906868</v>
      </c>
    </row>
    <row r="35" spans="1:17" ht="15.75" thickBot="1" x14ac:dyDescent="0.3">
      <c r="A35" s="12"/>
      <c r="B35" s="13">
        <v>44016</v>
      </c>
      <c r="C35" s="62">
        <v>702211.17</v>
      </c>
      <c r="D35" s="64"/>
      <c r="E35" s="16">
        <v>44016</v>
      </c>
      <c r="F35" s="65">
        <v>73971.95</v>
      </c>
      <c r="H35" s="18">
        <v>44016</v>
      </c>
      <c r="I35" s="59">
        <v>2607.6</v>
      </c>
      <c r="J35" s="172">
        <v>44016</v>
      </c>
      <c r="K35" s="158" t="s">
        <v>12</v>
      </c>
      <c r="L35" s="157">
        <v>97425.02</v>
      </c>
      <c r="M35" s="20">
        <v>538646</v>
      </c>
      <c r="N35" s="21">
        <f>13252.29+15624.72</f>
        <v>28877.010000000002</v>
      </c>
      <c r="O35" s="27"/>
      <c r="P35" s="10">
        <f t="shared" si="0"/>
        <v>741527.58000000007</v>
      </c>
      <c r="Q35" s="11">
        <f t="shared" si="1"/>
        <v>39316.410000000033</v>
      </c>
    </row>
    <row r="36" spans="1:17" ht="15.75" thickBot="1" x14ac:dyDescent="0.3">
      <c r="A36" s="12"/>
      <c r="B36" s="13">
        <v>44017</v>
      </c>
      <c r="C36" s="62">
        <v>496026.25</v>
      </c>
      <c r="D36" s="64"/>
      <c r="E36" s="16">
        <v>44017</v>
      </c>
      <c r="F36" s="65">
        <v>10294</v>
      </c>
      <c r="H36" s="18">
        <v>44017</v>
      </c>
      <c r="I36" s="59">
        <v>14020.81</v>
      </c>
      <c r="J36" s="55"/>
      <c r="K36" s="52"/>
      <c r="L36" s="53"/>
      <c r="M36" s="20">
        <v>462780.5</v>
      </c>
      <c r="N36" s="21">
        <f>8929.79</f>
        <v>8929.7900000000009</v>
      </c>
      <c r="O36" s="27"/>
      <c r="P36" s="10">
        <f t="shared" si="0"/>
        <v>496025.1</v>
      </c>
      <c r="Q36" s="11">
        <f t="shared" si="1"/>
        <v>-1.1500000000232831</v>
      </c>
    </row>
    <row r="37" spans="1:17" ht="16.5" thickBot="1" x14ac:dyDescent="0.3">
      <c r="A37" s="12"/>
      <c r="B37" s="13"/>
      <c r="C37" s="62">
        <v>0</v>
      </c>
      <c r="D37" s="68"/>
      <c r="E37" s="16"/>
      <c r="F37" s="65">
        <v>0</v>
      </c>
      <c r="H37" s="18"/>
      <c r="I37" s="59">
        <v>0</v>
      </c>
      <c r="J37" s="55"/>
      <c r="K37" s="187" t="s">
        <v>5</v>
      </c>
      <c r="L37" s="26">
        <v>1598</v>
      </c>
      <c r="M37" s="190">
        <v>0</v>
      </c>
      <c r="N37" s="191">
        <v>0</v>
      </c>
      <c r="O37" s="27"/>
      <c r="P37" s="22">
        <v>0</v>
      </c>
      <c r="Q37" s="5">
        <v>0</v>
      </c>
    </row>
    <row r="38" spans="1:17" ht="15.75" thickBot="1" x14ac:dyDescent="0.3">
      <c r="A38" s="12"/>
      <c r="B38" s="13"/>
      <c r="C38" s="69">
        <v>0</v>
      </c>
      <c r="D38" s="68"/>
      <c r="E38" s="16"/>
      <c r="F38" s="65">
        <v>0</v>
      </c>
      <c r="H38" s="18"/>
      <c r="I38" s="59">
        <v>0</v>
      </c>
      <c r="J38" s="55"/>
      <c r="K38" s="188" t="s">
        <v>6</v>
      </c>
      <c r="L38" s="29">
        <v>41889</v>
      </c>
      <c r="M38" s="130">
        <f>SUM(M4:M37)</f>
        <v>13205720.699999999</v>
      </c>
      <c r="N38" s="192">
        <f>SUM(N4:N37)</f>
        <v>903935.27</v>
      </c>
      <c r="O38" s="27"/>
      <c r="P38" s="70">
        <v>0</v>
      </c>
      <c r="Q38" s="70">
        <v>0</v>
      </c>
    </row>
    <row r="39" spans="1:17" ht="15.75" thickBot="1" x14ac:dyDescent="0.3">
      <c r="A39" s="12"/>
      <c r="B39" s="13"/>
      <c r="C39" s="69">
        <v>0</v>
      </c>
      <c r="D39" s="71"/>
      <c r="E39" s="16"/>
      <c r="F39" s="65">
        <v>0</v>
      </c>
      <c r="H39" s="18"/>
      <c r="I39" s="72">
        <v>0</v>
      </c>
      <c r="J39" s="55"/>
      <c r="K39" s="186" t="s">
        <v>7</v>
      </c>
      <c r="L39" s="159">
        <v>0</v>
      </c>
      <c r="M39" s="22"/>
      <c r="N39" s="22"/>
      <c r="O39" s="27"/>
      <c r="P39" s="22">
        <f>SUM(P4:P38)</f>
        <v>16133049.629999997</v>
      </c>
      <c r="Q39" s="22">
        <f>SUM(Q4:Q38)</f>
        <v>157171.28999999992</v>
      </c>
    </row>
    <row r="40" spans="1:17" ht="16.5" thickBot="1" x14ac:dyDescent="0.3">
      <c r="B40" s="73" t="s">
        <v>13</v>
      </c>
      <c r="C40" s="74">
        <f>SUM(C4:C39)</f>
        <v>15975878.34</v>
      </c>
      <c r="D40" s="75"/>
      <c r="E40" s="76" t="s">
        <v>13</v>
      </c>
      <c r="F40" s="77">
        <f>SUM(F4:F39)</f>
        <v>994759.2699999999</v>
      </c>
      <c r="G40" s="75"/>
      <c r="H40" s="78" t="s">
        <v>14</v>
      </c>
      <c r="I40" s="79">
        <f>SUM(I4:I39)</f>
        <v>501907.27000000008</v>
      </c>
      <c r="J40" s="80"/>
      <c r="K40" s="81" t="s">
        <v>15</v>
      </c>
      <c r="L40" s="82">
        <f>SUM(L6:L39)</f>
        <v>570214.12</v>
      </c>
      <c r="O40" s="83"/>
      <c r="P40" s="22"/>
      <c r="Q40" s="22"/>
    </row>
    <row r="41" spans="1:17" ht="20.25" thickTop="1" thickBot="1" x14ac:dyDescent="0.3">
      <c r="C41" s="6" t="s">
        <v>4</v>
      </c>
      <c r="M41" s="277">
        <f>N38+M38</f>
        <v>14109655.969999999</v>
      </c>
      <c r="N41" s="278"/>
      <c r="O41" s="84"/>
      <c r="P41" s="85"/>
    </row>
    <row r="42" spans="1:17" ht="15.75" customHeight="1" x14ac:dyDescent="0.25">
      <c r="A42" s="42"/>
      <c r="B42" s="86"/>
      <c r="C42" s="4"/>
      <c r="H42" s="264" t="s">
        <v>16</v>
      </c>
      <c r="I42" s="265"/>
      <c r="J42" s="265"/>
      <c r="K42" s="266">
        <f>I40+L40</f>
        <v>1072121.3900000001</v>
      </c>
      <c r="L42" s="267"/>
      <c r="P42" s="30"/>
    </row>
    <row r="43" spans="1:17" ht="15.75" x14ac:dyDescent="0.25">
      <c r="D43" s="268" t="s">
        <v>17</v>
      </c>
      <c r="E43" s="268"/>
      <c r="F43" s="87">
        <f>C40-F40-K42</f>
        <v>13908997.68</v>
      </c>
      <c r="I43" s="88"/>
      <c r="J43" s="89"/>
      <c r="O43" s="107"/>
      <c r="P43" s="30"/>
      <c r="Q43" s="22"/>
    </row>
    <row r="44" spans="1:17" ht="32.25" customHeight="1" x14ac:dyDescent="0.3">
      <c r="D44" s="269" t="s">
        <v>18</v>
      </c>
      <c r="E44" s="269"/>
      <c r="F44" s="90">
        <v>-13914390.210000001</v>
      </c>
      <c r="I44" s="270" t="s">
        <v>19</v>
      </c>
      <c r="J44" s="271"/>
      <c r="K44" s="272">
        <f>F48</f>
        <v>1188561.1799999988</v>
      </c>
      <c r="L44" s="273"/>
      <c r="O44" s="107"/>
      <c r="P44" s="108"/>
      <c r="Q44" s="22"/>
    </row>
    <row r="45" spans="1:17" ht="18.75" x14ac:dyDescent="0.3">
      <c r="C45" s="7" t="s">
        <v>4</v>
      </c>
      <c r="E45" s="42" t="s">
        <v>20</v>
      </c>
      <c r="F45" s="90">
        <f>SUM(F43:F44)</f>
        <v>-5392.5300000011921</v>
      </c>
      <c r="H45" s="12"/>
      <c r="I45" s="91" t="s">
        <v>21</v>
      </c>
      <c r="J45" s="92"/>
      <c r="K45" s="255">
        <f>-C2</f>
        <v>-1148228.8400000001</v>
      </c>
      <c r="L45" s="256"/>
      <c r="M45" s="93"/>
      <c r="O45" s="107"/>
      <c r="P45" s="30"/>
      <c r="Q45" s="22"/>
    </row>
    <row r="46" spans="1:17" ht="16.5" thickBot="1" x14ac:dyDescent="0.3">
      <c r="D46" s="94"/>
      <c r="E46" s="42"/>
      <c r="F46" s="95">
        <v>0</v>
      </c>
      <c r="O46" s="107"/>
      <c r="P46" s="30"/>
      <c r="Q46" s="22"/>
    </row>
    <row r="47" spans="1:17" ht="20.25" thickTop="1" thickBot="1" x14ac:dyDescent="0.35">
      <c r="C47" s="185">
        <v>44017</v>
      </c>
      <c r="D47" s="257" t="s">
        <v>22</v>
      </c>
      <c r="E47" s="258"/>
      <c r="F47" s="96">
        <v>1193953.71</v>
      </c>
      <c r="I47" s="259" t="s">
        <v>23</v>
      </c>
      <c r="J47" s="260"/>
      <c r="K47" s="261">
        <f>K44+K45</f>
        <v>40332.339999998687</v>
      </c>
      <c r="L47" s="262"/>
      <c r="O47" s="107"/>
      <c r="P47" s="109"/>
      <c r="Q47" s="22"/>
    </row>
    <row r="48" spans="1:17" ht="18.75" x14ac:dyDescent="0.3">
      <c r="C48" s="97"/>
      <c r="D48" s="98"/>
      <c r="E48" s="99" t="s">
        <v>24</v>
      </c>
      <c r="F48" s="100">
        <f>F45+F46+F47</f>
        <v>1188561.1799999988</v>
      </c>
      <c r="J48" s="101"/>
      <c r="M48" s="102"/>
      <c r="O48" s="107"/>
      <c r="P48" s="22"/>
      <c r="Q48" s="22"/>
    </row>
    <row r="49" spans="2:17" x14ac:dyDescent="0.25">
      <c r="O49" s="107"/>
      <c r="P49" s="22"/>
      <c r="Q49" s="22"/>
    </row>
    <row r="50" spans="2:17" x14ac:dyDescent="0.25">
      <c r="B50"/>
      <c r="C50"/>
      <c r="D50" s="263"/>
      <c r="E50" s="263"/>
      <c r="M50" s="103"/>
      <c r="N50" s="42"/>
      <c r="O50" s="110"/>
      <c r="P50" s="111"/>
      <c r="Q50" s="112"/>
    </row>
    <row r="51" spans="2:17" x14ac:dyDescent="0.25">
      <c r="B51"/>
      <c r="C51"/>
      <c r="M51" s="103"/>
      <c r="N51" s="42"/>
      <c r="O51" s="42"/>
      <c r="P51" s="42"/>
      <c r="Q51" s="106"/>
    </row>
    <row r="52" spans="2:17" x14ac:dyDescent="0.25">
      <c r="B52"/>
      <c r="C52"/>
      <c r="N52" s="42"/>
      <c r="O52" s="42"/>
      <c r="P52" s="42"/>
      <c r="Q52" s="106"/>
    </row>
    <row r="53" spans="2:17" x14ac:dyDescent="0.25">
      <c r="B53"/>
      <c r="C53"/>
      <c r="F53"/>
      <c r="I53"/>
      <c r="J53" s="104"/>
      <c r="L53" s="194">
        <v>14109655.970000001</v>
      </c>
      <c r="M53"/>
      <c r="N53" s="42"/>
      <c r="O53" s="42"/>
      <c r="P53" s="42"/>
      <c r="Q53" s="106"/>
    </row>
    <row r="54" spans="2:17" x14ac:dyDescent="0.25">
      <c r="B54"/>
      <c r="C54"/>
      <c r="F54" s="105"/>
      <c r="L54" s="53">
        <v>1072121.3899999999</v>
      </c>
      <c r="N54" s="42"/>
      <c r="O54" s="42"/>
      <c r="P54" s="42"/>
      <c r="Q54" s="106"/>
    </row>
    <row r="55" spans="2:17" x14ac:dyDescent="0.25">
      <c r="F55" s="22"/>
      <c r="L55" s="53">
        <v>994759.27</v>
      </c>
      <c r="M55" s="4"/>
      <c r="N55" s="42"/>
      <c r="O55" s="42"/>
      <c r="P55" s="42"/>
      <c r="Q55" s="106"/>
    </row>
    <row r="56" spans="2:17" x14ac:dyDescent="0.25">
      <c r="F56" s="22"/>
      <c r="L56" s="61">
        <v>-157171.29</v>
      </c>
      <c r="M56" s="4"/>
      <c r="N56" s="42"/>
      <c r="O56" s="42"/>
      <c r="P56" s="42"/>
      <c r="Q56" s="106"/>
    </row>
    <row r="57" spans="2:17" x14ac:dyDescent="0.25">
      <c r="F57" s="22"/>
      <c r="L57" s="53">
        <v>-43487</v>
      </c>
      <c r="M57" s="4"/>
      <c r="N57" s="42"/>
      <c r="O57" s="42"/>
      <c r="P57" s="42"/>
      <c r="Q57" s="106"/>
    </row>
    <row r="58" spans="2:17" x14ac:dyDescent="0.25">
      <c r="F58" s="22"/>
      <c r="L58" s="53"/>
      <c r="M58" s="4"/>
      <c r="N58" s="42"/>
      <c r="O58" s="42"/>
      <c r="P58" s="42"/>
      <c r="Q58" s="106"/>
    </row>
    <row r="59" spans="2:17" x14ac:dyDescent="0.25">
      <c r="F59" s="22"/>
      <c r="L59" s="53"/>
      <c r="M59" s="4"/>
    </row>
    <row r="60" spans="2:17" x14ac:dyDescent="0.25">
      <c r="F60" s="22"/>
      <c r="L60" s="53"/>
      <c r="M60" s="4"/>
    </row>
    <row r="61" spans="2:17" x14ac:dyDescent="0.25">
      <c r="F61" s="22"/>
      <c r="L61" s="67"/>
      <c r="M61" s="4"/>
    </row>
    <row r="62" spans="2:17" x14ac:dyDescent="0.25">
      <c r="F62" s="22"/>
      <c r="L62" s="53"/>
      <c r="M62" s="4"/>
    </row>
    <row r="63" spans="2:17" x14ac:dyDescent="0.25">
      <c r="F63" s="22"/>
      <c r="L63" s="195">
        <f>SUM(L53:L62)</f>
        <v>15975878.340000002</v>
      </c>
      <c r="M63" s="4"/>
    </row>
    <row r="64" spans="2:17" x14ac:dyDescent="0.25">
      <c r="F64" s="105"/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  <row r="73" spans="13:13" x14ac:dyDescent="0.25">
      <c r="M73" s="4"/>
    </row>
    <row r="74" spans="13:13" x14ac:dyDescent="0.25">
      <c r="M74" s="4"/>
    </row>
    <row r="75" spans="13:13" x14ac:dyDescent="0.25">
      <c r="M75" s="4"/>
    </row>
    <row r="76" spans="13:13" x14ac:dyDescent="0.25">
      <c r="M76" s="4"/>
    </row>
    <row r="77" spans="13:13" x14ac:dyDescent="0.25">
      <c r="M77" s="4"/>
    </row>
  </sheetData>
  <mergeCells count="17">
    <mergeCell ref="C1:K1"/>
    <mergeCell ref="H3:I3"/>
    <mergeCell ref="M41:N41"/>
    <mergeCell ref="B3:C3"/>
    <mergeCell ref="D2:E2"/>
    <mergeCell ref="E3:F3"/>
    <mergeCell ref="H42:J42"/>
    <mergeCell ref="K42:L42"/>
    <mergeCell ref="D43:E43"/>
    <mergeCell ref="D44:E44"/>
    <mergeCell ref="I44:J44"/>
    <mergeCell ref="K44:L44"/>
    <mergeCell ref="K45:L45"/>
    <mergeCell ref="D47:E47"/>
    <mergeCell ref="I47:J47"/>
    <mergeCell ref="K47:L47"/>
    <mergeCell ref="D50:E50"/>
  </mergeCells>
  <phoneticPr fontId="33" type="noConversion"/>
  <pageMargins left="0.61" right="0.15748031496062992" top="0.35433070866141736" bottom="0.31496062992125984" header="0.31496062992125984" footer="0.31496062992125984"/>
  <pageSetup scale="72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FC50-DF7A-42AE-956E-8D29CA4D3E49}">
  <sheetPr>
    <tabColor rgb="FF00B0F0"/>
  </sheetPr>
  <dimension ref="A2:E212"/>
  <sheetViews>
    <sheetView topLeftCell="A187" workbookViewId="0">
      <selection activeCell="G210" sqref="G210"/>
    </sheetView>
  </sheetViews>
  <sheetFormatPr baseColWidth="10" defaultRowHeight="15" x14ac:dyDescent="0.25"/>
  <cols>
    <col min="1" max="1" width="11.42578125" style="184"/>
    <col min="3" max="3" width="15.140625" style="6" bestFit="1" customWidth="1"/>
    <col min="4" max="4" width="13.7109375" bestFit="1" customWidth="1"/>
    <col min="5" max="5" width="11.140625" bestFit="1" customWidth="1"/>
  </cols>
  <sheetData>
    <row r="2" spans="1:5" ht="15.75" thickBot="1" x14ac:dyDescent="0.3">
      <c r="A2" s="284" t="s">
        <v>26</v>
      </c>
      <c r="B2" s="285"/>
      <c r="C2" s="285"/>
      <c r="D2" s="285"/>
      <c r="E2" s="286"/>
    </row>
    <row r="3" spans="1:5" ht="16.5" thickTop="1" thickBot="1" x14ac:dyDescent="0.3">
      <c r="A3" s="180" t="s">
        <v>27</v>
      </c>
      <c r="B3" s="121" t="s">
        <v>28</v>
      </c>
      <c r="C3" s="173" t="s">
        <v>29</v>
      </c>
      <c r="D3" s="121"/>
      <c r="E3" s="121" t="s">
        <v>30</v>
      </c>
    </row>
    <row r="4" spans="1:5" ht="15.75" thickTop="1" x14ac:dyDescent="0.25">
      <c r="A4" s="181">
        <v>43985</v>
      </c>
      <c r="B4" s="122" t="s">
        <v>31</v>
      </c>
      <c r="C4" s="174">
        <v>45572.1</v>
      </c>
      <c r="D4" s="123"/>
      <c r="E4" s="123"/>
    </row>
    <row r="5" spans="1:5" x14ac:dyDescent="0.25">
      <c r="A5" s="181">
        <v>43985</v>
      </c>
      <c r="B5" s="122" t="s">
        <v>32</v>
      </c>
      <c r="C5" s="174">
        <v>61300.6</v>
      </c>
      <c r="D5" s="123"/>
      <c r="E5" s="123"/>
    </row>
    <row r="6" spans="1:5" x14ac:dyDescent="0.25">
      <c r="A6" s="181">
        <v>43985</v>
      </c>
      <c r="B6" s="122" t="s">
        <v>33</v>
      </c>
      <c r="C6" s="174">
        <v>3952</v>
      </c>
      <c r="D6" s="123"/>
      <c r="E6" s="123"/>
    </row>
    <row r="7" spans="1:5" x14ac:dyDescent="0.25">
      <c r="A7" s="181">
        <v>43985</v>
      </c>
      <c r="B7" s="122" t="s">
        <v>34</v>
      </c>
      <c r="C7" s="174">
        <v>128132.2</v>
      </c>
      <c r="D7" s="123"/>
      <c r="E7" s="123"/>
    </row>
    <row r="8" spans="1:5" x14ac:dyDescent="0.25">
      <c r="A8" s="181">
        <v>43985</v>
      </c>
      <c r="B8" s="122" t="s">
        <v>35</v>
      </c>
      <c r="C8" s="174">
        <v>131415</v>
      </c>
      <c r="D8" s="123"/>
      <c r="E8" s="123"/>
    </row>
    <row r="9" spans="1:5" x14ac:dyDescent="0.25">
      <c r="A9" s="181">
        <v>43985</v>
      </c>
      <c r="B9" s="122" t="s">
        <v>36</v>
      </c>
      <c r="C9" s="174">
        <v>79723.600000000006</v>
      </c>
      <c r="D9" s="123"/>
      <c r="E9" s="123"/>
    </row>
    <row r="10" spans="1:5" x14ac:dyDescent="0.25">
      <c r="A10" s="181">
        <v>43985</v>
      </c>
      <c r="B10" s="122" t="s">
        <v>37</v>
      </c>
      <c r="C10" s="174">
        <v>63628.7</v>
      </c>
      <c r="D10" s="123"/>
      <c r="E10" s="123"/>
    </row>
    <row r="11" spans="1:5" x14ac:dyDescent="0.25">
      <c r="A11" s="181">
        <v>43985</v>
      </c>
      <c r="B11" s="122" t="s">
        <v>38</v>
      </c>
      <c r="C11" s="174">
        <v>54648.7</v>
      </c>
      <c r="D11" s="123"/>
      <c r="E11" s="123"/>
    </row>
    <row r="12" spans="1:5" x14ac:dyDescent="0.25">
      <c r="A12" s="181">
        <v>43985</v>
      </c>
      <c r="B12" s="122" t="s">
        <v>39</v>
      </c>
      <c r="C12" s="174">
        <v>58872.5</v>
      </c>
      <c r="D12" s="123"/>
      <c r="E12" s="123"/>
    </row>
    <row r="13" spans="1:5" x14ac:dyDescent="0.25">
      <c r="A13" s="181">
        <v>43986</v>
      </c>
      <c r="B13" s="122" t="s">
        <v>40</v>
      </c>
      <c r="C13" s="174">
        <v>77596.5</v>
      </c>
      <c r="D13" s="123"/>
      <c r="E13" s="123"/>
    </row>
    <row r="14" spans="1:5" x14ac:dyDescent="0.25">
      <c r="A14" s="181">
        <v>43986</v>
      </c>
      <c r="B14" s="122" t="s">
        <v>41</v>
      </c>
      <c r="C14" s="175">
        <v>0</v>
      </c>
      <c r="D14" s="124" t="s">
        <v>42</v>
      </c>
      <c r="E14" s="125">
        <v>0</v>
      </c>
    </row>
    <row r="15" spans="1:5" x14ac:dyDescent="0.25">
      <c r="A15" s="181">
        <v>43986</v>
      </c>
      <c r="B15" s="122" t="s">
        <v>43</v>
      </c>
      <c r="C15" s="174">
        <v>21848.6</v>
      </c>
      <c r="D15" s="123"/>
      <c r="E15" s="123"/>
    </row>
    <row r="16" spans="1:5" x14ac:dyDescent="0.25">
      <c r="A16" s="181">
        <v>43986</v>
      </c>
      <c r="B16" s="122" t="s">
        <v>44</v>
      </c>
      <c r="C16" s="174">
        <v>163046.51999999999</v>
      </c>
      <c r="D16" s="123"/>
      <c r="E16" s="123"/>
    </row>
    <row r="17" spans="1:5" x14ac:dyDescent="0.25">
      <c r="A17" s="181">
        <v>43986</v>
      </c>
      <c r="B17" s="122" t="s">
        <v>45</v>
      </c>
      <c r="C17" s="174">
        <v>45986.9</v>
      </c>
      <c r="D17" s="123"/>
      <c r="E17" s="123"/>
    </row>
    <row r="18" spans="1:5" x14ac:dyDescent="0.25">
      <c r="A18" s="181">
        <v>43986</v>
      </c>
      <c r="B18" s="122" t="s">
        <v>46</v>
      </c>
      <c r="C18" s="174">
        <v>13186.9</v>
      </c>
      <c r="D18" s="123"/>
      <c r="E18" s="123"/>
    </row>
    <row r="19" spans="1:5" x14ac:dyDescent="0.25">
      <c r="A19" s="181">
        <v>43986</v>
      </c>
      <c r="B19" s="122" t="s">
        <v>47</v>
      </c>
      <c r="C19" s="174">
        <v>431420</v>
      </c>
      <c r="D19" s="123"/>
      <c r="E19" s="123"/>
    </row>
    <row r="20" spans="1:5" x14ac:dyDescent="0.25">
      <c r="A20" s="181">
        <v>43986</v>
      </c>
      <c r="B20" s="122" t="s">
        <v>48</v>
      </c>
      <c r="C20" s="174">
        <v>98545.9</v>
      </c>
      <c r="D20" s="123"/>
      <c r="E20" s="123"/>
    </row>
    <row r="21" spans="1:5" x14ac:dyDescent="0.25">
      <c r="A21" s="181">
        <v>43986</v>
      </c>
      <c r="B21" s="122" t="s">
        <v>49</v>
      </c>
      <c r="C21" s="174">
        <v>94593.3</v>
      </c>
      <c r="D21" s="123"/>
      <c r="E21" s="123"/>
    </row>
    <row r="22" spans="1:5" x14ac:dyDescent="0.25">
      <c r="A22" s="181">
        <v>43987</v>
      </c>
      <c r="B22" s="122" t="s">
        <v>50</v>
      </c>
      <c r="C22" s="174">
        <v>110957.9</v>
      </c>
      <c r="D22" s="123"/>
      <c r="E22" s="123"/>
    </row>
    <row r="23" spans="1:5" x14ac:dyDescent="0.25">
      <c r="A23" s="181">
        <v>43987</v>
      </c>
      <c r="B23" s="122" t="s">
        <v>51</v>
      </c>
      <c r="C23" s="174">
        <v>147094.1</v>
      </c>
      <c r="D23" s="123"/>
      <c r="E23" s="123"/>
    </row>
    <row r="24" spans="1:5" x14ac:dyDescent="0.25">
      <c r="A24" s="181">
        <v>43987</v>
      </c>
      <c r="B24" s="122" t="s">
        <v>52</v>
      </c>
      <c r="C24" s="174">
        <v>60731.3</v>
      </c>
      <c r="D24" s="123"/>
      <c r="E24" s="123"/>
    </row>
    <row r="25" spans="1:5" x14ac:dyDescent="0.25">
      <c r="A25" s="181">
        <v>43987</v>
      </c>
      <c r="B25" s="122" t="s">
        <v>53</v>
      </c>
      <c r="C25" s="176">
        <v>0</v>
      </c>
      <c r="D25" s="176" t="s">
        <v>42</v>
      </c>
      <c r="E25" s="125">
        <v>0</v>
      </c>
    </row>
    <row r="26" spans="1:5" x14ac:dyDescent="0.25">
      <c r="A26" s="181">
        <v>43987</v>
      </c>
      <c r="B26" s="122" t="s">
        <v>54</v>
      </c>
      <c r="C26" s="174">
        <v>12758.2</v>
      </c>
      <c r="D26" s="123"/>
      <c r="E26" s="123"/>
    </row>
    <row r="27" spans="1:5" x14ac:dyDescent="0.25">
      <c r="A27" s="181">
        <v>43988</v>
      </c>
      <c r="B27" s="122" t="s">
        <v>55</v>
      </c>
      <c r="C27" s="174">
        <v>9660</v>
      </c>
      <c r="D27" s="123"/>
      <c r="E27" s="123"/>
    </row>
    <row r="28" spans="1:5" x14ac:dyDescent="0.25">
      <c r="A28" s="181">
        <v>43988</v>
      </c>
      <c r="B28" s="122" t="s">
        <v>56</v>
      </c>
      <c r="C28" s="174">
        <v>177630.72</v>
      </c>
      <c r="D28" s="123"/>
      <c r="E28" s="123"/>
    </row>
    <row r="29" spans="1:5" x14ac:dyDescent="0.25">
      <c r="A29" s="181">
        <v>43988</v>
      </c>
      <c r="B29" s="122" t="s">
        <v>57</v>
      </c>
      <c r="C29" s="174">
        <v>93792.8</v>
      </c>
      <c r="D29" s="123"/>
      <c r="E29" s="123"/>
    </row>
    <row r="30" spans="1:5" x14ac:dyDescent="0.25">
      <c r="A30" s="181">
        <v>43988</v>
      </c>
      <c r="B30" s="122" t="s">
        <v>58</v>
      </c>
      <c r="C30" s="174">
        <v>29858.799999999999</v>
      </c>
      <c r="D30" s="123"/>
      <c r="E30" s="123"/>
    </row>
    <row r="31" spans="1:5" x14ac:dyDescent="0.25">
      <c r="A31" s="181">
        <v>43988</v>
      </c>
      <c r="B31" s="122" t="s">
        <v>59</v>
      </c>
      <c r="C31" s="174">
        <v>61549.7</v>
      </c>
      <c r="D31" s="123"/>
      <c r="E31" s="123"/>
    </row>
    <row r="32" spans="1:5" x14ac:dyDescent="0.25">
      <c r="A32" s="181">
        <v>43988</v>
      </c>
      <c r="B32" s="122" t="s">
        <v>60</v>
      </c>
      <c r="C32" s="176">
        <v>0</v>
      </c>
      <c r="D32" s="125" t="s">
        <v>42</v>
      </c>
      <c r="E32" s="125">
        <v>0</v>
      </c>
    </row>
    <row r="33" spans="1:5" x14ac:dyDescent="0.25">
      <c r="A33" s="181">
        <v>43989</v>
      </c>
      <c r="B33" s="122" t="s">
        <v>61</v>
      </c>
      <c r="C33" s="174">
        <v>36092.06</v>
      </c>
      <c r="D33" s="123"/>
      <c r="E33" s="123"/>
    </row>
    <row r="34" spans="1:5" x14ac:dyDescent="0.25">
      <c r="A34" s="181">
        <v>43990</v>
      </c>
      <c r="B34" s="122" t="s">
        <v>62</v>
      </c>
      <c r="C34" s="174">
        <v>45613.599999999999</v>
      </c>
      <c r="D34" s="123"/>
      <c r="E34" s="123"/>
    </row>
    <row r="35" spans="1:5" x14ac:dyDescent="0.25">
      <c r="A35" s="181">
        <v>43990</v>
      </c>
      <c r="B35" s="122" t="s">
        <v>63</v>
      </c>
      <c r="C35" s="174">
        <v>12776.4</v>
      </c>
      <c r="D35" s="123"/>
      <c r="E35" s="123"/>
    </row>
    <row r="36" spans="1:5" x14ac:dyDescent="0.25">
      <c r="A36" s="181">
        <v>43990</v>
      </c>
      <c r="B36" s="122" t="s">
        <v>64</v>
      </c>
      <c r="C36" s="176">
        <v>0</v>
      </c>
      <c r="D36" s="125" t="s">
        <v>42</v>
      </c>
      <c r="E36" s="125">
        <v>0</v>
      </c>
    </row>
    <row r="37" spans="1:5" x14ac:dyDescent="0.25">
      <c r="A37" s="181">
        <v>43990</v>
      </c>
      <c r="B37" s="122" t="s">
        <v>65</v>
      </c>
      <c r="C37" s="174">
        <v>167450.45000000001</v>
      </c>
      <c r="D37" s="123"/>
      <c r="E37" s="123"/>
    </row>
    <row r="38" spans="1:5" x14ac:dyDescent="0.25">
      <c r="A38" s="181">
        <v>43990</v>
      </c>
      <c r="B38" s="122" t="s">
        <v>66</v>
      </c>
      <c r="C38" s="174">
        <v>19341.900000000001</v>
      </c>
      <c r="D38" s="123"/>
      <c r="E38" s="123"/>
    </row>
    <row r="39" spans="1:5" x14ac:dyDescent="0.25">
      <c r="A39" s="181">
        <v>43991</v>
      </c>
      <c r="B39" s="122" t="s">
        <v>67</v>
      </c>
      <c r="C39" s="174">
        <v>420</v>
      </c>
      <c r="D39" s="123"/>
      <c r="E39" s="123"/>
    </row>
    <row r="40" spans="1:5" x14ac:dyDescent="0.25">
      <c r="A40" s="181">
        <v>43991</v>
      </c>
      <c r="B40" s="122" t="s">
        <v>68</v>
      </c>
      <c r="C40" s="174">
        <v>147252.6</v>
      </c>
      <c r="D40" s="123"/>
      <c r="E40" s="123"/>
    </row>
    <row r="41" spans="1:5" x14ac:dyDescent="0.25">
      <c r="A41" s="181">
        <v>43991</v>
      </c>
      <c r="B41" s="122" t="s">
        <v>69</v>
      </c>
      <c r="C41" s="174">
        <v>20830.8</v>
      </c>
      <c r="D41" s="123"/>
      <c r="E41" s="123"/>
    </row>
    <row r="42" spans="1:5" x14ac:dyDescent="0.25">
      <c r="A42" s="181">
        <v>43991</v>
      </c>
      <c r="B42" s="122" t="s">
        <v>70</v>
      </c>
      <c r="C42" s="174">
        <v>82402.84</v>
      </c>
      <c r="D42" s="123"/>
      <c r="E42" s="123"/>
    </row>
    <row r="43" spans="1:5" x14ac:dyDescent="0.25">
      <c r="A43" s="181">
        <v>43992</v>
      </c>
      <c r="B43" s="122" t="s">
        <v>71</v>
      </c>
      <c r="C43" s="174">
        <v>23073.200000000001</v>
      </c>
      <c r="D43" s="123"/>
      <c r="E43" s="123"/>
    </row>
    <row r="44" spans="1:5" x14ac:dyDescent="0.25">
      <c r="A44" s="181">
        <v>43992</v>
      </c>
      <c r="B44" s="122" t="s">
        <v>72</v>
      </c>
      <c r="C44" s="174">
        <v>87829.5</v>
      </c>
      <c r="D44" s="123"/>
      <c r="E44" s="123"/>
    </row>
    <row r="45" spans="1:5" x14ac:dyDescent="0.25">
      <c r="A45" s="181">
        <v>43992</v>
      </c>
      <c r="B45" s="122" t="s">
        <v>73</v>
      </c>
      <c r="C45" s="174">
        <v>16438.900000000001</v>
      </c>
      <c r="D45" s="123"/>
      <c r="E45" s="123"/>
    </row>
    <row r="46" spans="1:5" x14ac:dyDescent="0.25">
      <c r="A46" s="181">
        <v>43992</v>
      </c>
      <c r="B46" s="122" t="s">
        <v>74</v>
      </c>
      <c r="C46" s="174">
        <v>123629.4</v>
      </c>
      <c r="D46" s="123"/>
      <c r="E46" s="123"/>
    </row>
    <row r="47" spans="1:5" x14ac:dyDescent="0.25">
      <c r="A47" s="181">
        <v>43992</v>
      </c>
      <c r="B47" s="122" t="s">
        <v>75</v>
      </c>
      <c r="C47" s="174">
        <v>19944</v>
      </c>
      <c r="D47" s="123"/>
      <c r="E47" s="123"/>
    </row>
    <row r="48" spans="1:5" x14ac:dyDescent="0.25">
      <c r="A48" s="181">
        <v>43992</v>
      </c>
      <c r="B48" s="122" t="s">
        <v>76</v>
      </c>
      <c r="C48" s="176">
        <v>0</v>
      </c>
      <c r="D48" s="125"/>
      <c r="E48" s="125">
        <v>0</v>
      </c>
    </row>
    <row r="49" spans="1:5" x14ac:dyDescent="0.25">
      <c r="A49" s="181">
        <v>43992</v>
      </c>
      <c r="B49" s="122" t="s">
        <v>77</v>
      </c>
      <c r="C49" s="174">
        <v>76978.899999999994</v>
      </c>
      <c r="D49" s="123"/>
      <c r="E49" s="123"/>
    </row>
    <row r="50" spans="1:5" x14ac:dyDescent="0.25">
      <c r="A50" s="181">
        <v>43993</v>
      </c>
      <c r="B50" s="122" t="s">
        <v>78</v>
      </c>
      <c r="C50" s="174">
        <v>171583.6</v>
      </c>
      <c r="D50" s="123"/>
      <c r="E50" s="123"/>
    </row>
    <row r="51" spans="1:5" x14ac:dyDescent="0.25">
      <c r="A51" s="181">
        <v>43993</v>
      </c>
      <c r="B51" s="122" t="s">
        <v>79</v>
      </c>
      <c r="C51" s="176">
        <v>0</v>
      </c>
      <c r="D51" s="125"/>
      <c r="E51" s="125">
        <v>0</v>
      </c>
    </row>
    <row r="52" spans="1:5" x14ac:dyDescent="0.25">
      <c r="A52" s="181">
        <v>43993</v>
      </c>
      <c r="B52" s="122" t="s">
        <v>80</v>
      </c>
      <c r="C52" s="174">
        <v>47381</v>
      </c>
      <c r="D52" s="123"/>
      <c r="E52" s="123"/>
    </row>
    <row r="53" spans="1:5" x14ac:dyDescent="0.25">
      <c r="A53" s="181">
        <v>43993</v>
      </c>
      <c r="B53" s="122" t="s">
        <v>81</v>
      </c>
      <c r="C53" s="174">
        <v>106874</v>
      </c>
      <c r="D53" s="123"/>
      <c r="E53" s="123"/>
    </row>
    <row r="54" spans="1:5" x14ac:dyDescent="0.25">
      <c r="A54" s="181">
        <v>43993</v>
      </c>
      <c r="B54" s="122" t="s">
        <v>82</v>
      </c>
      <c r="C54" s="176">
        <v>0</v>
      </c>
      <c r="D54" s="125"/>
      <c r="E54" s="125">
        <v>0</v>
      </c>
    </row>
    <row r="55" spans="1:5" x14ac:dyDescent="0.25">
      <c r="A55" s="181">
        <v>43993</v>
      </c>
      <c r="B55" s="122" t="s">
        <v>83</v>
      </c>
      <c r="C55" s="174">
        <v>58605.599999999999</v>
      </c>
      <c r="D55" s="123"/>
      <c r="E55" s="123"/>
    </row>
    <row r="56" spans="1:5" x14ac:dyDescent="0.25">
      <c r="A56" s="181">
        <v>43993</v>
      </c>
      <c r="B56" s="122" t="s">
        <v>84</v>
      </c>
      <c r="C56" s="176">
        <v>0</v>
      </c>
      <c r="D56" s="125"/>
      <c r="E56" s="125">
        <v>0</v>
      </c>
    </row>
    <row r="57" spans="1:5" x14ac:dyDescent="0.25">
      <c r="A57" s="181">
        <v>43994</v>
      </c>
      <c r="B57" s="122" t="s">
        <v>85</v>
      </c>
      <c r="C57" s="176">
        <v>0</v>
      </c>
      <c r="D57" s="125"/>
      <c r="E57" s="125">
        <v>0</v>
      </c>
    </row>
    <row r="58" spans="1:5" x14ac:dyDescent="0.25">
      <c r="A58" s="181">
        <v>43994</v>
      </c>
      <c r="B58" s="122" t="s">
        <v>86</v>
      </c>
      <c r="C58" s="174">
        <v>223828.1</v>
      </c>
      <c r="D58" s="123"/>
      <c r="E58" s="123"/>
    </row>
    <row r="59" spans="1:5" x14ac:dyDescent="0.25">
      <c r="A59" s="181">
        <v>43994</v>
      </c>
      <c r="B59" s="122" t="s">
        <v>87</v>
      </c>
      <c r="C59" s="174">
        <v>98697</v>
      </c>
      <c r="D59" s="123"/>
      <c r="E59" s="123"/>
    </row>
    <row r="60" spans="1:5" x14ac:dyDescent="0.25">
      <c r="A60" s="181">
        <v>43994</v>
      </c>
      <c r="B60" s="122" t="s">
        <v>88</v>
      </c>
      <c r="C60" s="174">
        <v>114596.2</v>
      </c>
      <c r="D60" s="123"/>
      <c r="E60" s="123"/>
    </row>
    <row r="61" spans="1:5" x14ac:dyDescent="0.25">
      <c r="A61" s="181">
        <v>43994</v>
      </c>
      <c r="B61" s="122" t="s">
        <v>89</v>
      </c>
      <c r="C61" s="174">
        <v>2201.5</v>
      </c>
      <c r="D61" s="123"/>
      <c r="E61" s="123"/>
    </row>
    <row r="62" spans="1:5" x14ac:dyDescent="0.25">
      <c r="A62" s="181">
        <v>43994</v>
      </c>
      <c r="B62" s="122" t="s">
        <v>90</v>
      </c>
      <c r="C62" s="174">
        <v>10401</v>
      </c>
      <c r="D62" s="123"/>
      <c r="E62" s="123"/>
    </row>
    <row r="63" spans="1:5" x14ac:dyDescent="0.25">
      <c r="A63" s="181">
        <v>43995</v>
      </c>
      <c r="B63" s="122" t="s">
        <v>91</v>
      </c>
      <c r="C63" s="174">
        <v>6148</v>
      </c>
      <c r="D63" s="123"/>
      <c r="E63" s="123"/>
    </row>
    <row r="64" spans="1:5" x14ac:dyDescent="0.25">
      <c r="A64" s="181">
        <v>43995</v>
      </c>
      <c r="B64" s="122" t="s">
        <v>92</v>
      </c>
      <c r="C64" s="174">
        <v>75784</v>
      </c>
      <c r="D64" s="123"/>
      <c r="E64" s="123"/>
    </row>
    <row r="65" spans="1:5" x14ac:dyDescent="0.25">
      <c r="A65" s="181">
        <v>43995</v>
      </c>
      <c r="B65" s="122" t="s">
        <v>93</v>
      </c>
      <c r="C65" s="176">
        <v>0</v>
      </c>
      <c r="D65" s="125"/>
      <c r="E65" s="125">
        <v>0</v>
      </c>
    </row>
    <row r="66" spans="1:5" x14ac:dyDescent="0.25">
      <c r="A66" s="181">
        <v>43995</v>
      </c>
      <c r="B66" s="122" t="s">
        <v>94</v>
      </c>
      <c r="C66" s="174">
        <v>191675.5</v>
      </c>
      <c r="D66" s="123"/>
      <c r="E66" s="123"/>
    </row>
    <row r="67" spans="1:5" x14ac:dyDescent="0.25">
      <c r="A67" s="181">
        <v>43995</v>
      </c>
      <c r="B67" s="122" t="s">
        <v>95</v>
      </c>
      <c r="C67" s="174">
        <v>50384.5</v>
      </c>
      <c r="D67" s="123"/>
      <c r="E67" s="123"/>
    </row>
    <row r="68" spans="1:5" x14ac:dyDescent="0.25">
      <c r="A68" s="181">
        <v>43995</v>
      </c>
      <c r="B68" s="122" t="s">
        <v>96</v>
      </c>
      <c r="C68" s="176">
        <v>0</v>
      </c>
      <c r="D68" s="125"/>
      <c r="E68" s="125">
        <v>0</v>
      </c>
    </row>
    <row r="69" spans="1:5" x14ac:dyDescent="0.25">
      <c r="A69" s="181">
        <v>43995</v>
      </c>
      <c r="B69" s="122" t="s">
        <v>97</v>
      </c>
      <c r="C69" s="174">
        <v>71918.5</v>
      </c>
      <c r="D69" s="123"/>
      <c r="E69" s="123"/>
    </row>
    <row r="70" spans="1:5" x14ac:dyDescent="0.25">
      <c r="A70" s="181">
        <v>43995</v>
      </c>
      <c r="B70" s="122" t="s">
        <v>98</v>
      </c>
      <c r="C70" s="174">
        <v>63146.7</v>
      </c>
      <c r="D70" s="123"/>
      <c r="E70" s="123"/>
    </row>
    <row r="71" spans="1:5" x14ac:dyDescent="0.25">
      <c r="A71" s="181">
        <v>43995</v>
      </c>
      <c r="B71" s="122" t="s">
        <v>99</v>
      </c>
      <c r="C71" s="174">
        <v>7200</v>
      </c>
      <c r="D71" s="123"/>
      <c r="E71" s="123"/>
    </row>
    <row r="72" spans="1:5" x14ac:dyDescent="0.25">
      <c r="A72" s="181">
        <v>43996</v>
      </c>
      <c r="B72" s="122" t="s">
        <v>100</v>
      </c>
      <c r="C72" s="174">
        <v>11000</v>
      </c>
      <c r="D72" s="123"/>
      <c r="E72" s="123"/>
    </row>
    <row r="73" spans="1:5" x14ac:dyDescent="0.25">
      <c r="A73" s="181">
        <v>43997</v>
      </c>
      <c r="B73" s="122" t="s">
        <v>101</v>
      </c>
      <c r="C73" s="174">
        <v>19765.2</v>
      </c>
      <c r="D73" s="123"/>
      <c r="E73" s="123"/>
    </row>
    <row r="74" spans="1:5" x14ac:dyDescent="0.25">
      <c r="A74" s="181">
        <v>43997</v>
      </c>
      <c r="B74" s="122" t="s">
        <v>102</v>
      </c>
      <c r="C74" s="174">
        <v>34421.599999999999</v>
      </c>
      <c r="D74" s="123"/>
      <c r="E74" s="123"/>
    </row>
    <row r="75" spans="1:5" x14ac:dyDescent="0.25">
      <c r="A75" s="181">
        <v>43997</v>
      </c>
      <c r="B75" s="122" t="s">
        <v>103</v>
      </c>
      <c r="C75" s="174">
        <v>2395.1</v>
      </c>
      <c r="D75" s="123"/>
      <c r="E75" s="123"/>
    </row>
    <row r="76" spans="1:5" x14ac:dyDescent="0.25">
      <c r="A76" s="181">
        <v>43997</v>
      </c>
      <c r="B76" s="122" t="s">
        <v>104</v>
      </c>
      <c r="C76" s="174">
        <v>61062.9</v>
      </c>
      <c r="D76" s="123"/>
      <c r="E76" s="123"/>
    </row>
    <row r="77" spans="1:5" x14ac:dyDescent="0.25">
      <c r="A77" s="181">
        <v>43997</v>
      </c>
      <c r="B77" s="122" t="s">
        <v>105</v>
      </c>
      <c r="C77" s="174">
        <v>4032</v>
      </c>
      <c r="D77" s="123"/>
      <c r="E77" s="123"/>
    </row>
    <row r="78" spans="1:5" x14ac:dyDescent="0.25">
      <c r="A78" s="181">
        <v>43997</v>
      </c>
      <c r="B78" s="122" t="s">
        <v>106</v>
      </c>
      <c r="C78" s="174">
        <v>9356.4</v>
      </c>
      <c r="D78" s="123"/>
      <c r="E78" s="123"/>
    </row>
    <row r="79" spans="1:5" x14ac:dyDescent="0.25">
      <c r="A79" s="181">
        <v>43997</v>
      </c>
      <c r="B79" s="122" t="s">
        <v>107</v>
      </c>
      <c r="C79" s="174">
        <v>161275.16</v>
      </c>
      <c r="D79" s="123"/>
      <c r="E79" s="123"/>
    </row>
    <row r="80" spans="1:5" x14ac:dyDescent="0.25">
      <c r="A80" s="181">
        <v>43997</v>
      </c>
      <c r="B80" s="122" t="s">
        <v>108</v>
      </c>
      <c r="C80" s="174">
        <v>3570</v>
      </c>
      <c r="D80" s="123"/>
      <c r="E80" s="123"/>
    </row>
    <row r="81" spans="1:5" x14ac:dyDescent="0.25">
      <c r="A81" s="181">
        <v>43997</v>
      </c>
      <c r="B81" s="122" t="s">
        <v>109</v>
      </c>
      <c r="C81" s="174">
        <v>37040</v>
      </c>
      <c r="D81" s="123"/>
      <c r="E81" s="123"/>
    </row>
    <row r="82" spans="1:5" x14ac:dyDescent="0.25">
      <c r="A82" s="181">
        <v>43998</v>
      </c>
      <c r="B82" s="122" t="s">
        <v>110</v>
      </c>
      <c r="C82" s="174">
        <v>78396.2</v>
      </c>
      <c r="D82" s="123"/>
      <c r="E82" s="123"/>
    </row>
    <row r="83" spans="1:5" x14ac:dyDescent="0.25">
      <c r="A83" s="181">
        <v>43998</v>
      </c>
      <c r="B83" s="122" t="s">
        <v>111</v>
      </c>
      <c r="C83" s="174">
        <v>8805</v>
      </c>
      <c r="D83" s="123"/>
      <c r="E83" s="123"/>
    </row>
    <row r="84" spans="1:5" x14ac:dyDescent="0.25">
      <c r="A84" s="181">
        <v>43998</v>
      </c>
      <c r="B84" s="122" t="s">
        <v>112</v>
      </c>
      <c r="C84" s="174">
        <v>23525.200000000001</v>
      </c>
      <c r="D84" s="123"/>
      <c r="E84" s="123"/>
    </row>
    <row r="85" spans="1:5" x14ac:dyDescent="0.25">
      <c r="A85" s="181">
        <v>43998</v>
      </c>
      <c r="B85" s="122" t="s">
        <v>113</v>
      </c>
      <c r="C85" s="174">
        <v>4377.6000000000004</v>
      </c>
      <c r="D85" s="123"/>
      <c r="E85" s="123"/>
    </row>
    <row r="86" spans="1:5" x14ac:dyDescent="0.25">
      <c r="A86" s="181">
        <v>43998</v>
      </c>
      <c r="B86" s="122" t="s">
        <v>114</v>
      </c>
      <c r="C86" s="174">
        <v>395160</v>
      </c>
      <c r="D86" s="123"/>
      <c r="E86" s="123"/>
    </row>
    <row r="87" spans="1:5" x14ac:dyDescent="0.25">
      <c r="A87" s="181">
        <v>43999</v>
      </c>
      <c r="B87" s="122" t="s">
        <v>115</v>
      </c>
      <c r="C87" s="174">
        <v>88684.3</v>
      </c>
      <c r="D87" s="123"/>
      <c r="E87" s="123"/>
    </row>
    <row r="88" spans="1:5" x14ac:dyDescent="0.25">
      <c r="A88" s="181">
        <v>43999</v>
      </c>
      <c r="B88" s="122" t="s">
        <v>116</v>
      </c>
      <c r="C88" s="174">
        <v>32823</v>
      </c>
      <c r="D88" s="123"/>
      <c r="E88" s="123"/>
    </row>
    <row r="89" spans="1:5" x14ac:dyDescent="0.25">
      <c r="A89" s="181">
        <v>43999</v>
      </c>
      <c r="B89" s="122" t="s">
        <v>117</v>
      </c>
      <c r="C89" s="176">
        <v>0</v>
      </c>
      <c r="D89" s="125"/>
      <c r="E89" s="125">
        <v>0</v>
      </c>
    </row>
    <row r="90" spans="1:5" x14ac:dyDescent="0.25">
      <c r="A90" s="181">
        <v>43999</v>
      </c>
      <c r="B90" s="122" t="s">
        <v>118</v>
      </c>
      <c r="C90" s="174">
        <v>80800.44</v>
      </c>
      <c r="D90" s="123"/>
      <c r="E90" s="123"/>
    </row>
    <row r="91" spans="1:5" x14ac:dyDescent="0.25">
      <c r="A91" s="181">
        <v>43999</v>
      </c>
      <c r="B91" s="122" t="s">
        <v>119</v>
      </c>
      <c r="C91" s="174">
        <v>97498.2</v>
      </c>
      <c r="D91" s="123"/>
      <c r="E91" s="123"/>
    </row>
    <row r="92" spans="1:5" x14ac:dyDescent="0.25">
      <c r="A92" s="181">
        <v>43999</v>
      </c>
      <c r="B92" s="122" t="s">
        <v>120</v>
      </c>
      <c r="C92" s="176">
        <v>0</v>
      </c>
      <c r="D92" s="125"/>
      <c r="E92" s="125">
        <v>0</v>
      </c>
    </row>
    <row r="93" spans="1:5" x14ac:dyDescent="0.25">
      <c r="A93" s="181">
        <v>43999</v>
      </c>
      <c r="B93" s="122" t="s">
        <v>121</v>
      </c>
      <c r="C93" s="174">
        <v>13212</v>
      </c>
      <c r="D93" s="123"/>
      <c r="E93" s="123"/>
    </row>
    <row r="94" spans="1:5" x14ac:dyDescent="0.25">
      <c r="A94" s="181">
        <v>43999</v>
      </c>
      <c r="B94" s="122" t="s">
        <v>122</v>
      </c>
      <c r="C94" s="174">
        <v>8202.4</v>
      </c>
      <c r="D94" s="123"/>
      <c r="E94" s="123"/>
    </row>
    <row r="95" spans="1:5" x14ac:dyDescent="0.25">
      <c r="A95" s="181">
        <v>43999</v>
      </c>
      <c r="B95" s="122" t="s">
        <v>123</v>
      </c>
      <c r="C95" s="174">
        <v>452880</v>
      </c>
      <c r="D95" s="123"/>
      <c r="E95" s="123"/>
    </row>
    <row r="96" spans="1:5" x14ac:dyDescent="0.25">
      <c r="A96" s="181">
        <v>43999</v>
      </c>
      <c r="B96" s="122" t="s">
        <v>124</v>
      </c>
      <c r="C96" s="174">
        <v>432160</v>
      </c>
      <c r="D96" s="123"/>
      <c r="E96" s="123"/>
    </row>
    <row r="97" spans="1:5" x14ac:dyDescent="0.25">
      <c r="A97" s="181">
        <v>43999</v>
      </c>
      <c r="B97" s="122" t="s">
        <v>125</v>
      </c>
      <c r="C97" s="174">
        <v>74610.600000000006</v>
      </c>
      <c r="D97" s="123"/>
      <c r="E97" s="123"/>
    </row>
    <row r="98" spans="1:5" x14ac:dyDescent="0.25">
      <c r="A98" s="181">
        <v>44000</v>
      </c>
      <c r="B98" s="122" t="s">
        <v>126</v>
      </c>
      <c r="C98" s="174">
        <v>7151.6</v>
      </c>
      <c r="D98" s="123"/>
      <c r="E98" s="123"/>
    </row>
    <row r="99" spans="1:5" x14ac:dyDescent="0.25">
      <c r="A99" s="181">
        <v>44000</v>
      </c>
      <c r="B99" s="122" t="s">
        <v>127</v>
      </c>
      <c r="C99" s="174">
        <v>77355.600000000006</v>
      </c>
      <c r="D99" s="123"/>
      <c r="E99" s="123"/>
    </row>
    <row r="100" spans="1:5" x14ac:dyDescent="0.25">
      <c r="A100" s="181">
        <v>44000</v>
      </c>
      <c r="B100" s="122" t="s">
        <v>128</v>
      </c>
      <c r="C100" s="174">
        <v>87034.4</v>
      </c>
      <c r="D100" s="123"/>
      <c r="E100" s="123"/>
    </row>
    <row r="101" spans="1:5" x14ac:dyDescent="0.25">
      <c r="A101" s="181">
        <v>44000</v>
      </c>
      <c r="B101" s="122" t="s">
        <v>129</v>
      </c>
      <c r="C101" s="174">
        <v>92512</v>
      </c>
      <c r="D101" s="123"/>
      <c r="E101" s="123"/>
    </row>
    <row r="102" spans="1:5" x14ac:dyDescent="0.25">
      <c r="A102" s="181">
        <v>44000</v>
      </c>
      <c r="B102" s="122" t="s">
        <v>130</v>
      </c>
      <c r="C102" s="174">
        <v>155276</v>
      </c>
      <c r="D102" s="123"/>
      <c r="E102" s="123"/>
    </row>
    <row r="103" spans="1:5" x14ac:dyDescent="0.25">
      <c r="A103" s="181">
        <v>44000</v>
      </c>
      <c r="B103" s="122" t="s">
        <v>131</v>
      </c>
      <c r="C103" s="174">
        <v>67741.399999999994</v>
      </c>
      <c r="D103" s="123"/>
      <c r="E103" s="123"/>
    </row>
    <row r="104" spans="1:5" x14ac:dyDescent="0.25">
      <c r="A104" s="181">
        <v>44000</v>
      </c>
      <c r="B104" s="122" t="s">
        <v>132</v>
      </c>
      <c r="C104" s="174">
        <v>11988.8</v>
      </c>
      <c r="D104" s="123"/>
      <c r="E104" s="123"/>
    </row>
    <row r="105" spans="1:5" x14ac:dyDescent="0.25">
      <c r="A105" s="181">
        <v>44001</v>
      </c>
      <c r="B105" s="122" t="s">
        <v>133</v>
      </c>
      <c r="C105" s="174">
        <v>51708.4</v>
      </c>
      <c r="D105" s="123"/>
      <c r="E105" s="123"/>
    </row>
    <row r="106" spans="1:5" x14ac:dyDescent="0.25">
      <c r="A106" s="181">
        <v>44001</v>
      </c>
      <c r="B106" s="122" t="s">
        <v>134</v>
      </c>
      <c r="C106" s="174">
        <v>283.2</v>
      </c>
      <c r="D106" s="123"/>
      <c r="E106" s="123"/>
    </row>
    <row r="107" spans="1:5" x14ac:dyDescent="0.25">
      <c r="A107" s="181">
        <v>44001</v>
      </c>
      <c r="B107" s="122" t="s">
        <v>135</v>
      </c>
      <c r="C107" s="174">
        <v>83383.199999999997</v>
      </c>
      <c r="D107" s="123"/>
      <c r="E107" s="123"/>
    </row>
    <row r="108" spans="1:5" x14ac:dyDescent="0.25">
      <c r="A108" s="181">
        <v>44001</v>
      </c>
      <c r="B108" s="122" t="s">
        <v>136</v>
      </c>
      <c r="C108" s="174">
        <v>75070.399999999994</v>
      </c>
      <c r="D108" s="123"/>
      <c r="E108" s="123"/>
    </row>
    <row r="109" spans="1:5" x14ac:dyDescent="0.25">
      <c r="A109" s="181">
        <v>44001</v>
      </c>
      <c r="B109" s="122" t="s">
        <v>137</v>
      </c>
      <c r="C109" s="176">
        <v>0</v>
      </c>
      <c r="D109" s="125"/>
      <c r="E109" s="125">
        <v>0</v>
      </c>
    </row>
    <row r="110" spans="1:5" x14ac:dyDescent="0.25">
      <c r="A110" s="181">
        <v>44001</v>
      </c>
      <c r="B110" s="122" t="s">
        <v>138</v>
      </c>
      <c r="C110" s="174">
        <v>90383.3</v>
      </c>
      <c r="D110" s="123"/>
      <c r="E110" s="123"/>
    </row>
    <row r="111" spans="1:5" x14ac:dyDescent="0.25">
      <c r="A111" s="181">
        <v>44001</v>
      </c>
      <c r="B111" s="122" t="s">
        <v>139</v>
      </c>
      <c r="C111" s="174">
        <v>34108.400000000001</v>
      </c>
      <c r="D111" s="123"/>
      <c r="E111" s="123"/>
    </row>
    <row r="112" spans="1:5" x14ac:dyDescent="0.25">
      <c r="A112" s="181">
        <v>44001</v>
      </c>
      <c r="B112" s="122" t="s">
        <v>140</v>
      </c>
      <c r="C112" s="174">
        <v>25326.080000000002</v>
      </c>
      <c r="D112" s="123"/>
      <c r="E112" s="123"/>
    </row>
    <row r="113" spans="1:5" x14ac:dyDescent="0.25">
      <c r="A113" s="181">
        <v>44001</v>
      </c>
      <c r="B113" s="122" t="s">
        <v>141</v>
      </c>
      <c r="C113" s="174">
        <v>22392.5</v>
      </c>
      <c r="D113" s="123"/>
      <c r="E113" s="123"/>
    </row>
    <row r="114" spans="1:5" x14ac:dyDescent="0.25">
      <c r="A114" s="181">
        <v>44001</v>
      </c>
      <c r="B114" s="122" t="s">
        <v>142</v>
      </c>
      <c r="C114" s="176">
        <v>0</v>
      </c>
      <c r="D114" s="125"/>
      <c r="E114" s="125">
        <v>0</v>
      </c>
    </row>
    <row r="115" spans="1:5" x14ac:dyDescent="0.25">
      <c r="A115" s="181">
        <v>44001</v>
      </c>
      <c r="B115" s="122" t="s">
        <v>143</v>
      </c>
      <c r="C115" s="174">
        <v>19920</v>
      </c>
      <c r="D115" s="123"/>
      <c r="E115" s="123"/>
    </row>
    <row r="116" spans="1:5" x14ac:dyDescent="0.25">
      <c r="A116" s="181">
        <v>44002</v>
      </c>
      <c r="B116" s="122" t="s">
        <v>144</v>
      </c>
      <c r="C116" s="174">
        <v>74241.25</v>
      </c>
      <c r="D116" s="123"/>
      <c r="E116" s="123"/>
    </row>
    <row r="117" spans="1:5" x14ac:dyDescent="0.25">
      <c r="A117" s="181">
        <v>44002</v>
      </c>
      <c r="B117" s="122" t="s">
        <v>145</v>
      </c>
      <c r="C117" s="174">
        <v>111239.9</v>
      </c>
      <c r="D117" s="123"/>
      <c r="E117" s="123"/>
    </row>
    <row r="118" spans="1:5" x14ac:dyDescent="0.25">
      <c r="A118" s="181">
        <v>44002</v>
      </c>
      <c r="B118" s="122" t="s">
        <v>146</v>
      </c>
      <c r="C118" s="174">
        <v>93513.600000000006</v>
      </c>
      <c r="D118" s="123"/>
      <c r="E118" s="123"/>
    </row>
    <row r="119" spans="1:5" x14ac:dyDescent="0.25">
      <c r="A119" s="181">
        <v>44002</v>
      </c>
      <c r="B119" s="122" t="s">
        <v>147</v>
      </c>
      <c r="C119" s="174">
        <v>70581.5</v>
      </c>
      <c r="D119" s="123"/>
      <c r="E119" s="123"/>
    </row>
    <row r="120" spans="1:5" x14ac:dyDescent="0.25">
      <c r="A120" s="181">
        <v>44002</v>
      </c>
      <c r="B120" s="122" t="s">
        <v>148</v>
      </c>
      <c r="C120" s="174">
        <v>230929.9</v>
      </c>
      <c r="D120" s="123"/>
      <c r="E120" s="123"/>
    </row>
    <row r="121" spans="1:5" x14ac:dyDescent="0.25">
      <c r="A121" s="181">
        <v>44002</v>
      </c>
      <c r="B121" s="122" t="s">
        <v>149</v>
      </c>
      <c r="C121" s="174">
        <v>76566.600000000006</v>
      </c>
      <c r="D121" s="123"/>
      <c r="E121" s="123"/>
    </row>
    <row r="122" spans="1:5" x14ac:dyDescent="0.25">
      <c r="A122" s="181">
        <v>44002</v>
      </c>
      <c r="B122" s="122" t="s">
        <v>150</v>
      </c>
      <c r="C122" s="174">
        <v>10080</v>
      </c>
      <c r="D122" s="123"/>
      <c r="E122" s="123"/>
    </row>
    <row r="123" spans="1:5" x14ac:dyDescent="0.25">
      <c r="A123" s="181">
        <v>44002</v>
      </c>
      <c r="B123" s="122" t="s">
        <v>151</v>
      </c>
      <c r="C123" s="174">
        <v>77045.3</v>
      </c>
      <c r="D123" s="123"/>
      <c r="E123" s="123"/>
    </row>
    <row r="124" spans="1:5" x14ac:dyDescent="0.25">
      <c r="A124" s="181">
        <v>44003</v>
      </c>
      <c r="B124" s="122" t="s">
        <v>152</v>
      </c>
      <c r="C124" s="174">
        <v>25396.6</v>
      </c>
      <c r="D124" s="123"/>
      <c r="E124" s="123"/>
    </row>
    <row r="125" spans="1:5" x14ac:dyDescent="0.25">
      <c r="A125" s="181">
        <v>44003</v>
      </c>
      <c r="B125" s="122" t="s">
        <v>153</v>
      </c>
      <c r="C125" s="174">
        <v>10831.5</v>
      </c>
      <c r="D125" s="123"/>
      <c r="E125" s="123"/>
    </row>
    <row r="126" spans="1:5" x14ac:dyDescent="0.25">
      <c r="A126" s="181">
        <v>44003</v>
      </c>
      <c r="B126" s="122" t="s">
        <v>154</v>
      </c>
      <c r="C126" s="174">
        <v>18539</v>
      </c>
      <c r="D126" s="123"/>
      <c r="E126" s="123"/>
    </row>
    <row r="127" spans="1:5" x14ac:dyDescent="0.25">
      <c r="A127" s="181">
        <v>44003</v>
      </c>
      <c r="B127" s="122" t="s">
        <v>155</v>
      </c>
      <c r="C127" s="174">
        <v>8412</v>
      </c>
      <c r="D127" s="123"/>
      <c r="E127" s="123"/>
    </row>
    <row r="128" spans="1:5" x14ac:dyDescent="0.25">
      <c r="A128" s="181">
        <v>44004</v>
      </c>
      <c r="B128" s="122" t="s">
        <v>156</v>
      </c>
      <c r="C128" s="174">
        <v>129257.2</v>
      </c>
      <c r="D128" s="123"/>
      <c r="E128" s="123"/>
    </row>
    <row r="129" spans="1:5" x14ac:dyDescent="0.25">
      <c r="A129" s="181">
        <v>44004</v>
      </c>
      <c r="B129" s="122" t="s">
        <v>157</v>
      </c>
      <c r="C129" s="174">
        <v>12851.2</v>
      </c>
      <c r="D129" s="123"/>
      <c r="E129" s="123"/>
    </row>
    <row r="130" spans="1:5" x14ac:dyDescent="0.25">
      <c r="A130" s="181">
        <v>44004</v>
      </c>
      <c r="B130" s="122" t="s">
        <v>158</v>
      </c>
      <c r="C130" s="174">
        <v>165102.20000000001</v>
      </c>
      <c r="D130" s="123"/>
      <c r="E130" s="123"/>
    </row>
    <row r="131" spans="1:5" x14ac:dyDescent="0.25">
      <c r="A131" s="181">
        <v>44004</v>
      </c>
      <c r="B131" s="122" t="s">
        <v>159</v>
      </c>
      <c r="C131" s="174">
        <v>46022.400000000001</v>
      </c>
      <c r="D131" s="123"/>
      <c r="E131" s="123"/>
    </row>
    <row r="132" spans="1:5" x14ac:dyDescent="0.25">
      <c r="A132" s="181">
        <v>44004</v>
      </c>
      <c r="B132" s="122" t="s">
        <v>160</v>
      </c>
      <c r="C132" s="174">
        <v>21486.5</v>
      </c>
      <c r="D132" s="123"/>
      <c r="E132" s="123"/>
    </row>
    <row r="133" spans="1:5" x14ac:dyDescent="0.25">
      <c r="A133" s="181">
        <v>44004</v>
      </c>
      <c r="B133" s="122" t="s">
        <v>161</v>
      </c>
      <c r="C133" s="174">
        <v>66185.5</v>
      </c>
      <c r="D133" s="123"/>
      <c r="E133" s="123"/>
    </row>
    <row r="134" spans="1:5" x14ac:dyDescent="0.25">
      <c r="A134" s="181">
        <v>44005</v>
      </c>
      <c r="B134" s="122" t="s">
        <v>162</v>
      </c>
      <c r="C134" s="174">
        <v>20217.599999999999</v>
      </c>
      <c r="D134" s="123"/>
      <c r="E134" s="123"/>
    </row>
    <row r="135" spans="1:5" x14ac:dyDescent="0.25">
      <c r="A135" s="181">
        <v>44005</v>
      </c>
      <c r="B135" s="122" t="s">
        <v>163</v>
      </c>
      <c r="C135" s="174">
        <v>1416.48</v>
      </c>
      <c r="D135" s="123"/>
      <c r="E135" s="123"/>
    </row>
    <row r="136" spans="1:5" x14ac:dyDescent="0.25">
      <c r="A136" s="181">
        <v>44005</v>
      </c>
      <c r="B136" s="122" t="s">
        <v>164</v>
      </c>
      <c r="C136" s="174">
        <v>106123.62</v>
      </c>
      <c r="D136" s="123"/>
      <c r="E136" s="123"/>
    </row>
    <row r="137" spans="1:5" x14ac:dyDescent="0.25">
      <c r="A137" s="181">
        <v>44006</v>
      </c>
      <c r="B137" s="122" t="s">
        <v>165</v>
      </c>
      <c r="C137" s="174">
        <v>30744</v>
      </c>
      <c r="D137" s="123"/>
      <c r="E137" s="123"/>
    </row>
    <row r="138" spans="1:5" x14ac:dyDescent="0.25">
      <c r="A138" s="181">
        <v>44006</v>
      </c>
      <c r="B138" s="122" t="s">
        <v>166</v>
      </c>
      <c r="C138" s="174">
        <v>428.8</v>
      </c>
      <c r="D138" s="123"/>
      <c r="E138" s="123"/>
    </row>
    <row r="139" spans="1:5" x14ac:dyDescent="0.25">
      <c r="A139" s="181">
        <v>44006</v>
      </c>
      <c r="B139" s="122" t="s">
        <v>167</v>
      </c>
      <c r="C139" s="174">
        <v>55062.9</v>
      </c>
      <c r="D139" s="123"/>
      <c r="E139" s="123"/>
    </row>
    <row r="140" spans="1:5" x14ac:dyDescent="0.25">
      <c r="A140" s="181">
        <v>44006</v>
      </c>
      <c r="B140" s="122" t="s">
        <v>168</v>
      </c>
      <c r="C140" s="174">
        <v>111278.39999999999</v>
      </c>
      <c r="D140" s="123"/>
      <c r="E140" s="123"/>
    </row>
    <row r="141" spans="1:5" x14ac:dyDescent="0.25">
      <c r="A141" s="181">
        <v>44006</v>
      </c>
      <c r="B141" s="122" t="s">
        <v>169</v>
      </c>
      <c r="C141" s="174">
        <v>80809.2</v>
      </c>
      <c r="D141" s="123"/>
      <c r="E141" s="123"/>
    </row>
    <row r="142" spans="1:5" x14ac:dyDescent="0.25">
      <c r="A142" s="181">
        <v>44006</v>
      </c>
      <c r="B142" s="122" t="s">
        <v>170</v>
      </c>
      <c r="C142" s="174">
        <v>398268</v>
      </c>
      <c r="D142" s="123"/>
      <c r="E142" s="123"/>
    </row>
    <row r="143" spans="1:5" x14ac:dyDescent="0.25">
      <c r="A143" s="181">
        <v>44006</v>
      </c>
      <c r="B143" s="122" t="s">
        <v>171</v>
      </c>
      <c r="C143" s="174">
        <v>3727.2</v>
      </c>
      <c r="D143" s="123"/>
      <c r="E143" s="123"/>
    </row>
    <row r="144" spans="1:5" x14ac:dyDescent="0.25">
      <c r="A144" s="181">
        <v>44007</v>
      </c>
      <c r="B144" s="122" t="s">
        <v>172</v>
      </c>
      <c r="C144" s="174">
        <v>22759</v>
      </c>
      <c r="D144" s="123"/>
      <c r="E144" s="123"/>
    </row>
    <row r="145" spans="1:5" x14ac:dyDescent="0.25">
      <c r="A145" s="181">
        <v>44007</v>
      </c>
      <c r="B145" s="122" t="s">
        <v>173</v>
      </c>
      <c r="C145" s="174">
        <v>103821.2</v>
      </c>
      <c r="D145" s="123"/>
      <c r="E145" s="123"/>
    </row>
    <row r="146" spans="1:5" x14ac:dyDescent="0.25">
      <c r="A146" s="181">
        <v>44007</v>
      </c>
      <c r="B146" s="122" t="s">
        <v>174</v>
      </c>
      <c r="C146" s="174">
        <v>81370.8</v>
      </c>
      <c r="D146" s="123"/>
      <c r="E146" s="123"/>
    </row>
    <row r="147" spans="1:5" x14ac:dyDescent="0.25">
      <c r="A147" s="181">
        <v>44007</v>
      </c>
      <c r="B147" s="122" t="s">
        <v>175</v>
      </c>
      <c r="C147" s="174">
        <v>96354.8</v>
      </c>
      <c r="D147" s="123"/>
      <c r="E147" s="123"/>
    </row>
    <row r="148" spans="1:5" x14ac:dyDescent="0.25">
      <c r="A148" s="181">
        <v>44007</v>
      </c>
      <c r="B148" s="122" t="s">
        <v>176</v>
      </c>
      <c r="C148" s="174">
        <v>35356.300000000003</v>
      </c>
      <c r="D148" s="123"/>
      <c r="E148" s="123"/>
    </row>
    <row r="149" spans="1:5" x14ac:dyDescent="0.25">
      <c r="A149" s="181">
        <v>44007</v>
      </c>
      <c r="B149" s="122" t="s">
        <v>177</v>
      </c>
      <c r="C149" s="174">
        <v>1276.8</v>
      </c>
      <c r="D149" s="123"/>
      <c r="E149" s="123"/>
    </row>
    <row r="150" spans="1:5" x14ac:dyDescent="0.25">
      <c r="A150" s="181">
        <v>44008</v>
      </c>
      <c r="B150" s="122" t="s">
        <v>178</v>
      </c>
      <c r="C150" s="174">
        <v>12690.6</v>
      </c>
      <c r="D150" s="123"/>
      <c r="E150" s="123"/>
    </row>
    <row r="151" spans="1:5" x14ac:dyDescent="0.25">
      <c r="A151" s="181">
        <v>44008</v>
      </c>
      <c r="B151" s="122" t="s">
        <v>179</v>
      </c>
      <c r="C151" s="174">
        <v>255380.8</v>
      </c>
      <c r="D151" s="123"/>
      <c r="E151" s="123"/>
    </row>
    <row r="152" spans="1:5" x14ac:dyDescent="0.25">
      <c r="A152" s="181">
        <v>44008</v>
      </c>
      <c r="B152" s="122" t="s">
        <v>180</v>
      </c>
      <c r="C152" s="174">
        <v>5580.96</v>
      </c>
      <c r="D152" s="123"/>
      <c r="E152" s="123"/>
    </row>
    <row r="153" spans="1:5" x14ac:dyDescent="0.25">
      <c r="A153" s="181">
        <v>44008</v>
      </c>
      <c r="B153" s="122" t="s">
        <v>181</v>
      </c>
      <c r="C153" s="174">
        <v>57688</v>
      </c>
      <c r="D153" s="123"/>
      <c r="E153" s="123"/>
    </row>
    <row r="154" spans="1:5" x14ac:dyDescent="0.25">
      <c r="A154" s="181">
        <v>44008</v>
      </c>
      <c r="B154" s="122" t="s">
        <v>182</v>
      </c>
      <c r="C154" s="174">
        <v>58049.5</v>
      </c>
      <c r="D154" s="123"/>
      <c r="E154" s="123"/>
    </row>
    <row r="155" spans="1:5" x14ac:dyDescent="0.25">
      <c r="A155" s="181">
        <v>44008</v>
      </c>
      <c r="B155" s="122" t="s">
        <v>183</v>
      </c>
      <c r="C155" s="174">
        <v>21459</v>
      </c>
      <c r="D155" s="123"/>
      <c r="E155" s="123"/>
    </row>
    <row r="156" spans="1:5" x14ac:dyDescent="0.25">
      <c r="A156" s="181">
        <v>44008</v>
      </c>
      <c r="B156" s="122" t="s">
        <v>184</v>
      </c>
      <c r="C156" s="174">
        <v>58921.1</v>
      </c>
      <c r="D156" s="123"/>
      <c r="E156" s="123"/>
    </row>
    <row r="157" spans="1:5" x14ac:dyDescent="0.25">
      <c r="A157" s="181">
        <v>44008</v>
      </c>
      <c r="B157" s="122" t="s">
        <v>185</v>
      </c>
      <c r="C157" s="174">
        <v>26000</v>
      </c>
      <c r="D157" s="123"/>
      <c r="E157" s="123"/>
    </row>
    <row r="158" spans="1:5" x14ac:dyDescent="0.25">
      <c r="A158" s="181">
        <v>44008</v>
      </c>
      <c r="B158" s="122" t="s">
        <v>186</v>
      </c>
      <c r="C158" s="174">
        <v>21980.400000000001</v>
      </c>
      <c r="D158" s="123"/>
      <c r="E158" s="123"/>
    </row>
    <row r="159" spans="1:5" x14ac:dyDescent="0.25">
      <c r="A159" s="181">
        <v>44009</v>
      </c>
      <c r="B159" s="122" t="s">
        <v>187</v>
      </c>
      <c r="C159" s="174">
        <v>110416</v>
      </c>
      <c r="D159" s="123"/>
      <c r="E159" s="123"/>
    </row>
    <row r="160" spans="1:5" x14ac:dyDescent="0.25">
      <c r="A160" s="181">
        <v>44009</v>
      </c>
      <c r="B160" s="122" t="s">
        <v>188</v>
      </c>
      <c r="C160" s="174">
        <v>85593</v>
      </c>
      <c r="D160" s="123"/>
      <c r="E160" s="123"/>
    </row>
    <row r="161" spans="1:5" x14ac:dyDescent="0.25">
      <c r="A161" s="181">
        <v>44009</v>
      </c>
      <c r="B161" s="122" t="s">
        <v>189</v>
      </c>
      <c r="C161" s="174">
        <v>130464</v>
      </c>
      <c r="D161" s="123"/>
      <c r="E161" s="123"/>
    </row>
    <row r="162" spans="1:5" x14ac:dyDescent="0.25">
      <c r="A162" s="181">
        <v>44009</v>
      </c>
      <c r="B162" s="122" t="s">
        <v>190</v>
      </c>
      <c r="C162" s="174">
        <v>75307.22</v>
      </c>
      <c r="D162" s="123"/>
      <c r="E162" s="123"/>
    </row>
    <row r="163" spans="1:5" x14ac:dyDescent="0.25">
      <c r="A163" s="181">
        <v>44009</v>
      </c>
      <c r="B163" s="122" t="s">
        <v>191</v>
      </c>
      <c r="C163" s="174">
        <v>62392</v>
      </c>
      <c r="D163" s="123"/>
      <c r="E163" s="123"/>
    </row>
    <row r="164" spans="1:5" x14ac:dyDescent="0.25">
      <c r="A164" s="181">
        <v>44009</v>
      </c>
      <c r="B164" s="122" t="s">
        <v>192</v>
      </c>
      <c r="C164" s="174">
        <v>11095.2</v>
      </c>
      <c r="D164" s="123"/>
      <c r="E164" s="123"/>
    </row>
    <row r="165" spans="1:5" x14ac:dyDescent="0.25">
      <c r="A165" s="181">
        <v>44009</v>
      </c>
      <c r="B165" s="122" t="s">
        <v>193</v>
      </c>
      <c r="C165" s="174">
        <v>15127.6</v>
      </c>
      <c r="D165" s="123"/>
      <c r="E165" s="123"/>
    </row>
    <row r="166" spans="1:5" x14ac:dyDescent="0.25">
      <c r="A166" s="181">
        <v>44011</v>
      </c>
      <c r="B166" s="122" t="s">
        <v>194</v>
      </c>
      <c r="C166" s="174">
        <v>30255.599999999999</v>
      </c>
      <c r="D166" s="123"/>
      <c r="E166" s="123"/>
    </row>
    <row r="167" spans="1:5" x14ac:dyDescent="0.25">
      <c r="A167" s="181">
        <v>44011</v>
      </c>
      <c r="B167" s="122" t="s">
        <v>195</v>
      </c>
      <c r="C167" s="174">
        <v>82036.399999999994</v>
      </c>
      <c r="D167" s="123"/>
      <c r="E167" s="123"/>
    </row>
    <row r="168" spans="1:5" x14ac:dyDescent="0.25">
      <c r="A168" s="181">
        <v>44011</v>
      </c>
      <c r="B168" s="122" t="s">
        <v>196</v>
      </c>
      <c r="C168" s="174">
        <v>40801.599999999999</v>
      </c>
      <c r="D168" s="123"/>
      <c r="E168" s="123"/>
    </row>
    <row r="169" spans="1:5" x14ac:dyDescent="0.25">
      <c r="A169" s="181">
        <v>44011</v>
      </c>
      <c r="B169" s="122" t="s">
        <v>197</v>
      </c>
      <c r="C169" s="174">
        <v>14527.2</v>
      </c>
      <c r="D169" s="123"/>
      <c r="E169" s="123"/>
    </row>
    <row r="170" spans="1:5" x14ac:dyDescent="0.25">
      <c r="A170" s="181">
        <v>44011</v>
      </c>
      <c r="B170" s="122" t="s">
        <v>198</v>
      </c>
      <c r="C170" s="174">
        <v>403300</v>
      </c>
      <c r="D170" s="123"/>
      <c r="E170" s="123"/>
    </row>
    <row r="171" spans="1:5" x14ac:dyDescent="0.25">
      <c r="A171" s="181">
        <v>44012</v>
      </c>
      <c r="B171" s="122" t="s">
        <v>199</v>
      </c>
      <c r="C171" s="174">
        <v>130152.1</v>
      </c>
      <c r="D171" s="123"/>
      <c r="E171" s="123"/>
    </row>
    <row r="172" spans="1:5" x14ac:dyDescent="0.25">
      <c r="A172" s="181">
        <v>44012</v>
      </c>
      <c r="B172" s="122" t="s">
        <v>200</v>
      </c>
      <c r="C172" s="174">
        <v>19104</v>
      </c>
      <c r="D172" s="123"/>
      <c r="E172" s="123"/>
    </row>
    <row r="173" spans="1:5" x14ac:dyDescent="0.25">
      <c r="A173" s="182">
        <v>44013</v>
      </c>
      <c r="B173" s="122" t="s">
        <v>201</v>
      </c>
      <c r="C173" s="174">
        <v>38252.199999999997</v>
      </c>
      <c r="D173" s="123"/>
      <c r="E173" s="123"/>
    </row>
    <row r="174" spans="1:5" x14ac:dyDescent="0.25">
      <c r="A174" s="183">
        <v>44013</v>
      </c>
      <c r="B174" s="122" t="s">
        <v>202</v>
      </c>
      <c r="C174" s="174">
        <v>2072</v>
      </c>
      <c r="D174" s="123"/>
      <c r="E174" s="123"/>
    </row>
    <row r="175" spans="1:5" x14ac:dyDescent="0.25">
      <c r="A175" s="183">
        <v>44013</v>
      </c>
      <c r="B175" s="122" t="s">
        <v>203</v>
      </c>
      <c r="C175" s="174">
        <v>40027.599999999999</v>
      </c>
      <c r="D175" s="123"/>
      <c r="E175" s="123"/>
    </row>
    <row r="176" spans="1:5" x14ac:dyDescent="0.25">
      <c r="A176" s="183">
        <v>44013</v>
      </c>
      <c r="B176" s="122" t="s">
        <v>204</v>
      </c>
      <c r="C176" s="174">
        <v>33701.699999999997</v>
      </c>
      <c r="D176" s="123"/>
      <c r="E176" s="123"/>
    </row>
    <row r="177" spans="1:5" x14ac:dyDescent="0.25">
      <c r="A177" s="183">
        <v>44013</v>
      </c>
      <c r="B177" s="122" t="s">
        <v>205</v>
      </c>
      <c r="C177" s="174">
        <v>37803.599999999999</v>
      </c>
      <c r="D177" s="123"/>
      <c r="E177" s="123"/>
    </row>
    <row r="178" spans="1:5" x14ac:dyDescent="0.25">
      <c r="A178" s="183">
        <v>44013</v>
      </c>
      <c r="B178" s="122" t="s">
        <v>206</v>
      </c>
      <c r="C178" s="174">
        <v>223010.52</v>
      </c>
      <c r="D178" s="123"/>
      <c r="E178" s="123"/>
    </row>
    <row r="179" spans="1:5" x14ac:dyDescent="0.25">
      <c r="A179" s="183">
        <v>44013</v>
      </c>
      <c r="B179" s="122" t="s">
        <v>207</v>
      </c>
      <c r="C179" s="174">
        <v>10155.700000000001</v>
      </c>
      <c r="D179" s="123"/>
      <c r="E179" s="123"/>
    </row>
    <row r="180" spans="1:5" x14ac:dyDescent="0.25">
      <c r="A180" s="183">
        <v>44014</v>
      </c>
      <c r="B180" s="122" t="s">
        <v>208</v>
      </c>
      <c r="C180" s="174">
        <v>37508</v>
      </c>
      <c r="D180" s="123"/>
      <c r="E180" s="123"/>
    </row>
    <row r="181" spans="1:5" x14ac:dyDescent="0.25">
      <c r="A181" s="183">
        <v>44014</v>
      </c>
      <c r="B181" s="122" t="s">
        <v>209</v>
      </c>
      <c r="C181" s="174">
        <v>12372</v>
      </c>
      <c r="D181" s="123"/>
      <c r="E181" s="123"/>
    </row>
    <row r="182" spans="1:5" x14ac:dyDescent="0.25">
      <c r="A182" s="183">
        <v>44014</v>
      </c>
      <c r="B182" s="122" t="s">
        <v>210</v>
      </c>
      <c r="C182" s="174">
        <v>1278</v>
      </c>
      <c r="D182" s="123"/>
      <c r="E182" s="123"/>
    </row>
    <row r="183" spans="1:5" x14ac:dyDescent="0.25">
      <c r="A183" s="183">
        <v>44014</v>
      </c>
      <c r="B183" s="122" t="s">
        <v>211</v>
      </c>
      <c r="C183" s="174">
        <v>205208.69</v>
      </c>
      <c r="D183" s="123"/>
      <c r="E183" s="123"/>
    </row>
    <row r="184" spans="1:5" x14ac:dyDescent="0.25">
      <c r="A184" s="183">
        <v>44014</v>
      </c>
      <c r="B184" s="122" t="s">
        <v>212</v>
      </c>
      <c r="C184" s="176">
        <v>0</v>
      </c>
      <c r="D184" s="123"/>
      <c r="E184" s="123"/>
    </row>
    <row r="185" spans="1:5" x14ac:dyDescent="0.25">
      <c r="A185" s="183">
        <v>44014</v>
      </c>
      <c r="B185" s="122" t="s">
        <v>213</v>
      </c>
      <c r="C185" s="174">
        <v>127355.9</v>
      </c>
      <c r="D185" s="123"/>
      <c r="E185" s="123"/>
    </row>
    <row r="186" spans="1:5" x14ac:dyDescent="0.25">
      <c r="A186" s="183">
        <v>44014</v>
      </c>
      <c r="B186" s="122" t="s">
        <v>214</v>
      </c>
      <c r="C186" s="174">
        <v>66219.199999999997</v>
      </c>
      <c r="D186" s="123"/>
      <c r="E186" s="123"/>
    </row>
    <row r="187" spans="1:5" x14ac:dyDescent="0.25">
      <c r="A187" s="183">
        <v>44014</v>
      </c>
      <c r="B187" s="122" t="s">
        <v>215</v>
      </c>
      <c r="C187" s="174">
        <v>9988</v>
      </c>
      <c r="D187" s="123"/>
      <c r="E187" s="123"/>
    </row>
    <row r="188" spans="1:5" x14ac:dyDescent="0.25">
      <c r="A188" s="183">
        <v>44015</v>
      </c>
      <c r="B188" s="122" t="s">
        <v>216</v>
      </c>
      <c r="C188" s="174">
        <v>68005</v>
      </c>
      <c r="D188" s="123"/>
      <c r="E188" s="123"/>
    </row>
    <row r="189" spans="1:5" x14ac:dyDescent="0.25">
      <c r="A189" s="183">
        <v>44015</v>
      </c>
      <c r="B189" s="122" t="s">
        <v>217</v>
      </c>
      <c r="C189" s="176">
        <v>0</v>
      </c>
      <c r="D189" s="123"/>
      <c r="E189" s="123"/>
    </row>
    <row r="190" spans="1:5" x14ac:dyDescent="0.25">
      <c r="A190" s="183">
        <v>44015</v>
      </c>
      <c r="B190" s="122" t="s">
        <v>218</v>
      </c>
      <c r="C190" s="174">
        <v>79399.199999999997</v>
      </c>
      <c r="D190" s="123"/>
      <c r="E190" s="123"/>
    </row>
    <row r="191" spans="1:5" x14ac:dyDescent="0.25">
      <c r="A191" s="183">
        <v>44015</v>
      </c>
      <c r="B191" s="122" t="s">
        <v>219</v>
      </c>
      <c r="C191" s="179">
        <v>109144.7</v>
      </c>
      <c r="D191" s="123"/>
      <c r="E191" s="123"/>
    </row>
    <row r="192" spans="1:5" x14ac:dyDescent="0.25">
      <c r="A192" s="183">
        <v>44015</v>
      </c>
      <c r="B192" s="122" t="s">
        <v>220</v>
      </c>
      <c r="C192" s="174">
        <v>187988.9</v>
      </c>
      <c r="D192" s="123"/>
      <c r="E192" s="123"/>
    </row>
    <row r="193" spans="1:5" x14ac:dyDescent="0.25">
      <c r="A193" s="183">
        <v>44015</v>
      </c>
      <c r="B193" s="122" t="s">
        <v>221</v>
      </c>
      <c r="C193" s="174">
        <v>180154.36</v>
      </c>
      <c r="D193" s="123"/>
      <c r="E193" s="123"/>
    </row>
    <row r="194" spans="1:5" x14ac:dyDescent="0.25">
      <c r="A194" s="183">
        <v>44016</v>
      </c>
      <c r="B194" s="122" t="s">
        <v>222</v>
      </c>
      <c r="C194" s="176">
        <v>0</v>
      </c>
      <c r="D194" s="123"/>
      <c r="E194" s="123"/>
    </row>
    <row r="195" spans="1:5" x14ac:dyDescent="0.25">
      <c r="A195" s="183">
        <v>44016</v>
      </c>
      <c r="B195" s="122" t="s">
        <v>223</v>
      </c>
      <c r="C195" s="174">
        <v>220302.9</v>
      </c>
      <c r="D195" s="123"/>
      <c r="E195" s="123"/>
    </row>
    <row r="196" spans="1:5" x14ac:dyDescent="0.25">
      <c r="A196" s="183">
        <v>44016</v>
      </c>
      <c r="B196" s="122" t="s">
        <v>224</v>
      </c>
      <c r="C196" s="174">
        <v>100164.44</v>
      </c>
      <c r="D196" s="123"/>
      <c r="E196" s="123"/>
    </row>
    <row r="197" spans="1:5" x14ac:dyDescent="0.25">
      <c r="A197" s="183">
        <v>44016</v>
      </c>
      <c r="B197" s="122" t="s">
        <v>225</v>
      </c>
      <c r="C197" s="176">
        <v>0</v>
      </c>
      <c r="D197" s="123"/>
      <c r="E197" s="123"/>
    </row>
    <row r="198" spans="1:5" x14ac:dyDescent="0.25">
      <c r="A198" s="183">
        <v>44016</v>
      </c>
      <c r="B198" s="122" t="s">
        <v>226</v>
      </c>
      <c r="C198" s="174">
        <v>88437.6</v>
      </c>
      <c r="D198" s="123"/>
      <c r="E198" s="123"/>
    </row>
    <row r="199" spans="1:5" x14ac:dyDescent="0.25">
      <c r="A199" s="183">
        <v>44016</v>
      </c>
      <c r="B199" s="122" t="s">
        <v>227</v>
      </c>
      <c r="C199" s="174">
        <v>128.5</v>
      </c>
      <c r="D199" s="123"/>
      <c r="E199" s="123"/>
    </row>
    <row r="200" spans="1:5" x14ac:dyDescent="0.25">
      <c r="A200" s="183">
        <v>44017</v>
      </c>
      <c r="B200" s="122" t="s">
        <v>228</v>
      </c>
      <c r="C200" s="174">
        <v>23779.7</v>
      </c>
      <c r="D200" s="123"/>
      <c r="E200" s="123"/>
    </row>
    <row r="201" spans="1:5" x14ac:dyDescent="0.25">
      <c r="A201" s="183">
        <v>44017</v>
      </c>
      <c r="B201" s="122" t="s">
        <v>229</v>
      </c>
      <c r="C201" s="174">
        <v>92432.3</v>
      </c>
      <c r="D201" s="123"/>
      <c r="E201" s="123"/>
    </row>
    <row r="202" spans="1:5" x14ac:dyDescent="0.25">
      <c r="A202" s="183">
        <v>44017</v>
      </c>
      <c r="B202" s="122" t="s">
        <v>230</v>
      </c>
      <c r="C202" s="174">
        <v>37788.400000000001</v>
      </c>
      <c r="D202" s="123"/>
      <c r="E202" s="123"/>
    </row>
    <row r="203" spans="1:5" x14ac:dyDescent="0.25">
      <c r="A203" s="183">
        <v>44017</v>
      </c>
      <c r="B203" s="122" t="s">
        <v>231</v>
      </c>
      <c r="C203" s="174">
        <v>256562</v>
      </c>
      <c r="D203" s="123"/>
      <c r="E203" s="123"/>
    </row>
    <row r="204" spans="1:5" x14ac:dyDescent="0.25">
      <c r="A204" s="183">
        <v>44017</v>
      </c>
      <c r="B204" s="122" t="s">
        <v>232</v>
      </c>
      <c r="C204" s="174">
        <v>4837.7</v>
      </c>
      <c r="D204" s="123"/>
      <c r="E204" s="123"/>
    </row>
    <row r="205" spans="1:5" x14ac:dyDescent="0.25">
      <c r="A205" s="181"/>
      <c r="B205" s="122"/>
      <c r="C205" s="174"/>
      <c r="D205" s="123"/>
      <c r="E205" s="123"/>
    </row>
    <row r="206" spans="1:5" ht="15.75" thickBot="1" x14ac:dyDescent="0.3">
      <c r="A206" s="181"/>
      <c r="B206" s="122"/>
      <c r="C206" s="177"/>
      <c r="D206" s="123"/>
      <c r="E206" s="126"/>
    </row>
    <row r="207" spans="1:5" ht="15.75" thickBot="1" x14ac:dyDescent="0.3">
      <c r="C207" s="178">
        <f>SUM(C4:C206)</f>
        <v>13914390.209999993</v>
      </c>
      <c r="D207" s="128"/>
      <c r="E207" s="127">
        <f>SUM(E4:E206)</f>
        <v>0</v>
      </c>
    </row>
    <row r="211" spans="4:4" ht="15.75" thickBot="1" x14ac:dyDescent="0.3"/>
    <row r="212" spans="4:4" ht="15.75" thickBot="1" x14ac:dyDescent="0.3">
      <c r="D212" s="129">
        <f>C207-E207</f>
        <v>13914390.209999993</v>
      </c>
    </row>
  </sheetData>
  <mergeCells count="1">
    <mergeCell ref="A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8C776-0453-4BD9-B024-859CD5FD7B11}">
  <sheetPr>
    <tabColor rgb="FFFF00FF"/>
  </sheetPr>
  <dimension ref="A1:S78"/>
  <sheetViews>
    <sheetView workbookViewId="0">
      <pane xSplit="1" ySplit="3" topLeftCell="C34" activePane="bottomRight" state="frozen"/>
      <selection pane="topRight" activeCell="B1" sqref="B1"/>
      <selection pane="bottomLeft" activeCell="A4" sqref="A4"/>
      <selection pane="bottomRight" activeCell="O51" sqref="O5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9.42578125" style="7" customWidth="1"/>
    <col min="4" max="4" width="2.5703125" customWidth="1"/>
    <col min="5" max="5" width="12.85546875" customWidth="1"/>
    <col min="6" max="6" width="18.85546875" style="7" bestFit="1" customWidth="1"/>
    <col min="7" max="7" width="7.28515625" customWidth="1"/>
    <col min="9" max="9" width="13.140625" style="7" customWidth="1"/>
    <col min="10" max="10" width="11.7109375" style="19" customWidth="1"/>
    <col min="11" max="11" width="13.28515625" customWidth="1"/>
    <col min="12" max="12" width="14.5703125" customWidth="1"/>
    <col min="13" max="13" width="18.140625" style="7" customWidth="1"/>
    <col min="14" max="14" width="13.28515625" style="4" customWidth="1"/>
    <col min="15" max="15" width="8.42578125" style="4" customWidth="1"/>
    <col min="16" max="16" width="15.5703125" style="5" bestFit="1" customWidth="1"/>
    <col min="17" max="17" width="14.42578125" style="5" customWidth="1"/>
  </cols>
  <sheetData>
    <row r="1" spans="1:19" ht="24" thickBot="1" x14ac:dyDescent="0.4">
      <c r="C1" s="274" t="s">
        <v>245</v>
      </c>
      <c r="D1" s="274"/>
      <c r="E1" s="274"/>
      <c r="F1" s="274"/>
      <c r="G1" s="274"/>
      <c r="H1" s="274"/>
      <c r="I1" s="274"/>
      <c r="J1" s="274"/>
      <c r="K1" s="274"/>
      <c r="L1" s="2"/>
      <c r="M1" s="3"/>
    </row>
    <row r="2" spans="1:19" ht="20.25" customHeight="1" thickTop="1" thickBot="1" x14ac:dyDescent="0.35">
      <c r="A2" s="8" t="s">
        <v>0</v>
      </c>
      <c r="B2" s="135"/>
      <c r="C2" s="136">
        <v>1193953.71</v>
      </c>
      <c r="D2" s="281">
        <v>44017</v>
      </c>
      <c r="E2" s="281"/>
      <c r="F2" s="154"/>
      <c r="G2" s="142"/>
      <c r="J2" s="146"/>
      <c r="K2" s="9"/>
      <c r="L2" s="9"/>
      <c r="O2" s="10"/>
      <c r="P2" s="10"/>
      <c r="Q2" s="11"/>
    </row>
    <row r="3" spans="1:19" ht="19.5" customHeight="1" thickTop="1" thickBot="1" x14ac:dyDescent="0.35">
      <c r="A3" s="119"/>
      <c r="B3" s="279" t="s">
        <v>241</v>
      </c>
      <c r="C3" s="280"/>
      <c r="D3" s="141"/>
      <c r="E3" s="282" t="s">
        <v>240</v>
      </c>
      <c r="F3" s="283"/>
      <c r="H3" s="275" t="s">
        <v>1</v>
      </c>
      <c r="I3" s="276"/>
      <c r="J3" s="147"/>
      <c r="K3" s="120"/>
      <c r="L3" s="120"/>
      <c r="M3" s="197" t="s">
        <v>2</v>
      </c>
      <c r="N3" s="132" t="s">
        <v>3</v>
      </c>
      <c r="O3" s="10"/>
      <c r="P3" s="10"/>
      <c r="Q3" s="11"/>
    </row>
    <row r="4" spans="1:19" ht="17.25" customHeight="1" thickBot="1" x14ac:dyDescent="0.35">
      <c r="A4" s="119"/>
      <c r="B4" s="137">
        <v>44018</v>
      </c>
      <c r="C4" s="230">
        <v>414576.8</v>
      </c>
      <c r="D4" s="131"/>
      <c r="E4" s="139">
        <v>44018</v>
      </c>
      <c r="F4" s="138">
        <v>16998.5</v>
      </c>
      <c r="H4" s="18">
        <v>44018</v>
      </c>
      <c r="I4" s="143">
        <v>6147</v>
      </c>
      <c r="J4" s="150"/>
      <c r="K4" s="162"/>
      <c r="L4" s="163"/>
      <c r="M4" s="193">
        <v>368072</v>
      </c>
      <c r="N4" s="134">
        <f>16175.82+6986.22</f>
        <v>23162.04</v>
      </c>
      <c r="O4" s="10"/>
      <c r="P4" s="10">
        <f>F4+I4+L4+M4+N4</f>
        <v>414379.54</v>
      </c>
      <c r="Q4" s="229">
        <f>P4-C4</f>
        <v>-197.26000000000931</v>
      </c>
      <c r="R4" t="s">
        <v>399</v>
      </c>
    </row>
    <row r="5" spans="1:19" ht="16.5" thickBot="1" x14ac:dyDescent="0.3">
      <c r="A5" s="12" t="s">
        <v>4</v>
      </c>
      <c r="B5" s="137">
        <v>44019</v>
      </c>
      <c r="C5" s="17">
        <v>353737.45</v>
      </c>
      <c r="D5" s="15"/>
      <c r="E5" s="139">
        <v>44019</v>
      </c>
      <c r="F5" s="14">
        <v>6841</v>
      </c>
      <c r="H5" s="18">
        <v>44019</v>
      </c>
      <c r="I5" s="144">
        <v>8777</v>
      </c>
      <c r="J5" s="151"/>
      <c r="K5" s="164"/>
      <c r="L5" s="165"/>
      <c r="M5" s="193">
        <v>311335</v>
      </c>
      <c r="N5" s="134">
        <f>26784.79</f>
        <v>26784.79</v>
      </c>
      <c r="O5" s="22"/>
      <c r="P5" s="10">
        <f t="shared" ref="P5:P36" si="0">F5+I5+L5+M5+N5</f>
        <v>353737.79</v>
      </c>
      <c r="Q5" s="11">
        <f t="shared" ref="Q5:Q36" si="1">P5-C5</f>
        <v>0.33999999996740371</v>
      </c>
    </row>
    <row r="6" spans="1:19" ht="16.5" thickBot="1" x14ac:dyDescent="0.3">
      <c r="A6" s="12"/>
      <c r="B6" s="137">
        <v>44020</v>
      </c>
      <c r="C6" s="17">
        <v>436392.28</v>
      </c>
      <c r="D6" s="23"/>
      <c r="E6" s="139">
        <v>44020</v>
      </c>
      <c r="F6" s="14">
        <v>27109</v>
      </c>
      <c r="H6" s="18">
        <v>44020</v>
      </c>
      <c r="I6" s="145">
        <v>1223.93</v>
      </c>
      <c r="J6" s="151"/>
      <c r="K6" s="166"/>
      <c r="L6" s="167"/>
      <c r="M6" s="193">
        <v>384425</v>
      </c>
      <c r="N6" s="134">
        <f>21603.99+2030.54</f>
        <v>23634.530000000002</v>
      </c>
      <c r="O6" s="27"/>
      <c r="P6" s="10">
        <f t="shared" si="0"/>
        <v>436392.46</v>
      </c>
      <c r="Q6" s="11">
        <f t="shared" si="1"/>
        <v>0.17999999999301508</v>
      </c>
    </row>
    <row r="7" spans="1:19" ht="16.5" thickBot="1" x14ac:dyDescent="0.3">
      <c r="A7" s="12"/>
      <c r="B7" s="137">
        <v>44021</v>
      </c>
      <c r="C7" s="17">
        <v>487354.07</v>
      </c>
      <c r="D7" s="114"/>
      <c r="E7" s="139">
        <v>44021</v>
      </c>
      <c r="F7" s="14">
        <v>49641.2</v>
      </c>
      <c r="H7" s="18">
        <v>44021</v>
      </c>
      <c r="I7" s="145">
        <v>5318.88</v>
      </c>
      <c r="J7" s="171"/>
      <c r="K7" s="168"/>
      <c r="L7" s="169"/>
      <c r="M7" s="193">
        <v>402243</v>
      </c>
      <c r="N7" s="134">
        <f>19951.73+10199.69</f>
        <v>30151.42</v>
      </c>
      <c r="O7" s="30"/>
      <c r="P7" s="10">
        <f t="shared" si="0"/>
        <v>487354.5</v>
      </c>
      <c r="Q7" s="11">
        <f t="shared" si="1"/>
        <v>0.42999999999301508</v>
      </c>
    </row>
    <row r="8" spans="1:19" ht="16.5" thickBot="1" x14ac:dyDescent="0.3">
      <c r="A8" s="12"/>
      <c r="B8" s="137">
        <v>44022</v>
      </c>
      <c r="C8" s="17">
        <v>617729.87</v>
      </c>
      <c r="D8" s="116"/>
      <c r="E8" s="139">
        <v>44022</v>
      </c>
      <c r="F8" s="14">
        <v>32075.5</v>
      </c>
      <c r="H8" s="18">
        <v>44022</v>
      </c>
      <c r="I8" s="145">
        <v>31081.9</v>
      </c>
      <c r="J8" s="151"/>
      <c r="K8" s="170"/>
      <c r="L8" s="167"/>
      <c r="M8" s="193">
        <v>534773</v>
      </c>
      <c r="N8" s="134">
        <f>8487.1+11313.23</f>
        <v>19800.330000000002</v>
      </c>
      <c r="O8" s="27"/>
      <c r="P8" s="10">
        <f t="shared" si="0"/>
        <v>617730.73</v>
      </c>
      <c r="Q8" s="11">
        <f t="shared" si="1"/>
        <v>0.85999999998603016</v>
      </c>
    </row>
    <row r="9" spans="1:19" ht="16.5" thickBot="1" x14ac:dyDescent="0.3">
      <c r="A9" s="12"/>
      <c r="B9" s="137">
        <v>44023</v>
      </c>
      <c r="C9" s="14">
        <v>594885.6</v>
      </c>
      <c r="D9" s="117"/>
      <c r="E9" s="139">
        <v>44023</v>
      </c>
      <c r="F9" s="17">
        <v>25857</v>
      </c>
      <c r="H9" s="18">
        <v>44023</v>
      </c>
      <c r="I9" s="145">
        <v>12439.86</v>
      </c>
      <c r="J9" s="152"/>
      <c r="K9" s="170" t="s">
        <v>244</v>
      </c>
      <c r="L9" s="167">
        <v>100394.35</v>
      </c>
      <c r="M9" s="193">
        <v>462783</v>
      </c>
      <c r="N9" s="134">
        <f>22768.83+10966.2</f>
        <v>33735.03</v>
      </c>
      <c r="O9" s="27"/>
      <c r="P9" s="10">
        <f>F9+I9+L9+M9+N9</f>
        <v>635209.24</v>
      </c>
      <c r="Q9" s="11">
        <f t="shared" si="1"/>
        <v>40323.640000000014</v>
      </c>
    </row>
    <row r="10" spans="1:19" ht="16.5" thickBot="1" x14ac:dyDescent="0.3">
      <c r="A10" s="12"/>
      <c r="B10" s="137">
        <v>44024</v>
      </c>
      <c r="C10" s="14">
        <v>522438.96</v>
      </c>
      <c r="D10" s="114"/>
      <c r="E10" s="139">
        <v>44024</v>
      </c>
      <c r="F10" s="17">
        <v>22912.5</v>
      </c>
      <c r="H10" s="18">
        <v>44024</v>
      </c>
      <c r="I10" s="145">
        <v>7985.5</v>
      </c>
      <c r="J10" s="189"/>
      <c r="K10" s="148"/>
      <c r="L10" s="34"/>
      <c r="M10" s="193">
        <v>475214</v>
      </c>
      <c r="N10" s="134">
        <f>5162.92+11166.52</f>
        <v>16329.44</v>
      </c>
      <c r="O10" s="30"/>
      <c r="P10" s="10">
        <f t="shared" si="0"/>
        <v>522441.44</v>
      </c>
      <c r="Q10" s="11">
        <f t="shared" si="1"/>
        <v>2.4799999999813735</v>
      </c>
    </row>
    <row r="11" spans="1:19" ht="16.5" thickBot="1" x14ac:dyDescent="0.3">
      <c r="A11" s="12"/>
      <c r="B11" s="137">
        <v>44025</v>
      </c>
      <c r="C11" s="14">
        <v>429327.78</v>
      </c>
      <c r="D11" s="118"/>
      <c r="E11" s="139">
        <v>44025</v>
      </c>
      <c r="F11" s="17">
        <v>16452</v>
      </c>
      <c r="H11" s="18">
        <v>44025</v>
      </c>
      <c r="I11" s="145">
        <v>2054.71</v>
      </c>
      <c r="J11" s="153"/>
      <c r="K11" s="149"/>
      <c r="L11" s="35"/>
      <c r="M11" s="193">
        <v>375278</v>
      </c>
      <c r="N11" s="134">
        <f>20978.9+14766.8</f>
        <v>35745.699999999997</v>
      </c>
      <c r="O11" s="27"/>
      <c r="P11" s="10">
        <f t="shared" si="0"/>
        <v>429530.41000000003</v>
      </c>
      <c r="Q11" s="229">
        <f t="shared" si="1"/>
        <v>202.63000000000466</v>
      </c>
    </row>
    <row r="12" spans="1:19" ht="16.5" thickBot="1" x14ac:dyDescent="0.3">
      <c r="A12" s="12"/>
      <c r="B12" s="137">
        <v>44026</v>
      </c>
      <c r="C12" s="14">
        <v>402475.19</v>
      </c>
      <c r="D12" s="23"/>
      <c r="E12" s="139">
        <v>44026</v>
      </c>
      <c r="F12" s="17">
        <v>18783.75</v>
      </c>
      <c r="H12" s="18">
        <v>44026</v>
      </c>
      <c r="I12" s="24">
        <v>655</v>
      </c>
      <c r="J12" s="25"/>
      <c r="K12" s="32"/>
      <c r="L12" s="35"/>
      <c r="M12" s="193">
        <v>358623</v>
      </c>
      <c r="N12" s="134">
        <f>24417.93</f>
        <v>24417.93</v>
      </c>
      <c r="O12" s="36"/>
      <c r="P12" s="10">
        <f t="shared" si="0"/>
        <v>402479.68</v>
      </c>
      <c r="Q12" s="11">
        <f t="shared" si="1"/>
        <v>4.4899999999906868</v>
      </c>
    </row>
    <row r="13" spans="1:19" ht="16.5" thickBot="1" x14ac:dyDescent="0.3">
      <c r="A13" s="12"/>
      <c r="B13" s="137">
        <v>44027</v>
      </c>
      <c r="C13" s="14">
        <v>539759.77</v>
      </c>
      <c r="D13" s="31"/>
      <c r="E13" s="139">
        <v>44027</v>
      </c>
      <c r="F13" s="17">
        <v>69635</v>
      </c>
      <c r="H13" s="18">
        <v>44027</v>
      </c>
      <c r="I13" s="24">
        <v>7417</v>
      </c>
      <c r="J13" s="25"/>
      <c r="K13" s="32"/>
      <c r="L13" s="35"/>
      <c r="M13" s="193">
        <v>432700</v>
      </c>
      <c r="N13" s="134">
        <f>30010.6</f>
        <v>30010.6</v>
      </c>
      <c r="O13" s="27"/>
      <c r="P13" s="10">
        <f t="shared" si="0"/>
        <v>539762.6</v>
      </c>
      <c r="Q13" s="11">
        <f t="shared" si="1"/>
        <v>2.8299999999580905</v>
      </c>
    </row>
    <row r="14" spans="1:19" ht="16.5" thickBot="1" x14ac:dyDescent="0.3">
      <c r="A14" s="12"/>
      <c r="B14" s="137">
        <v>44028</v>
      </c>
      <c r="C14" s="14">
        <v>568879.97</v>
      </c>
      <c r="D14" s="28"/>
      <c r="E14" s="139">
        <v>44028</v>
      </c>
      <c r="F14" s="17">
        <v>5763.5</v>
      </c>
      <c r="H14" s="18">
        <v>44028</v>
      </c>
      <c r="I14" s="24">
        <v>3138.1</v>
      </c>
      <c r="J14" s="171"/>
      <c r="K14" s="32"/>
      <c r="L14" s="35"/>
      <c r="M14" s="193">
        <v>526167</v>
      </c>
      <c r="N14" s="134">
        <f>24185.42+10625.53</f>
        <v>34810.949999999997</v>
      </c>
      <c r="O14" s="27"/>
      <c r="P14" s="10">
        <f t="shared" si="0"/>
        <v>569879.54999999993</v>
      </c>
      <c r="Q14" s="229">
        <f t="shared" si="1"/>
        <v>999.57999999995809</v>
      </c>
      <c r="R14" t="s">
        <v>405</v>
      </c>
    </row>
    <row r="15" spans="1:19" ht="16.5" thickBot="1" x14ac:dyDescent="0.3">
      <c r="A15" s="12"/>
      <c r="B15" s="137">
        <v>44029</v>
      </c>
      <c r="C15" s="14">
        <v>654431.73</v>
      </c>
      <c r="D15" s="23"/>
      <c r="E15" s="139">
        <v>44029</v>
      </c>
      <c r="F15" s="17">
        <v>11598.5</v>
      </c>
      <c r="H15" s="18">
        <v>44029</v>
      </c>
      <c r="I15" s="24">
        <v>28646.2</v>
      </c>
      <c r="J15" s="25"/>
      <c r="K15" s="32"/>
      <c r="L15" s="35"/>
      <c r="M15" s="193">
        <v>573656</v>
      </c>
      <c r="N15" s="134">
        <f>19987.53+20550.24</f>
        <v>40537.770000000004</v>
      </c>
      <c r="O15" s="27"/>
      <c r="P15" s="10">
        <f t="shared" si="0"/>
        <v>654438.47</v>
      </c>
      <c r="Q15" s="229">
        <f t="shared" si="1"/>
        <v>6.7399999999906868</v>
      </c>
    </row>
    <row r="16" spans="1:19" ht="16.5" thickBot="1" x14ac:dyDescent="0.3">
      <c r="A16" s="12"/>
      <c r="B16" s="137">
        <v>44030</v>
      </c>
      <c r="C16" s="14">
        <v>635871.15</v>
      </c>
      <c r="D16" s="23"/>
      <c r="E16" s="139">
        <v>44030</v>
      </c>
      <c r="F16" s="17">
        <v>46446.55</v>
      </c>
      <c r="H16" s="18">
        <v>44030</v>
      </c>
      <c r="I16" s="24">
        <v>19549.91</v>
      </c>
      <c r="J16" s="25"/>
      <c r="K16" s="32" t="s">
        <v>396</v>
      </c>
      <c r="L16" s="5">
        <v>98855.21</v>
      </c>
      <c r="M16" s="193">
        <v>479184</v>
      </c>
      <c r="N16" s="134">
        <f>20170.44+12901.26</f>
        <v>33071.699999999997</v>
      </c>
      <c r="O16" s="27"/>
      <c r="P16" s="10">
        <f t="shared" si="0"/>
        <v>677107.37</v>
      </c>
      <c r="Q16" s="11">
        <f t="shared" si="1"/>
        <v>41236.219999999972</v>
      </c>
      <c r="R16" s="42">
        <v>725.45</v>
      </c>
      <c r="S16" t="s">
        <v>406</v>
      </c>
    </row>
    <row r="17" spans="1:19" ht="16.5" thickBot="1" x14ac:dyDescent="0.3">
      <c r="A17" s="12"/>
      <c r="B17" s="137">
        <v>44031</v>
      </c>
      <c r="C17" s="14">
        <v>545668.80000000005</v>
      </c>
      <c r="D17" s="31"/>
      <c r="E17" s="139">
        <v>44031</v>
      </c>
      <c r="F17" s="17">
        <v>36772.400000000001</v>
      </c>
      <c r="H17" s="18">
        <v>44031</v>
      </c>
      <c r="I17" s="24">
        <v>18597.900000000001</v>
      </c>
      <c r="J17" s="37"/>
      <c r="K17" s="32"/>
      <c r="L17" s="34"/>
      <c r="M17" s="193">
        <v>466976</v>
      </c>
      <c r="N17" s="134">
        <f>11946+9376.71</f>
        <v>21322.71</v>
      </c>
      <c r="O17" s="27"/>
      <c r="P17" s="10">
        <f t="shared" si="0"/>
        <v>543669.01</v>
      </c>
      <c r="Q17" s="231">
        <f t="shared" si="1"/>
        <v>-1999.7900000000373</v>
      </c>
      <c r="R17" s="42" t="s">
        <v>407</v>
      </c>
    </row>
    <row r="18" spans="1:19" ht="16.5" thickBot="1" x14ac:dyDescent="0.3">
      <c r="A18" s="12"/>
      <c r="B18" s="137">
        <v>44032</v>
      </c>
      <c r="C18" s="14">
        <v>419489.25</v>
      </c>
      <c r="D18" s="23"/>
      <c r="E18" s="139">
        <v>44032</v>
      </c>
      <c r="F18" s="17">
        <v>31312</v>
      </c>
      <c r="H18" s="18">
        <v>44032</v>
      </c>
      <c r="I18" s="24">
        <v>845.99</v>
      </c>
      <c r="J18" s="37"/>
      <c r="K18" s="38"/>
      <c r="L18" s="35"/>
      <c r="M18" s="193">
        <v>365352</v>
      </c>
      <c r="N18" s="134">
        <f>8742.02+13236.86</f>
        <v>21978.880000000001</v>
      </c>
      <c r="O18" s="27"/>
      <c r="P18" s="10">
        <f t="shared" si="0"/>
        <v>419488.87</v>
      </c>
      <c r="Q18" s="11">
        <f t="shared" si="1"/>
        <v>-0.38000000000465661</v>
      </c>
    </row>
    <row r="19" spans="1:19" ht="16.5" thickBot="1" x14ac:dyDescent="0.3">
      <c r="A19" s="12"/>
      <c r="B19" s="137">
        <v>44033</v>
      </c>
      <c r="C19" s="14">
        <v>380047.84</v>
      </c>
      <c r="D19" s="23"/>
      <c r="E19" s="139">
        <v>44033</v>
      </c>
      <c r="F19" s="17">
        <v>13765.5</v>
      </c>
      <c r="H19" s="18">
        <v>44033</v>
      </c>
      <c r="I19" s="24">
        <v>5489.7</v>
      </c>
      <c r="J19" s="37"/>
      <c r="K19" s="39"/>
      <c r="L19" s="40"/>
      <c r="M19" s="193">
        <v>329000</v>
      </c>
      <c r="N19" s="134">
        <v>31799.98</v>
      </c>
      <c r="O19" s="27"/>
      <c r="P19" s="10">
        <f t="shared" si="0"/>
        <v>380055.18</v>
      </c>
      <c r="Q19" s="11">
        <f t="shared" si="1"/>
        <v>7.3399999999674037</v>
      </c>
    </row>
    <row r="20" spans="1:19" ht="16.5" thickBot="1" x14ac:dyDescent="0.3">
      <c r="A20" s="12"/>
      <c r="B20" s="137">
        <v>44034</v>
      </c>
      <c r="C20" s="14">
        <v>467603</v>
      </c>
      <c r="D20" s="23"/>
      <c r="E20" s="139">
        <v>44034</v>
      </c>
      <c r="F20" s="17">
        <v>29811</v>
      </c>
      <c r="H20" s="18">
        <v>44034</v>
      </c>
      <c r="I20" s="24">
        <v>10549.46</v>
      </c>
      <c r="J20" s="25"/>
      <c r="K20" s="33"/>
      <c r="L20" s="34"/>
      <c r="M20" s="193">
        <v>400000</v>
      </c>
      <c r="N20" s="134">
        <f>27241.94</f>
        <v>27241.94</v>
      </c>
      <c r="O20" s="27"/>
      <c r="P20" s="10">
        <f>F20+I20+L20+M20+N20</f>
        <v>467602.4</v>
      </c>
      <c r="Q20" s="11">
        <f t="shared" si="1"/>
        <v>-0.59999999997671694</v>
      </c>
    </row>
    <row r="21" spans="1:19" ht="16.5" thickBot="1" x14ac:dyDescent="0.3">
      <c r="A21" s="12"/>
      <c r="B21" s="137">
        <v>44035</v>
      </c>
      <c r="C21" s="14">
        <v>495713.26</v>
      </c>
      <c r="D21" s="23"/>
      <c r="E21" s="139">
        <v>44035</v>
      </c>
      <c r="F21" s="17">
        <v>7099.5</v>
      </c>
      <c r="H21" s="18">
        <v>44035</v>
      </c>
      <c r="I21" s="24">
        <v>6409</v>
      </c>
      <c r="J21" s="41"/>
      <c r="K21" s="32"/>
      <c r="L21" s="34"/>
      <c r="M21" s="193">
        <v>443673</v>
      </c>
      <c r="N21" s="134">
        <f>25670.07+12862.63</f>
        <v>38532.699999999997</v>
      </c>
      <c r="O21" s="27"/>
      <c r="P21" s="10">
        <f t="shared" si="0"/>
        <v>495714.2</v>
      </c>
      <c r="Q21" s="11">
        <f t="shared" si="1"/>
        <v>0.94000000000232831</v>
      </c>
    </row>
    <row r="22" spans="1:19" ht="16.5" thickBot="1" x14ac:dyDescent="0.3">
      <c r="A22" s="12"/>
      <c r="B22" s="137">
        <v>44036</v>
      </c>
      <c r="C22" s="14">
        <v>617783.54</v>
      </c>
      <c r="D22" s="23"/>
      <c r="E22" s="139">
        <v>44036</v>
      </c>
      <c r="F22" s="17">
        <v>29088.19</v>
      </c>
      <c r="H22" s="18">
        <v>44036</v>
      </c>
      <c r="I22" s="24">
        <v>31959</v>
      </c>
      <c r="J22" s="196"/>
      <c r="K22" s="42"/>
      <c r="L22" s="43"/>
      <c r="M22" s="193">
        <v>512560</v>
      </c>
      <c r="N22" s="134">
        <f>37707.72+6473.06</f>
        <v>44180.78</v>
      </c>
      <c r="O22" s="27"/>
      <c r="P22" s="10">
        <f t="shared" si="0"/>
        <v>617787.97</v>
      </c>
      <c r="Q22" s="11">
        <f t="shared" si="1"/>
        <v>4.4299999999348074</v>
      </c>
    </row>
    <row r="23" spans="1:19" ht="16.5" thickBot="1" x14ac:dyDescent="0.3">
      <c r="A23" s="12"/>
      <c r="B23" s="137">
        <v>44037</v>
      </c>
      <c r="C23" s="14">
        <v>648040.9</v>
      </c>
      <c r="D23" s="23"/>
      <c r="E23" s="139">
        <v>44037</v>
      </c>
      <c r="F23" s="17">
        <v>40831.800000000003</v>
      </c>
      <c r="H23" s="18">
        <v>44037</v>
      </c>
      <c r="I23" s="24">
        <v>8628.5400000000009</v>
      </c>
      <c r="J23" s="44"/>
      <c r="K23" s="224" t="s">
        <v>397</v>
      </c>
      <c r="L23" s="34">
        <f>40398.94+60468.25</f>
        <v>100867.19</v>
      </c>
      <c r="M23" s="193">
        <v>503702.64</v>
      </c>
      <c r="N23" s="134">
        <f>27881.3+6537.95</f>
        <v>34419.25</v>
      </c>
      <c r="O23" s="47"/>
      <c r="P23" s="10">
        <f t="shared" si="0"/>
        <v>688449.42</v>
      </c>
      <c r="Q23" s="11">
        <f t="shared" si="1"/>
        <v>40408.520000000019</v>
      </c>
    </row>
    <row r="24" spans="1:19" ht="16.5" thickBot="1" x14ac:dyDescent="0.3">
      <c r="A24" s="12"/>
      <c r="B24" s="137">
        <v>44038</v>
      </c>
      <c r="C24" s="14">
        <v>509890.63</v>
      </c>
      <c r="D24" s="23"/>
      <c r="E24" s="139">
        <v>44038</v>
      </c>
      <c r="F24" s="17">
        <v>11774.1</v>
      </c>
      <c r="H24" s="18">
        <v>44038</v>
      </c>
      <c r="I24" s="24">
        <v>10351.5</v>
      </c>
      <c r="J24" s="48"/>
      <c r="K24" s="49"/>
      <c r="L24" s="50"/>
      <c r="M24" s="193">
        <v>487765</v>
      </c>
      <c r="N24" s="134">
        <f>0</f>
        <v>0</v>
      </c>
      <c r="O24" s="27"/>
      <c r="P24" s="10">
        <f t="shared" si="0"/>
        <v>509890.6</v>
      </c>
      <c r="Q24" s="11">
        <f t="shared" si="1"/>
        <v>-3.0000000027939677E-2</v>
      </c>
    </row>
    <row r="25" spans="1:19" ht="16.5" thickBot="1" x14ac:dyDescent="0.3">
      <c r="A25" s="12"/>
      <c r="B25" s="137">
        <v>44039</v>
      </c>
      <c r="C25" s="14">
        <v>397104.45</v>
      </c>
      <c r="D25" s="23"/>
      <c r="E25" s="139">
        <v>44039</v>
      </c>
      <c r="F25" s="17">
        <v>13074</v>
      </c>
      <c r="H25" s="18">
        <v>44039</v>
      </c>
      <c r="I25" s="24">
        <v>14612</v>
      </c>
      <c r="J25" s="51"/>
      <c r="K25" s="52"/>
      <c r="L25" s="53">
        <v>0</v>
      </c>
      <c r="M25" s="193">
        <v>344621</v>
      </c>
      <c r="N25" s="134">
        <f>21297.82+3500.32</f>
        <v>24798.14</v>
      </c>
      <c r="O25" s="27"/>
      <c r="P25" s="10">
        <f t="shared" si="0"/>
        <v>397105.14</v>
      </c>
      <c r="Q25" s="11">
        <f t="shared" si="1"/>
        <v>0.69000000000232831</v>
      </c>
    </row>
    <row r="26" spans="1:19" ht="16.5" thickBot="1" x14ac:dyDescent="0.3">
      <c r="A26" s="12"/>
      <c r="B26" s="137">
        <v>44040</v>
      </c>
      <c r="C26" s="14">
        <v>345044.65</v>
      </c>
      <c r="D26" s="23"/>
      <c r="E26" s="139">
        <v>44040</v>
      </c>
      <c r="F26" s="17">
        <v>6333</v>
      </c>
      <c r="H26" s="18">
        <v>44040</v>
      </c>
      <c r="I26" s="24">
        <v>1439</v>
      </c>
      <c r="J26" s="37"/>
      <c r="K26" s="54"/>
      <c r="L26" s="46"/>
      <c r="M26" s="193">
        <v>302090</v>
      </c>
      <c r="N26" s="134">
        <f>35183.81</f>
        <v>35183.81</v>
      </c>
      <c r="O26" s="27"/>
      <c r="P26" s="10">
        <f t="shared" si="0"/>
        <v>345045.81</v>
      </c>
      <c r="Q26" s="11">
        <f t="shared" si="1"/>
        <v>1.1599999999743886</v>
      </c>
    </row>
    <row r="27" spans="1:19" ht="16.5" thickBot="1" x14ac:dyDescent="0.3">
      <c r="A27" s="12"/>
      <c r="B27" s="137">
        <v>44041</v>
      </c>
      <c r="C27" s="14">
        <v>384147.84</v>
      </c>
      <c r="D27" s="23"/>
      <c r="E27" s="139">
        <v>44041</v>
      </c>
      <c r="F27" s="17">
        <v>22555.4</v>
      </c>
      <c r="H27" s="18">
        <v>44041</v>
      </c>
      <c r="I27" s="24">
        <v>4605.71</v>
      </c>
      <c r="J27" s="156"/>
      <c r="K27" s="32"/>
      <c r="L27" s="155"/>
      <c r="M27" s="193">
        <v>314956</v>
      </c>
      <c r="N27" s="134">
        <f>4442.82+37588.2</f>
        <v>42031.02</v>
      </c>
      <c r="O27" s="27"/>
      <c r="P27" s="10">
        <f t="shared" si="0"/>
        <v>384148.13</v>
      </c>
      <c r="Q27" s="11">
        <f t="shared" si="1"/>
        <v>0.28999999997904524</v>
      </c>
    </row>
    <row r="28" spans="1:19" ht="16.5" thickBot="1" x14ac:dyDescent="0.3">
      <c r="A28" s="12"/>
      <c r="B28" s="137">
        <v>44042</v>
      </c>
      <c r="C28" s="14">
        <v>663711.56000000006</v>
      </c>
      <c r="D28" s="57"/>
      <c r="E28" s="139">
        <v>44042</v>
      </c>
      <c r="F28" s="17">
        <v>58886</v>
      </c>
      <c r="H28" s="18">
        <v>44042</v>
      </c>
      <c r="I28" s="24">
        <v>8070.59</v>
      </c>
      <c r="J28" s="172"/>
      <c r="K28" s="32"/>
      <c r="L28" s="155">
        <v>0</v>
      </c>
      <c r="M28" s="193">
        <v>546828</v>
      </c>
      <c r="N28" s="134">
        <f>21761.54+28169.67</f>
        <v>49931.21</v>
      </c>
      <c r="O28" s="27"/>
      <c r="P28" s="10">
        <f t="shared" si="0"/>
        <v>663715.79999999993</v>
      </c>
      <c r="Q28" s="11">
        <f t="shared" si="1"/>
        <v>4.2399999998742715</v>
      </c>
    </row>
    <row r="29" spans="1:19" ht="16.5" thickBot="1" x14ac:dyDescent="0.3">
      <c r="A29" s="12"/>
      <c r="B29" s="137">
        <v>44043</v>
      </c>
      <c r="C29" s="14">
        <v>680047.03</v>
      </c>
      <c r="D29" s="58"/>
      <c r="E29" s="139">
        <v>44043</v>
      </c>
      <c r="F29" s="17">
        <v>7048</v>
      </c>
      <c r="H29" s="18">
        <v>44043</v>
      </c>
      <c r="I29" s="24">
        <v>36076.199999999997</v>
      </c>
      <c r="J29" s="55"/>
      <c r="K29" s="52"/>
      <c r="L29" s="53"/>
      <c r="M29" s="193">
        <v>547410</v>
      </c>
      <c r="N29" s="134">
        <f>55221.69+33291.15</f>
        <v>88512.84</v>
      </c>
      <c r="O29" s="27"/>
      <c r="P29" s="10">
        <f t="shared" si="0"/>
        <v>679047.03999999992</v>
      </c>
      <c r="Q29" s="231">
        <f t="shared" si="1"/>
        <v>-999.9900000001071</v>
      </c>
      <c r="R29" s="243" t="s">
        <v>400</v>
      </c>
      <c r="S29" t="s">
        <v>404</v>
      </c>
    </row>
    <row r="30" spans="1:19" ht="16.5" thickBot="1" x14ac:dyDescent="0.3">
      <c r="A30" s="12"/>
      <c r="B30" s="137">
        <v>44044</v>
      </c>
      <c r="C30" s="14">
        <v>656404.84</v>
      </c>
      <c r="D30" s="58"/>
      <c r="E30" s="139">
        <v>44044</v>
      </c>
      <c r="F30" s="17">
        <v>54367</v>
      </c>
      <c r="H30" s="18">
        <v>44044</v>
      </c>
      <c r="I30" s="59">
        <v>2961.5</v>
      </c>
      <c r="J30" s="55"/>
      <c r="K30" s="225" t="s">
        <v>398</v>
      </c>
      <c r="L30" s="22">
        <f>59750.4+41331.62</f>
        <v>101082.02</v>
      </c>
      <c r="M30" s="193">
        <f>520928+469</f>
        <v>521397</v>
      </c>
      <c r="N30" s="134">
        <f>7431.8+10496.85</f>
        <v>17928.650000000001</v>
      </c>
      <c r="O30" s="27"/>
      <c r="P30" s="10">
        <f t="shared" si="0"/>
        <v>697736.17</v>
      </c>
      <c r="Q30" s="11">
        <f t="shared" si="1"/>
        <v>41331.330000000075</v>
      </c>
      <c r="R30" s="5"/>
      <c r="S30" s="42"/>
    </row>
    <row r="31" spans="1:19" ht="16.5" thickBot="1" x14ac:dyDescent="0.3">
      <c r="A31" s="12"/>
      <c r="B31" s="137">
        <v>44045</v>
      </c>
      <c r="C31" s="62">
        <v>605783.52</v>
      </c>
      <c r="D31" s="58"/>
      <c r="E31" s="139">
        <v>44045</v>
      </c>
      <c r="F31" s="17">
        <v>11870</v>
      </c>
      <c r="H31" s="18">
        <v>44045</v>
      </c>
      <c r="I31" s="59">
        <v>14927</v>
      </c>
      <c r="J31" s="55"/>
      <c r="K31" s="52"/>
      <c r="L31" s="53"/>
      <c r="M31" s="193">
        <v>561566.5</v>
      </c>
      <c r="N31" s="134">
        <f>6197.42+11222.16</f>
        <v>17419.580000000002</v>
      </c>
      <c r="O31" s="27"/>
      <c r="P31" s="10">
        <f t="shared" si="0"/>
        <v>605783.07999999996</v>
      </c>
      <c r="Q31" s="11">
        <f t="shared" si="1"/>
        <v>-0.44000000006053597</v>
      </c>
    </row>
    <row r="32" spans="1:19" ht="16.5" thickBot="1" x14ac:dyDescent="0.3">
      <c r="A32" s="12"/>
      <c r="B32" s="13"/>
      <c r="C32" s="62"/>
      <c r="D32" s="58"/>
      <c r="E32" s="16"/>
      <c r="F32" s="63"/>
      <c r="H32" s="18"/>
      <c r="I32" s="59"/>
      <c r="J32" s="55"/>
      <c r="K32" s="56"/>
      <c r="L32" s="53"/>
      <c r="M32" s="193">
        <v>0</v>
      </c>
      <c r="N32" s="134">
        <v>0</v>
      </c>
      <c r="O32" s="27"/>
      <c r="P32" s="10">
        <f t="shared" si="0"/>
        <v>0</v>
      </c>
      <c r="Q32" s="11">
        <f t="shared" si="1"/>
        <v>0</v>
      </c>
    </row>
    <row r="33" spans="1:17" ht="16.5" thickBot="1" x14ac:dyDescent="0.3">
      <c r="A33" s="12"/>
      <c r="B33" s="13"/>
      <c r="C33" s="62"/>
      <c r="D33" s="64"/>
      <c r="E33" s="16">
        <v>44032</v>
      </c>
      <c r="F33" s="65">
        <v>16934.400000000001</v>
      </c>
      <c r="G33" s="42"/>
      <c r="H33" s="18"/>
      <c r="I33" s="59"/>
      <c r="J33" s="55"/>
      <c r="K33" s="56"/>
      <c r="L33" s="53"/>
      <c r="M33" s="193">
        <v>0</v>
      </c>
      <c r="N33" s="134">
        <v>0</v>
      </c>
      <c r="O33" s="27"/>
      <c r="P33" s="10">
        <f t="shared" si="0"/>
        <v>16934.400000000001</v>
      </c>
      <c r="Q33" s="11">
        <f t="shared" si="1"/>
        <v>16934.400000000001</v>
      </c>
    </row>
    <row r="34" spans="1:17" ht="16.5" thickBot="1" x14ac:dyDescent="0.3">
      <c r="A34" s="12"/>
      <c r="B34" s="13"/>
      <c r="C34" s="62"/>
      <c r="D34" s="66"/>
      <c r="E34" s="16">
        <v>44021</v>
      </c>
      <c r="F34" s="65">
        <v>187486.8</v>
      </c>
      <c r="G34" s="42" t="s">
        <v>401</v>
      </c>
      <c r="H34" s="18"/>
      <c r="I34" s="59"/>
      <c r="J34" s="55"/>
      <c r="K34" s="52"/>
      <c r="L34" s="53"/>
      <c r="M34" s="193">
        <v>0</v>
      </c>
      <c r="N34" s="134">
        <v>0</v>
      </c>
      <c r="O34" s="27"/>
      <c r="P34" s="10">
        <f t="shared" si="0"/>
        <v>187486.8</v>
      </c>
      <c r="Q34" s="11">
        <f t="shared" si="1"/>
        <v>187486.8</v>
      </c>
    </row>
    <row r="35" spans="1:17" ht="16.5" thickBot="1" x14ac:dyDescent="0.3">
      <c r="A35" s="12"/>
      <c r="B35" s="13"/>
      <c r="C35" s="62"/>
      <c r="D35" s="64"/>
      <c r="E35" s="16">
        <v>44026</v>
      </c>
      <c r="F35" s="65">
        <v>49087</v>
      </c>
      <c r="G35" s="42" t="s">
        <v>401</v>
      </c>
      <c r="H35" s="18"/>
      <c r="I35" s="59"/>
      <c r="J35" s="172"/>
      <c r="K35" s="158"/>
      <c r="L35" s="157">
        <v>0</v>
      </c>
      <c r="M35" s="193">
        <v>0</v>
      </c>
      <c r="N35" s="134">
        <v>0</v>
      </c>
      <c r="O35" s="27"/>
      <c r="P35" s="10">
        <f t="shared" si="0"/>
        <v>49087</v>
      </c>
      <c r="Q35" s="11">
        <f t="shared" si="1"/>
        <v>49087</v>
      </c>
    </row>
    <row r="36" spans="1:17" ht="16.5" thickBot="1" x14ac:dyDescent="0.3">
      <c r="A36" s="12"/>
      <c r="B36" s="13"/>
      <c r="C36" s="62"/>
      <c r="D36" s="64"/>
      <c r="E36" s="16">
        <v>44034</v>
      </c>
      <c r="F36" s="65">
        <v>123404</v>
      </c>
      <c r="G36" s="42" t="s">
        <v>401</v>
      </c>
      <c r="H36" s="18"/>
      <c r="I36" s="59"/>
      <c r="J36" s="55"/>
      <c r="K36" s="52"/>
      <c r="L36" s="53"/>
      <c r="M36" s="193">
        <v>0</v>
      </c>
      <c r="N36" s="134">
        <v>0</v>
      </c>
      <c r="O36" s="27"/>
      <c r="P36" s="10">
        <f t="shared" si="0"/>
        <v>123404</v>
      </c>
      <c r="Q36" s="11">
        <f t="shared" si="1"/>
        <v>123404</v>
      </c>
    </row>
    <row r="37" spans="1:17" ht="16.5" thickBot="1" x14ac:dyDescent="0.3">
      <c r="A37" s="12"/>
      <c r="B37" s="13"/>
      <c r="C37" s="62">
        <v>0</v>
      </c>
      <c r="D37" s="68"/>
      <c r="E37" s="16">
        <v>44039</v>
      </c>
      <c r="F37" s="65">
        <v>111860.25</v>
      </c>
      <c r="G37" s="42" t="s">
        <v>401</v>
      </c>
      <c r="H37" s="18"/>
      <c r="I37" s="59">
        <v>0</v>
      </c>
      <c r="J37" s="55"/>
      <c r="K37" s="187" t="s">
        <v>5</v>
      </c>
      <c r="L37" s="26">
        <v>1614</v>
      </c>
      <c r="M37" s="193">
        <v>0</v>
      </c>
      <c r="N37" s="134">
        <v>0</v>
      </c>
      <c r="O37" s="27"/>
      <c r="P37" s="22">
        <v>0</v>
      </c>
      <c r="Q37" s="5">
        <v>0</v>
      </c>
    </row>
    <row r="38" spans="1:17" ht="16.5" thickBot="1" x14ac:dyDescent="0.3">
      <c r="A38" s="12"/>
      <c r="B38" s="13"/>
      <c r="C38" s="69">
        <v>0</v>
      </c>
      <c r="D38" s="68"/>
      <c r="E38" s="16">
        <v>44040</v>
      </c>
      <c r="F38" s="65">
        <v>122654</v>
      </c>
      <c r="G38" s="42" t="s">
        <v>401</v>
      </c>
      <c r="H38" s="18"/>
      <c r="I38" s="59">
        <v>0</v>
      </c>
      <c r="J38" s="55"/>
      <c r="K38" s="188" t="s">
        <v>6</v>
      </c>
      <c r="L38" s="29">
        <v>45686</v>
      </c>
      <c r="M38" s="193">
        <v>0</v>
      </c>
      <c r="N38" s="134">
        <v>0</v>
      </c>
      <c r="O38" s="27"/>
      <c r="P38" s="70">
        <v>0</v>
      </c>
      <c r="Q38" s="70">
        <v>0</v>
      </c>
    </row>
    <row r="39" spans="1:17" ht="15.75" thickBot="1" x14ac:dyDescent="0.3">
      <c r="A39" s="12"/>
      <c r="B39" s="13"/>
      <c r="C39" s="69">
        <v>0</v>
      </c>
      <c r="D39" s="71"/>
      <c r="E39" s="16">
        <v>44041</v>
      </c>
      <c r="F39" s="65">
        <v>120429.5</v>
      </c>
      <c r="G39" s="42" t="s">
        <v>401</v>
      </c>
      <c r="H39" s="18"/>
      <c r="I39" s="72">
        <v>0</v>
      </c>
      <c r="J39" s="55"/>
      <c r="K39" s="186" t="s">
        <v>7</v>
      </c>
      <c r="L39" s="159">
        <v>0</v>
      </c>
      <c r="M39" s="22">
        <f>SUM(M4:M38)</f>
        <v>12332350.140000001</v>
      </c>
      <c r="N39" s="22">
        <f>SUM(N4:N38)</f>
        <v>867473.72000000009</v>
      </c>
      <c r="O39" s="27"/>
      <c r="P39" s="22">
        <f>SUM(P4:P38)</f>
        <v>15012594.800000001</v>
      </c>
      <c r="Q39" s="22">
        <f>SUM(Q4:Q38)</f>
        <v>538253.06999999937</v>
      </c>
    </row>
    <row r="40" spans="1:17" ht="15.75" thickBot="1" x14ac:dyDescent="0.3">
      <c r="A40" s="12"/>
      <c r="B40" s="232"/>
      <c r="C40" s="233"/>
      <c r="D40" s="71"/>
      <c r="E40" s="234">
        <v>44042</v>
      </c>
      <c r="F40" s="22">
        <v>130993.60000000001</v>
      </c>
      <c r="G40" s="42" t="s">
        <v>401</v>
      </c>
      <c r="H40" s="235"/>
      <c r="I40" s="22"/>
      <c r="J40" s="236"/>
      <c r="K40" s="237"/>
      <c r="L40" s="238"/>
      <c r="M40" s="22"/>
      <c r="N40" s="22"/>
      <c r="O40" s="27"/>
      <c r="P40" s="22"/>
      <c r="Q40" s="22"/>
    </row>
    <row r="41" spans="1:17" ht="16.5" thickBot="1" x14ac:dyDescent="0.3">
      <c r="B41" s="73" t="s">
        <v>13</v>
      </c>
      <c r="C41" s="74">
        <f>SUM(C4:C39)</f>
        <v>14474341.730000002</v>
      </c>
      <c r="D41" s="75"/>
      <c r="E41" s="76" t="s">
        <v>13</v>
      </c>
      <c r="F41" s="77">
        <f>SUM(F4:F40)</f>
        <v>1587551.4400000002</v>
      </c>
      <c r="G41" s="75"/>
      <c r="H41" s="78" t="s">
        <v>14</v>
      </c>
      <c r="I41" s="79">
        <f>SUM(I4:I39)</f>
        <v>309958.08</v>
      </c>
      <c r="J41" s="80"/>
      <c r="K41" s="81" t="s">
        <v>15</v>
      </c>
      <c r="L41" s="82">
        <f>SUM(L6:L39)</f>
        <v>448498.77</v>
      </c>
      <c r="O41" s="83"/>
      <c r="P41" s="22"/>
      <c r="Q41" s="22"/>
    </row>
    <row r="42" spans="1:17" ht="20.25" thickTop="1" thickBot="1" x14ac:dyDescent="0.3">
      <c r="C42" s="6" t="s">
        <v>4</v>
      </c>
      <c r="M42" s="277">
        <f>M39+N39</f>
        <v>13199823.860000001</v>
      </c>
      <c r="N42" s="278"/>
      <c r="O42" s="84"/>
      <c r="P42" s="85"/>
    </row>
    <row r="43" spans="1:17" ht="15.75" customHeight="1" x14ac:dyDescent="0.25">
      <c r="A43" s="42"/>
      <c r="B43" s="86"/>
      <c r="C43" s="4"/>
      <c r="H43" s="264" t="s">
        <v>16</v>
      </c>
      <c r="I43" s="265"/>
      <c r="J43" s="265"/>
      <c r="K43" s="266">
        <f>I41+L41</f>
        <v>758456.85000000009</v>
      </c>
      <c r="L43" s="267"/>
      <c r="P43" s="30"/>
    </row>
    <row r="44" spans="1:17" ht="15.75" x14ac:dyDescent="0.25">
      <c r="D44" s="268" t="s">
        <v>17</v>
      </c>
      <c r="E44" s="268"/>
      <c r="F44" s="87">
        <f>C41-F41-K43</f>
        <v>12128333.440000003</v>
      </c>
      <c r="I44" s="88"/>
      <c r="J44" s="89"/>
      <c r="O44" s="107"/>
      <c r="P44" s="30"/>
      <c r="Q44" s="22"/>
    </row>
    <row r="45" spans="1:17" ht="32.25" customHeight="1" x14ac:dyDescent="0.3">
      <c r="D45" s="269" t="s">
        <v>18</v>
      </c>
      <c r="E45" s="269"/>
      <c r="F45" s="90">
        <v>-11915542.42</v>
      </c>
      <c r="I45" s="270" t="s">
        <v>19</v>
      </c>
      <c r="J45" s="271"/>
      <c r="K45" s="272">
        <f>F49</f>
        <v>1323823.9300000032</v>
      </c>
      <c r="L45" s="273"/>
      <c r="O45" s="107"/>
      <c r="P45" s="108"/>
      <c r="Q45" s="22"/>
    </row>
    <row r="46" spans="1:17" ht="18.75" x14ac:dyDescent="0.3">
      <c r="C46" s="7" t="s">
        <v>4</v>
      </c>
      <c r="E46" s="42" t="s">
        <v>20</v>
      </c>
      <c r="F46" s="90">
        <f>SUM(F44:F45)</f>
        <v>212791.02000000328</v>
      </c>
      <c r="H46" s="12"/>
      <c r="I46" s="91" t="s">
        <v>21</v>
      </c>
      <c r="J46" s="92"/>
      <c r="K46" s="255">
        <f>-C2</f>
        <v>-1193953.71</v>
      </c>
      <c r="L46" s="256"/>
      <c r="M46" s="93"/>
      <c r="O46" s="107"/>
      <c r="P46" s="30"/>
      <c r="Q46" s="22"/>
    </row>
    <row r="47" spans="1:17" ht="16.5" thickBot="1" x14ac:dyDescent="0.3">
      <c r="D47" s="94"/>
      <c r="E47" s="42"/>
      <c r="F47" s="95">
        <v>0</v>
      </c>
      <c r="O47" s="107"/>
      <c r="P47" s="30"/>
      <c r="Q47" s="22"/>
    </row>
    <row r="48" spans="1:17" ht="20.25" thickTop="1" thickBot="1" x14ac:dyDescent="0.35">
      <c r="C48" s="185">
        <v>44045</v>
      </c>
      <c r="D48" s="257" t="s">
        <v>22</v>
      </c>
      <c r="E48" s="258"/>
      <c r="F48" s="96">
        <v>1111032.9099999999</v>
      </c>
      <c r="I48" s="259" t="s">
        <v>23</v>
      </c>
      <c r="J48" s="260"/>
      <c r="K48" s="261">
        <f>K45+K46</f>
        <v>129870.22000000323</v>
      </c>
      <c r="L48" s="262"/>
      <c r="O48" s="107"/>
      <c r="P48" s="109"/>
      <c r="Q48" s="22"/>
    </row>
    <row r="49" spans="2:17" ht="18.75" x14ac:dyDescent="0.3">
      <c r="C49" s="97"/>
      <c r="D49" s="98"/>
      <c r="E49" s="99" t="s">
        <v>24</v>
      </c>
      <c r="F49" s="100">
        <f>F46+F47+F48</f>
        <v>1323823.9300000032</v>
      </c>
      <c r="J49" s="101"/>
      <c r="M49" s="102"/>
      <c r="O49" s="107"/>
      <c r="P49" s="22"/>
      <c r="Q49" s="22"/>
    </row>
    <row r="50" spans="2:17" x14ac:dyDescent="0.25">
      <c r="O50" s="107"/>
      <c r="P50" s="22"/>
      <c r="Q50" s="22"/>
    </row>
    <row r="51" spans="2:17" x14ac:dyDescent="0.25">
      <c r="B51"/>
      <c r="C51"/>
      <c r="D51" s="263"/>
      <c r="E51" s="263"/>
      <c r="M51" s="103"/>
      <c r="N51" s="42"/>
      <c r="O51" s="110"/>
      <c r="P51" s="111"/>
      <c r="Q51" s="112"/>
    </row>
    <row r="52" spans="2:17" x14ac:dyDescent="0.25">
      <c r="B52"/>
      <c r="C52"/>
      <c r="M52" s="103"/>
      <c r="N52" s="42"/>
      <c r="O52" s="42"/>
      <c r="P52" s="42"/>
      <c r="Q52" s="106"/>
    </row>
    <row r="53" spans="2:17" x14ac:dyDescent="0.25">
      <c r="B53"/>
      <c r="C53"/>
      <c r="N53" s="42"/>
      <c r="O53" s="42"/>
      <c r="P53" s="42"/>
      <c r="Q53" s="106"/>
    </row>
    <row r="54" spans="2:17" x14ac:dyDescent="0.25">
      <c r="B54"/>
      <c r="C54"/>
      <c r="F54"/>
      <c r="I54"/>
      <c r="J54" s="104"/>
      <c r="K54" s="142"/>
      <c r="L54" s="226"/>
      <c r="M54" s="142"/>
      <c r="N54" s="42"/>
      <c r="O54" s="42"/>
      <c r="P54" s="42"/>
      <c r="Q54" s="106"/>
    </row>
    <row r="55" spans="2:17" x14ac:dyDescent="0.25">
      <c r="B55"/>
      <c r="C55"/>
      <c r="F55" s="105"/>
      <c r="K55" s="142"/>
      <c r="L55" s="227"/>
      <c r="M55" s="105"/>
      <c r="N55" s="42"/>
      <c r="O55" s="42"/>
      <c r="P55" s="42"/>
      <c r="Q55" s="106"/>
    </row>
    <row r="56" spans="2:17" x14ac:dyDescent="0.25">
      <c r="F56" s="22"/>
      <c r="K56" s="142"/>
      <c r="L56" s="227"/>
      <c r="M56" s="107"/>
      <c r="N56" s="42"/>
      <c r="O56" s="42"/>
      <c r="P56" s="42"/>
      <c r="Q56" s="106"/>
    </row>
    <row r="57" spans="2:17" x14ac:dyDescent="0.25">
      <c r="F57" s="22"/>
      <c r="K57" s="142"/>
      <c r="L57" s="61"/>
      <c r="M57" s="107"/>
      <c r="N57" s="42"/>
      <c r="O57" s="42"/>
      <c r="P57" s="42"/>
      <c r="Q57" s="106"/>
    </row>
    <row r="58" spans="2:17" x14ac:dyDescent="0.25">
      <c r="F58" s="22"/>
      <c r="K58" s="142"/>
      <c r="L58" s="227"/>
      <c r="M58" s="107"/>
      <c r="N58" s="42"/>
      <c r="O58" s="42"/>
      <c r="P58" s="42"/>
      <c r="Q58" s="106"/>
    </row>
    <row r="59" spans="2:17" x14ac:dyDescent="0.25">
      <c r="F59" s="22"/>
      <c r="K59" s="142"/>
      <c r="L59" s="227"/>
      <c r="M59" s="107"/>
      <c r="N59" s="42"/>
      <c r="O59" s="42"/>
      <c r="P59" s="42"/>
      <c r="Q59" s="106"/>
    </row>
    <row r="60" spans="2:17" x14ac:dyDescent="0.25">
      <c r="F60" s="22"/>
      <c r="K60" s="142"/>
      <c r="L60" s="227"/>
      <c r="M60" s="107"/>
    </row>
    <row r="61" spans="2:17" x14ac:dyDescent="0.25">
      <c r="F61" s="22"/>
      <c r="K61" s="142"/>
      <c r="L61" s="227"/>
      <c r="M61" s="107"/>
    </row>
    <row r="62" spans="2:17" x14ac:dyDescent="0.25">
      <c r="F62" s="22"/>
      <c r="K62" s="142"/>
      <c r="L62" s="223"/>
      <c r="M62" s="107"/>
    </row>
    <row r="63" spans="2:17" x14ac:dyDescent="0.25">
      <c r="F63" s="22"/>
      <c r="K63" s="142"/>
      <c r="L63" s="227"/>
      <c r="M63" s="107"/>
    </row>
    <row r="64" spans="2:17" x14ac:dyDescent="0.25">
      <c r="F64" s="22"/>
      <c r="K64" s="142"/>
      <c r="L64" s="228"/>
      <c r="M64" s="107"/>
    </row>
    <row r="65" spans="6:13" x14ac:dyDescent="0.25">
      <c r="F65" s="105"/>
      <c r="K65" s="142"/>
      <c r="L65" s="142"/>
      <c r="M65" s="107"/>
    </row>
    <row r="66" spans="6:13" x14ac:dyDescent="0.25">
      <c r="K66" s="142"/>
      <c r="L66" s="142"/>
      <c r="M66" s="107"/>
    </row>
    <row r="67" spans="6:13" x14ac:dyDescent="0.25"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</sheetData>
  <sortState xmlns:xlrd2="http://schemas.microsoft.com/office/spreadsheetml/2017/richdata2" ref="E34:G40">
    <sortCondition ref="E34:E40"/>
  </sortState>
  <mergeCells count="17">
    <mergeCell ref="M42:N42"/>
    <mergeCell ref="C1:K1"/>
    <mergeCell ref="D2:E2"/>
    <mergeCell ref="B3:C3"/>
    <mergeCell ref="E3:F3"/>
    <mergeCell ref="H3:I3"/>
    <mergeCell ref="H43:J43"/>
    <mergeCell ref="K43:L43"/>
    <mergeCell ref="D44:E44"/>
    <mergeCell ref="D45:E45"/>
    <mergeCell ref="I45:J45"/>
    <mergeCell ref="K45:L45"/>
    <mergeCell ref="K46:L46"/>
    <mergeCell ref="D48:E48"/>
    <mergeCell ref="I48:J48"/>
    <mergeCell ref="K48:L48"/>
    <mergeCell ref="D51:E51"/>
  </mergeCells>
  <pageMargins left="0.35433070866141736" right="0.15748031496062992" top="0.31496062992125984" bottom="0.31496062992125984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2BBA3-5DF9-4766-8213-A8DB50481A75}">
  <sheetPr>
    <tabColor rgb="FFFF00FF"/>
  </sheetPr>
  <dimension ref="A2:P99"/>
  <sheetViews>
    <sheetView topLeftCell="A49" workbookViewId="0">
      <selection activeCell="G68" sqref="G68:G69"/>
    </sheetView>
  </sheetViews>
  <sheetFormatPr baseColWidth="10" defaultRowHeight="15" x14ac:dyDescent="0.25"/>
  <cols>
    <col min="3" max="3" width="14.28515625" style="6" customWidth="1"/>
    <col min="4" max="4" width="4.5703125" customWidth="1"/>
    <col min="5" max="5" width="6" customWidth="1"/>
    <col min="6" max="7" width="11.42578125" style="42"/>
    <col min="8" max="8" width="19.42578125" style="4" customWidth="1"/>
    <col min="9" max="9" width="5.28515625" customWidth="1"/>
    <col min="10" max="16" width="11.42578125" style="142"/>
  </cols>
  <sheetData>
    <row r="2" spans="1:16" ht="15.75" thickBot="1" x14ac:dyDescent="0.3">
      <c r="A2" s="287" t="s">
        <v>26</v>
      </c>
      <c r="B2" s="288"/>
      <c r="C2" s="288"/>
      <c r="D2" s="288"/>
      <c r="F2" s="287" t="s">
        <v>26</v>
      </c>
      <c r="G2" s="288"/>
      <c r="H2" s="288"/>
      <c r="I2" s="288"/>
    </row>
    <row r="3" spans="1:16" ht="16.5" thickTop="1" thickBot="1" x14ac:dyDescent="0.3">
      <c r="A3" s="121" t="s">
        <v>27</v>
      </c>
      <c r="B3" s="121" t="s">
        <v>28</v>
      </c>
      <c r="C3" s="173" t="s">
        <v>29</v>
      </c>
      <c r="D3" s="121"/>
      <c r="E3" s="209"/>
      <c r="F3" s="212" t="s">
        <v>27</v>
      </c>
      <c r="G3" s="212" t="s">
        <v>28</v>
      </c>
      <c r="H3" s="213" t="s">
        <v>29</v>
      </c>
      <c r="I3" s="214"/>
    </row>
    <row r="4" spans="1:16" ht="15.75" thickTop="1" x14ac:dyDescent="0.25">
      <c r="A4" s="198">
        <v>44018</v>
      </c>
      <c r="B4" s="199" t="s">
        <v>233</v>
      </c>
      <c r="C4" s="200">
        <v>0</v>
      </c>
      <c r="D4" s="157"/>
      <c r="E4" s="209"/>
      <c r="F4" s="198">
        <v>44035</v>
      </c>
      <c r="G4" s="199" t="s">
        <v>344</v>
      </c>
      <c r="H4" s="201">
        <v>6859.44</v>
      </c>
      <c r="I4" s="215"/>
      <c r="J4" s="219"/>
      <c r="K4" s="219"/>
      <c r="L4" s="219"/>
      <c r="M4" s="219"/>
      <c r="N4" s="219"/>
      <c r="O4" s="219"/>
      <c r="P4" s="220"/>
    </row>
    <row r="5" spans="1:16" x14ac:dyDescent="0.25">
      <c r="A5" s="198">
        <v>44018</v>
      </c>
      <c r="B5" s="199" t="s">
        <v>234</v>
      </c>
      <c r="C5" s="201">
        <v>424745.2</v>
      </c>
      <c r="D5" s="157"/>
      <c r="E5" s="209"/>
      <c r="F5" s="198">
        <v>44035</v>
      </c>
      <c r="G5" s="199" t="s">
        <v>345</v>
      </c>
      <c r="H5" s="201">
        <v>149125.20000000001</v>
      </c>
      <c r="I5" s="215"/>
      <c r="J5" s="219"/>
      <c r="K5" s="219"/>
      <c r="L5" s="219"/>
      <c r="M5" s="219"/>
      <c r="N5" s="219"/>
      <c r="O5" s="219"/>
      <c r="P5" s="220"/>
    </row>
    <row r="6" spans="1:16" x14ac:dyDescent="0.25">
      <c r="A6" s="198">
        <v>44018</v>
      </c>
      <c r="B6" s="199" t="s">
        <v>235</v>
      </c>
      <c r="C6" s="201">
        <v>69329.8</v>
      </c>
      <c r="D6" s="157"/>
      <c r="E6" s="209"/>
      <c r="F6" s="198">
        <v>44035</v>
      </c>
      <c r="G6" s="199" t="s">
        <v>346</v>
      </c>
      <c r="H6" s="201">
        <v>12485</v>
      </c>
      <c r="I6" s="215"/>
      <c r="J6" s="219"/>
      <c r="K6" s="219"/>
      <c r="L6" s="219"/>
      <c r="M6" s="219"/>
      <c r="N6" s="219"/>
      <c r="O6" s="219"/>
      <c r="P6" s="220"/>
    </row>
    <row r="7" spans="1:16" x14ac:dyDescent="0.25">
      <c r="A7" s="202">
        <v>44018</v>
      </c>
      <c r="B7" s="203" t="s">
        <v>236</v>
      </c>
      <c r="C7" s="200">
        <v>0</v>
      </c>
      <c r="D7" s="157"/>
      <c r="E7" s="209"/>
      <c r="F7" s="198">
        <v>44036</v>
      </c>
      <c r="G7" s="199" t="s">
        <v>347</v>
      </c>
      <c r="H7" s="201">
        <v>112035.1</v>
      </c>
      <c r="I7" s="215"/>
      <c r="J7" s="219"/>
      <c r="K7" s="219"/>
      <c r="L7" s="219"/>
      <c r="M7" s="219"/>
      <c r="N7" s="219"/>
      <c r="O7" s="219"/>
      <c r="P7" s="220"/>
    </row>
    <row r="8" spans="1:16" x14ac:dyDescent="0.25">
      <c r="A8" s="202">
        <v>44018</v>
      </c>
      <c r="B8" s="203" t="s">
        <v>237</v>
      </c>
      <c r="C8" s="204">
        <v>100040.3</v>
      </c>
      <c r="D8" s="157"/>
      <c r="E8" s="209"/>
      <c r="F8" s="198">
        <v>44036</v>
      </c>
      <c r="G8" s="199" t="s">
        <v>348</v>
      </c>
      <c r="H8" s="201">
        <v>76884.5</v>
      </c>
      <c r="I8" s="215"/>
      <c r="J8" s="219"/>
      <c r="K8" s="219"/>
      <c r="L8" s="219"/>
      <c r="M8" s="219"/>
      <c r="N8" s="219"/>
      <c r="O8" s="219"/>
      <c r="P8" s="220"/>
    </row>
    <row r="9" spans="1:16" x14ac:dyDescent="0.25">
      <c r="A9" s="202">
        <v>44018</v>
      </c>
      <c r="B9" s="203" t="s">
        <v>238</v>
      </c>
      <c r="C9" s="204">
        <v>124443.28</v>
      </c>
      <c r="D9" s="157"/>
      <c r="E9" s="209"/>
      <c r="F9" s="198">
        <v>44036</v>
      </c>
      <c r="G9" s="199" t="s">
        <v>349</v>
      </c>
      <c r="H9" s="201">
        <v>25228.799999999999</v>
      </c>
      <c r="I9" s="215"/>
      <c r="J9" s="219"/>
      <c r="K9" s="219"/>
      <c r="L9" s="219"/>
      <c r="M9" s="219"/>
      <c r="N9" s="219"/>
      <c r="O9" s="219"/>
      <c r="P9" s="220"/>
    </row>
    <row r="10" spans="1:16" x14ac:dyDescent="0.25">
      <c r="A10" s="198">
        <v>44018</v>
      </c>
      <c r="B10" s="199" t="s">
        <v>239</v>
      </c>
      <c r="C10" s="201">
        <v>4958.3999999999996</v>
      </c>
      <c r="D10" s="157"/>
      <c r="E10" s="209"/>
      <c r="F10" s="198">
        <v>44036</v>
      </c>
      <c r="G10" s="199" t="s">
        <v>350</v>
      </c>
      <c r="H10" s="201">
        <v>75705</v>
      </c>
      <c r="I10" s="215"/>
      <c r="J10" s="219"/>
      <c r="K10" s="219"/>
      <c r="L10" s="219"/>
      <c r="M10" s="219"/>
      <c r="N10" s="219"/>
      <c r="O10" s="219"/>
      <c r="P10" s="220"/>
    </row>
    <row r="11" spans="1:16" x14ac:dyDescent="0.25">
      <c r="A11" s="198">
        <v>44019</v>
      </c>
      <c r="B11" s="199" t="s">
        <v>256</v>
      </c>
      <c r="C11" s="201">
        <v>161713.60000000001</v>
      </c>
      <c r="D11" s="157"/>
      <c r="E11" s="209"/>
      <c r="F11" s="198">
        <v>44036</v>
      </c>
      <c r="G11" s="199" t="s">
        <v>351</v>
      </c>
      <c r="H11" s="201">
        <v>10707.2</v>
      </c>
      <c r="I11" s="215"/>
      <c r="J11" s="219"/>
      <c r="K11" s="219"/>
      <c r="L11" s="219"/>
      <c r="M11" s="219"/>
      <c r="N11" s="219"/>
      <c r="O11" s="219"/>
      <c r="P11" s="220"/>
    </row>
    <row r="12" spans="1:16" x14ac:dyDescent="0.25">
      <c r="A12" s="198">
        <v>44019</v>
      </c>
      <c r="B12" s="199" t="s">
        <v>257</v>
      </c>
      <c r="C12" s="201">
        <v>28682</v>
      </c>
      <c r="D12" s="157"/>
      <c r="E12" s="209"/>
      <c r="F12" s="198">
        <v>44036</v>
      </c>
      <c r="G12" s="199" t="s">
        <v>352</v>
      </c>
      <c r="H12" s="201">
        <v>108258.04</v>
      </c>
      <c r="I12" s="215"/>
      <c r="J12" s="219"/>
      <c r="K12" s="219"/>
      <c r="L12" s="219"/>
      <c r="M12" s="219"/>
      <c r="N12" s="219"/>
      <c r="O12" s="219"/>
      <c r="P12" s="220"/>
    </row>
    <row r="13" spans="1:16" x14ac:dyDescent="0.25">
      <c r="A13" s="198">
        <v>44019</v>
      </c>
      <c r="B13" s="199" t="s">
        <v>258</v>
      </c>
      <c r="C13" s="201">
        <v>50699</v>
      </c>
      <c r="D13" s="157"/>
      <c r="E13" s="209"/>
      <c r="F13" s="198">
        <v>44036</v>
      </c>
      <c r="G13" s="199" t="s">
        <v>353</v>
      </c>
      <c r="H13" s="201">
        <v>104939.2</v>
      </c>
      <c r="I13" s="215"/>
      <c r="J13" s="219"/>
      <c r="K13" s="219"/>
      <c r="L13" s="219"/>
      <c r="M13" s="219"/>
      <c r="N13" s="219"/>
      <c r="O13" s="219"/>
      <c r="P13" s="220"/>
    </row>
    <row r="14" spans="1:16" x14ac:dyDescent="0.25">
      <c r="A14" s="198">
        <v>44019</v>
      </c>
      <c r="B14" s="199" t="s">
        <v>259</v>
      </c>
      <c r="C14" s="201">
        <v>35995.699999999997</v>
      </c>
      <c r="D14" s="157"/>
      <c r="E14" s="209"/>
      <c r="F14" s="198">
        <v>44037</v>
      </c>
      <c r="G14" s="199" t="s">
        <v>354</v>
      </c>
      <c r="H14" s="201">
        <v>282592.2</v>
      </c>
      <c r="I14" s="215"/>
      <c r="J14" s="219"/>
      <c r="K14" s="219"/>
      <c r="L14" s="219"/>
      <c r="M14" s="219"/>
      <c r="N14" s="219"/>
      <c r="O14" s="219"/>
      <c r="P14" s="220"/>
    </row>
    <row r="15" spans="1:16" x14ac:dyDescent="0.25">
      <c r="A15" s="198">
        <v>44020</v>
      </c>
      <c r="B15" s="199" t="s">
        <v>260</v>
      </c>
      <c r="C15" s="201">
        <v>100703.2</v>
      </c>
      <c r="D15" s="157"/>
      <c r="E15" s="209"/>
      <c r="F15" s="198">
        <v>44037</v>
      </c>
      <c r="G15" s="199" t="s">
        <v>355</v>
      </c>
      <c r="H15" s="201">
        <v>176442.52</v>
      </c>
      <c r="I15" s="215"/>
      <c r="J15" s="219"/>
      <c r="K15" s="219"/>
      <c r="L15" s="219"/>
      <c r="M15" s="219"/>
      <c r="N15" s="219"/>
      <c r="O15" s="219"/>
      <c r="P15" s="220"/>
    </row>
    <row r="16" spans="1:16" x14ac:dyDescent="0.25">
      <c r="A16" s="198">
        <v>44020</v>
      </c>
      <c r="B16" s="199" t="s">
        <v>261</v>
      </c>
      <c r="C16" s="201">
        <v>123922</v>
      </c>
      <c r="D16" s="157"/>
      <c r="E16" s="209"/>
      <c r="F16" s="198">
        <v>44037</v>
      </c>
      <c r="G16" s="199" t="s">
        <v>356</v>
      </c>
      <c r="H16" s="200">
        <v>0</v>
      </c>
      <c r="I16" s="216"/>
      <c r="J16" s="221"/>
      <c r="K16" s="221"/>
      <c r="L16" s="221"/>
      <c r="M16" s="221"/>
      <c r="N16" s="221"/>
      <c r="O16" s="221"/>
      <c r="P16" s="220"/>
    </row>
    <row r="17" spans="1:16" x14ac:dyDescent="0.25">
      <c r="A17" s="198">
        <v>44020</v>
      </c>
      <c r="B17" s="199" t="s">
        <v>262</v>
      </c>
      <c r="C17" s="201">
        <v>26770</v>
      </c>
      <c r="D17" s="157"/>
      <c r="E17" s="209"/>
      <c r="F17" s="198">
        <v>44037</v>
      </c>
      <c r="G17" s="199" t="s">
        <v>357</v>
      </c>
      <c r="H17" s="201">
        <v>287517.2</v>
      </c>
      <c r="I17" s="215"/>
      <c r="J17" s="219"/>
      <c r="K17" s="219"/>
      <c r="L17" s="219"/>
      <c r="M17" s="219"/>
      <c r="N17" s="219"/>
      <c r="O17" s="219"/>
      <c r="P17" s="220"/>
    </row>
    <row r="18" spans="1:16" x14ac:dyDescent="0.25">
      <c r="A18" s="198">
        <v>44020</v>
      </c>
      <c r="B18" s="199" t="s">
        <v>263</v>
      </c>
      <c r="C18" s="201">
        <v>19866.8</v>
      </c>
      <c r="D18" s="157"/>
      <c r="E18" s="209"/>
      <c r="F18" s="198">
        <v>44037</v>
      </c>
      <c r="G18" s="199" t="s">
        <v>358</v>
      </c>
      <c r="H18" s="200">
        <v>0</v>
      </c>
      <c r="I18" s="216"/>
      <c r="J18" s="221"/>
      <c r="K18" s="221"/>
      <c r="L18" s="221"/>
      <c r="M18" s="221"/>
      <c r="N18" s="221"/>
      <c r="O18" s="221"/>
      <c r="P18" s="220"/>
    </row>
    <row r="19" spans="1:16" x14ac:dyDescent="0.25">
      <c r="A19" s="198">
        <v>44021</v>
      </c>
      <c r="B19" s="199" t="s">
        <v>264</v>
      </c>
      <c r="C19" s="201">
        <v>90569</v>
      </c>
      <c r="D19" s="157"/>
      <c r="E19" s="209"/>
      <c r="F19" s="198">
        <v>44037</v>
      </c>
      <c r="G19" s="199" t="s">
        <v>359</v>
      </c>
      <c r="H19" s="201">
        <v>10770</v>
      </c>
      <c r="I19" s="215"/>
      <c r="J19" s="219"/>
      <c r="K19" s="219"/>
      <c r="L19" s="219"/>
      <c r="M19" s="219"/>
      <c r="N19" s="219"/>
      <c r="O19" s="219"/>
      <c r="P19" s="220"/>
    </row>
    <row r="20" spans="1:16" x14ac:dyDescent="0.25">
      <c r="A20" s="198">
        <v>44021</v>
      </c>
      <c r="B20" s="199" t="s">
        <v>265</v>
      </c>
      <c r="C20" s="201">
        <v>20104</v>
      </c>
      <c r="D20" s="157"/>
      <c r="E20" s="209"/>
      <c r="F20" s="198">
        <v>44038</v>
      </c>
      <c r="G20" s="199" t="s">
        <v>360</v>
      </c>
      <c r="H20" s="201">
        <v>152796.5</v>
      </c>
      <c r="I20" s="215"/>
      <c r="J20" s="219"/>
      <c r="K20" s="219"/>
      <c r="L20" s="219"/>
      <c r="M20" s="219"/>
      <c r="N20" s="219"/>
      <c r="O20" s="219"/>
      <c r="P20" s="220"/>
    </row>
    <row r="21" spans="1:16" x14ac:dyDescent="0.25">
      <c r="A21" s="198">
        <v>44021</v>
      </c>
      <c r="B21" s="199" t="s">
        <v>266</v>
      </c>
      <c r="C21" s="201">
        <v>113297.60000000001</v>
      </c>
      <c r="D21" s="157"/>
      <c r="E21" s="209"/>
      <c r="F21" s="198">
        <v>44039</v>
      </c>
      <c r="G21" s="199" t="s">
        <v>361</v>
      </c>
      <c r="H21" s="200">
        <v>0</v>
      </c>
      <c r="I21" s="216"/>
      <c r="J21" s="221"/>
      <c r="K21" s="221"/>
      <c r="L21" s="221"/>
      <c r="M21" s="221"/>
      <c r="N21" s="221"/>
      <c r="O21" s="221"/>
      <c r="P21" s="220"/>
    </row>
    <row r="22" spans="1:16" x14ac:dyDescent="0.25">
      <c r="A22" s="198">
        <v>44021</v>
      </c>
      <c r="B22" s="199" t="s">
        <v>267</v>
      </c>
      <c r="C22" s="201">
        <v>4000.8</v>
      </c>
      <c r="D22" s="157"/>
      <c r="E22" s="209"/>
      <c r="F22" s="198">
        <v>44039</v>
      </c>
      <c r="G22" s="199" t="s">
        <v>362</v>
      </c>
      <c r="H22" s="201">
        <v>89416.6</v>
      </c>
      <c r="I22" s="215"/>
      <c r="J22" s="219"/>
      <c r="K22" s="219"/>
      <c r="L22" s="219"/>
      <c r="M22" s="219"/>
      <c r="N22" s="219"/>
      <c r="O22" s="219"/>
      <c r="P22" s="220"/>
    </row>
    <row r="23" spans="1:16" x14ac:dyDescent="0.25">
      <c r="A23" s="198">
        <v>44021</v>
      </c>
      <c r="B23" s="199" t="s">
        <v>268</v>
      </c>
      <c r="C23" s="201">
        <v>143504.79999999999</v>
      </c>
      <c r="D23" s="157"/>
      <c r="E23" s="209"/>
      <c r="F23" s="198">
        <v>44039</v>
      </c>
      <c r="G23" s="199" t="s">
        <v>363</v>
      </c>
      <c r="H23" s="201">
        <v>53308</v>
      </c>
      <c r="I23" s="215"/>
      <c r="J23" s="219"/>
      <c r="K23" s="219"/>
      <c r="L23" s="219"/>
      <c r="M23" s="219"/>
      <c r="N23" s="219"/>
      <c r="O23" s="219"/>
      <c r="P23" s="220"/>
    </row>
    <row r="24" spans="1:16" x14ac:dyDescent="0.25">
      <c r="A24" s="198">
        <v>44022</v>
      </c>
      <c r="B24" s="199" t="s">
        <v>269</v>
      </c>
      <c r="C24" s="201">
        <v>86601.74</v>
      </c>
      <c r="D24" s="157"/>
      <c r="E24" s="209"/>
      <c r="F24" s="198">
        <v>44039</v>
      </c>
      <c r="G24" s="199" t="s">
        <v>364</v>
      </c>
      <c r="H24" s="201">
        <v>157298.79999999999</v>
      </c>
      <c r="I24" s="215"/>
      <c r="J24" s="219"/>
      <c r="K24" s="219"/>
      <c r="L24" s="219"/>
      <c r="M24" s="219"/>
      <c r="N24" s="219"/>
      <c r="O24" s="219"/>
      <c r="P24" s="220"/>
    </row>
    <row r="25" spans="1:16" x14ac:dyDescent="0.25">
      <c r="A25" s="198">
        <v>44022</v>
      </c>
      <c r="B25" s="199" t="s">
        <v>270</v>
      </c>
      <c r="C25" s="201">
        <v>59657.599999999999</v>
      </c>
      <c r="D25" s="157"/>
      <c r="E25" s="209"/>
      <c r="F25" s="198">
        <v>44039</v>
      </c>
      <c r="G25" s="199" t="s">
        <v>365</v>
      </c>
      <c r="H25" s="201">
        <v>6124.5</v>
      </c>
      <c r="I25" s="215"/>
      <c r="J25" s="219"/>
      <c r="K25" s="219"/>
      <c r="L25" s="219"/>
      <c r="M25" s="219"/>
      <c r="N25" s="219"/>
      <c r="O25" s="219"/>
      <c r="P25" s="220"/>
    </row>
    <row r="26" spans="1:16" x14ac:dyDescent="0.25">
      <c r="A26" s="198">
        <v>44022</v>
      </c>
      <c r="B26" s="199" t="s">
        <v>271</v>
      </c>
      <c r="C26" s="201">
        <v>87627.34</v>
      </c>
      <c r="D26" s="157"/>
      <c r="E26" s="209"/>
      <c r="F26" s="198">
        <v>44039</v>
      </c>
      <c r="G26" s="199" t="s">
        <v>366</v>
      </c>
      <c r="H26" s="201">
        <v>29468.38</v>
      </c>
      <c r="I26" s="215"/>
      <c r="J26" s="219"/>
      <c r="K26" s="219"/>
      <c r="L26" s="219"/>
      <c r="M26" s="219"/>
      <c r="N26" s="219"/>
      <c r="O26" s="219"/>
      <c r="P26" s="220"/>
    </row>
    <row r="27" spans="1:16" x14ac:dyDescent="0.25">
      <c r="A27" s="198">
        <v>44022</v>
      </c>
      <c r="B27" s="199" t="s">
        <v>272</v>
      </c>
      <c r="C27" s="201">
        <v>126000.5</v>
      </c>
      <c r="D27" s="157"/>
      <c r="E27" s="209"/>
      <c r="F27" s="198">
        <v>44040</v>
      </c>
      <c r="G27" s="199" t="s">
        <v>367</v>
      </c>
      <c r="H27" s="201">
        <v>107088</v>
      </c>
      <c r="I27" s="215"/>
      <c r="J27" s="219"/>
      <c r="K27" s="219"/>
      <c r="L27" s="219"/>
      <c r="M27" s="219"/>
      <c r="N27" s="219"/>
      <c r="O27" s="219"/>
      <c r="P27" s="220"/>
    </row>
    <row r="28" spans="1:16" x14ac:dyDescent="0.25">
      <c r="A28" s="198">
        <v>44022</v>
      </c>
      <c r="B28" s="199" t="s">
        <v>273</v>
      </c>
      <c r="C28" s="200">
        <v>0</v>
      </c>
      <c r="D28" s="157"/>
      <c r="E28" s="209"/>
      <c r="F28" s="198">
        <v>44040</v>
      </c>
      <c r="G28" s="199" t="s">
        <v>368</v>
      </c>
      <c r="H28" s="201">
        <v>159139.20000000001</v>
      </c>
      <c r="I28" s="215"/>
      <c r="J28" s="219"/>
      <c r="K28" s="219"/>
      <c r="L28" s="219"/>
      <c r="M28" s="219"/>
      <c r="N28" s="219"/>
      <c r="O28" s="219"/>
      <c r="P28" s="220"/>
    </row>
    <row r="29" spans="1:16" x14ac:dyDescent="0.25">
      <c r="A29" s="198">
        <v>44022</v>
      </c>
      <c r="B29" s="199" t="s">
        <v>274</v>
      </c>
      <c r="C29" s="201">
        <v>86675.4</v>
      </c>
      <c r="D29" s="157"/>
      <c r="E29" s="209"/>
      <c r="F29" s="198">
        <v>44040</v>
      </c>
      <c r="G29" s="199" t="s">
        <v>369</v>
      </c>
      <c r="H29" s="201">
        <v>84283.9</v>
      </c>
      <c r="I29" s="215"/>
      <c r="J29" s="219"/>
      <c r="K29" s="219"/>
      <c r="L29" s="219"/>
      <c r="M29" s="219"/>
      <c r="N29" s="219"/>
      <c r="O29" s="219"/>
      <c r="P29" s="220"/>
    </row>
    <row r="30" spans="1:16" x14ac:dyDescent="0.25">
      <c r="A30" s="198">
        <v>44023</v>
      </c>
      <c r="B30" s="199" t="s">
        <v>275</v>
      </c>
      <c r="C30" s="201">
        <v>68190.600000000006</v>
      </c>
      <c r="D30" s="157"/>
      <c r="E30" s="209"/>
      <c r="F30" s="198">
        <v>44041</v>
      </c>
      <c r="G30" s="199" t="s">
        <v>370</v>
      </c>
      <c r="H30" s="201">
        <v>70455.5</v>
      </c>
      <c r="I30" s="215"/>
      <c r="J30" s="219"/>
      <c r="K30" s="219"/>
      <c r="L30" s="219"/>
      <c r="M30" s="219"/>
      <c r="N30" s="219"/>
      <c r="O30" s="219"/>
      <c r="P30" s="220"/>
    </row>
    <row r="31" spans="1:16" x14ac:dyDescent="0.25">
      <c r="A31" s="198">
        <v>44023</v>
      </c>
      <c r="B31" s="199" t="s">
        <v>276</v>
      </c>
      <c r="C31" s="201">
        <v>235530</v>
      </c>
      <c r="D31" s="157"/>
      <c r="E31" s="209"/>
      <c r="F31" s="198">
        <v>44041</v>
      </c>
      <c r="G31" s="199" t="s">
        <v>371</v>
      </c>
      <c r="H31" s="201">
        <v>64892.800000000003</v>
      </c>
      <c r="I31" s="215"/>
      <c r="J31" s="219"/>
      <c r="K31" s="219"/>
      <c r="L31" s="219"/>
      <c r="M31" s="219"/>
      <c r="N31" s="219"/>
      <c r="O31" s="219"/>
      <c r="P31" s="220"/>
    </row>
    <row r="32" spans="1:16" x14ac:dyDescent="0.25">
      <c r="A32" s="198">
        <v>44023</v>
      </c>
      <c r="B32" s="199" t="s">
        <v>277</v>
      </c>
      <c r="C32" s="201">
        <v>245715.09</v>
      </c>
      <c r="D32" s="157"/>
      <c r="E32" s="209"/>
      <c r="F32" s="198">
        <v>44041</v>
      </c>
      <c r="G32" s="199" t="s">
        <v>372</v>
      </c>
      <c r="H32" s="201">
        <v>31778.400000000001</v>
      </c>
      <c r="I32" s="215"/>
      <c r="J32" s="219"/>
      <c r="K32" s="219"/>
      <c r="L32" s="219"/>
      <c r="M32" s="219"/>
      <c r="N32" s="219"/>
      <c r="O32" s="219"/>
      <c r="P32" s="220"/>
    </row>
    <row r="33" spans="1:16" x14ac:dyDescent="0.25">
      <c r="A33" s="198">
        <v>44023</v>
      </c>
      <c r="B33" s="199" t="s">
        <v>278</v>
      </c>
      <c r="C33" s="201">
        <v>135270.6</v>
      </c>
      <c r="D33" s="157"/>
      <c r="E33" s="209"/>
      <c r="F33" s="198">
        <v>44041</v>
      </c>
      <c r="G33" s="199" t="s">
        <v>373</v>
      </c>
      <c r="H33" s="201">
        <v>62078.2</v>
      </c>
      <c r="I33" s="215"/>
      <c r="J33" s="219"/>
      <c r="K33" s="219"/>
      <c r="L33" s="219"/>
      <c r="M33" s="219"/>
      <c r="N33" s="219"/>
      <c r="O33" s="219"/>
      <c r="P33" s="220"/>
    </row>
    <row r="34" spans="1:16" x14ac:dyDescent="0.25">
      <c r="A34" s="198">
        <v>44023</v>
      </c>
      <c r="B34" s="199" t="s">
        <v>279</v>
      </c>
      <c r="C34" s="201">
        <v>44581.4</v>
      </c>
      <c r="D34" s="157"/>
      <c r="E34" s="209"/>
      <c r="F34" s="198">
        <v>44041</v>
      </c>
      <c r="G34" s="199" t="s">
        <v>374</v>
      </c>
      <c r="H34" s="201">
        <v>61586.5</v>
      </c>
      <c r="I34" s="215"/>
      <c r="J34" s="219"/>
      <c r="K34" s="219"/>
      <c r="L34" s="219"/>
      <c r="M34" s="219"/>
      <c r="N34" s="219"/>
      <c r="O34" s="219"/>
      <c r="P34" s="220"/>
    </row>
    <row r="35" spans="1:16" x14ac:dyDescent="0.25">
      <c r="A35" s="198">
        <v>44024</v>
      </c>
      <c r="B35" s="199" t="s">
        <v>280</v>
      </c>
      <c r="C35" s="201">
        <v>14528</v>
      </c>
      <c r="D35" s="157"/>
      <c r="E35" s="209"/>
      <c r="F35" s="198">
        <v>44042</v>
      </c>
      <c r="G35" s="199" t="s">
        <v>375</v>
      </c>
      <c r="H35" s="201">
        <v>104685.5</v>
      </c>
      <c r="I35" s="215"/>
      <c r="J35" s="219"/>
      <c r="K35" s="219"/>
      <c r="L35" s="219"/>
      <c r="M35" s="219"/>
      <c r="N35" s="219"/>
      <c r="O35" s="219"/>
      <c r="P35" s="220"/>
    </row>
    <row r="36" spans="1:16" x14ac:dyDescent="0.25">
      <c r="A36" s="198">
        <v>44024</v>
      </c>
      <c r="B36" s="199" t="s">
        <v>281</v>
      </c>
      <c r="C36" s="201">
        <v>56049.7</v>
      </c>
      <c r="D36" s="157"/>
      <c r="E36" s="209"/>
      <c r="F36" s="198">
        <v>44042</v>
      </c>
      <c r="G36" s="199" t="s">
        <v>376</v>
      </c>
      <c r="H36" s="201">
        <v>53246.6</v>
      </c>
      <c r="I36" s="215"/>
      <c r="J36" s="219"/>
      <c r="K36" s="219"/>
      <c r="L36" s="219"/>
      <c r="M36" s="219"/>
      <c r="N36" s="219"/>
      <c r="O36" s="219"/>
      <c r="P36" s="220"/>
    </row>
    <row r="37" spans="1:16" x14ac:dyDescent="0.25">
      <c r="A37" s="198">
        <v>44025</v>
      </c>
      <c r="B37" s="199" t="s">
        <v>282</v>
      </c>
      <c r="C37" s="201">
        <v>22655.4</v>
      </c>
      <c r="D37" s="157"/>
      <c r="E37" s="209"/>
      <c r="F37" s="198">
        <v>44042</v>
      </c>
      <c r="G37" s="199" t="s">
        <v>377</v>
      </c>
      <c r="H37" s="201">
        <v>9859.5</v>
      </c>
      <c r="I37" s="215"/>
      <c r="J37" s="219"/>
      <c r="K37" s="219"/>
      <c r="L37" s="219"/>
      <c r="M37" s="219"/>
      <c r="N37" s="219"/>
      <c r="O37" s="219"/>
      <c r="P37" s="220"/>
    </row>
    <row r="38" spans="1:16" x14ac:dyDescent="0.25">
      <c r="A38" s="198">
        <v>44025</v>
      </c>
      <c r="B38" s="199" t="s">
        <v>283</v>
      </c>
      <c r="C38" s="201">
        <v>308472.14</v>
      </c>
      <c r="D38" s="157"/>
      <c r="E38" s="209"/>
      <c r="F38" s="198">
        <v>44042</v>
      </c>
      <c r="G38" s="199" t="s">
        <v>378</v>
      </c>
      <c r="H38" s="201">
        <v>8000</v>
      </c>
      <c r="I38" s="215"/>
      <c r="J38" s="219"/>
      <c r="K38" s="219"/>
      <c r="L38" s="219"/>
      <c r="M38" s="219"/>
      <c r="N38" s="219"/>
      <c r="O38" s="219"/>
      <c r="P38" s="220"/>
    </row>
    <row r="39" spans="1:16" x14ac:dyDescent="0.25">
      <c r="A39" s="198">
        <v>44025</v>
      </c>
      <c r="B39" s="199" t="s">
        <v>284</v>
      </c>
      <c r="C39" s="201">
        <v>37814.400000000001</v>
      </c>
      <c r="D39" s="157"/>
      <c r="E39" s="209"/>
      <c r="F39" s="198">
        <v>44042</v>
      </c>
      <c r="G39" s="199" t="s">
        <v>379</v>
      </c>
      <c r="H39" s="201">
        <v>1940</v>
      </c>
      <c r="I39" s="215"/>
      <c r="J39" s="219"/>
      <c r="K39" s="219"/>
      <c r="L39" s="219"/>
      <c r="M39" s="219"/>
      <c r="N39" s="219"/>
      <c r="O39" s="219"/>
      <c r="P39" s="220"/>
    </row>
    <row r="40" spans="1:16" x14ac:dyDescent="0.25">
      <c r="A40" s="198">
        <v>44025</v>
      </c>
      <c r="B40" s="199" t="s">
        <v>285</v>
      </c>
      <c r="C40" s="201">
        <v>68073.8</v>
      </c>
      <c r="D40" s="157"/>
      <c r="E40" s="209"/>
      <c r="F40" s="198">
        <v>44042</v>
      </c>
      <c r="G40" s="199" t="s">
        <v>380</v>
      </c>
      <c r="H40" s="201">
        <v>5922.9</v>
      </c>
      <c r="I40" s="215"/>
      <c r="J40" s="219"/>
      <c r="K40" s="219"/>
      <c r="L40" s="219"/>
      <c r="M40" s="219"/>
      <c r="N40" s="219"/>
      <c r="O40" s="219"/>
      <c r="P40" s="220"/>
    </row>
    <row r="41" spans="1:16" x14ac:dyDescent="0.25">
      <c r="A41" s="198">
        <v>44026</v>
      </c>
      <c r="B41" s="198" t="s">
        <v>286</v>
      </c>
      <c r="C41" s="201">
        <v>178044.79999999999</v>
      </c>
      <c r="D41" s="157"/>
      <c r="E41" s="209"/>
      <c r="F41" s="198">
        <v>44042</v>
      </c>
      <c r="G41" s="199" t="s">
        <v>381</v>
      </c>
      <c r="H41" s="201">
        <v>130950.8</v>
      </c>
      <c r="I41" s="215"/>
      <c r="J41" s="219"/>
      <c r="K41" s="219"/>
      <c r="L41" s="219"/>
      <c r="M41" s="219"/>
      <c r="N41" s="219"/>
      <c r="O41" s="219"/>
      <c r="P41" s="220"/>
    </row>
    <row r="42" spans="1:16" x14ac:dyDescent="0.25">
      <c r="A42" s="198">
        <v>44026</v>
      </c>
      <c r="B42" s="199" t="s">
        <v>287</v>
      </c>
      <c r="C42" s="201">
        <v>20751.5</v>
      </c>
      <c r="D42" s="157"/>
      <c r="E42" s="209"/>
      <c r="F42" s="198">
        <v>44042</v>
      </c>
      <c r="G42" s="199" t="s">
        <v>382</v>
      </c>
      <c r="H42" s="201">
        <v>121311.4</v>
      </c>
      <c r="I42" s="215"/>
      <c r="J42" s="219"/>
      <c r="K42" s="219"/>
      <c r="L42" s="219"/>
      <c r="M42" s="219"/>
      <c r="N42" s="219"/>
      <c r="O42" s="219"/>
      <c r="P42" s="220"/>
    </row>
    <row r="43" spans="1:16" x14ac:dyDescent="0.25">
      <c r="A43" s="198">
        <v>44026</v>
      </c>
      <c r="B43" s="199" t="s">
        <v>288</v>
      </c>
      <c r="C43" s="201">
        <v>32134.97</v>
      </c>
      <c r="D43" s="157"/>
      <c r="E43" s="209"/>
      <c r="F43" s="198">
        <v>44042</v>
      </c>
      <c r="G43" s="199" t="s">
        <v>383</v>
      </c>
      <c r="H43" s="200">
        <v>0</v>
      </c>
      <c r="I43" s="216"/>
      <c r="J43" s="221"/>
      <c r="K43" s="221"/>
      <c r="L43" s="221"/>
      <c r="M43" s="221"/>
      <c r="N43" s="221"/>
      <c r="O43" s="221"/>
      <c r="P43" s="220"/>
    </row>
    <row r="44" spans="1:16" x14ac:dyDescent="0.25">
      <c r="A44" s="198">
        <v>44026</v>
      </c>
      <c r="B44" s="199" t="s">
        <v>289</v>
      </c>
      <c r="C44" s="201">
        <v>550</v>
      </c>
      <c r="D44" s="157"/>
      <c r="E44" s="209"/>
      <c r="F44" s="198">
        <v>44042</v>
      </c>
      <c r="G44" s="199" t="s">
        <v>384</v>
      </c>
      <c r="H44" s="201">
        <v>40552.5</v>
      </c>
      <c r="I44" s="215"/>
      <c r="J44" s="219"/>
      <c r="K44" s="219"/>
      <c r="L44" s="219"/>
      <c r="M44" s="219"/>
      <c r="N44" s="219"/>
      <c r="O44" s="219"/>
      <c r="P44" s="220"/>
    </row>
    <row r="45" spans="1:16" x14ac:dyDescent="0.25">
      <c r="A45" s="198">
        <v>44026</v>
      </c>
      <c r="B45" s="199" t="s">
        <v>290</v>
      </c>
      <c r="C45" s="201">
        <v>33407</v>
      </c>
      <c r="D45" s="157"/>
      <c r="E45" s="209"/>
      <c r="F45" s="198">
        <v>44043</v>
      </c>
      <c r="G45" s="199" t="s">
        <v>385</v>
      </c>
      <c r="H45" s="201">
        <v>62327.4</v>
      </c>
      <c r="I45" s="215"/>
      <c r="J45" s="219"/>
      <c r="K45" s="219"/>
      <c r="L45" s="219"/>
      <c r="M45" s="219"/>
      <c r="N45" s="219"/>
      <c r="O45" s="219"/>
      <c r="P45" s="220"/>
    </row>
    <row r="46" spans="1:16" x14ac:dyDescent="0.25">
      <c r="A46" s="198">
        <v>44027</v>
      </c>
      <c r="B46" s="199" t="s">
        <v>291</v>
      </c>
      <c r="C46" s="201">
        <v>87915.6</v>
      </c>
      <c r="D46" s="157"/>
      <c r="E46" s="209"/>
      <c r="F46" s="198">
        <v>44043</v>
      </c>
      <c r="G46" s="199" t="s">
        <v>386</v>
      </c>
      <c r="H46" s="201">
        <v>34569.599999999999</v>
      </c>
      <c r="I46" s="215"/>
      <c r="J46" s="219"/>
      <c r="K46" s="219"/>
      <c r="L46" s="219"/>
      <c r="M46" s="219"/>
      <c r="N46" s="219"/>
      <c r="O46" s="219"/>
      <c r="P46" s="220"/>
    </row>
    <row r="47" spans="1:16" x14ac:dyDescent="0.25">
      <c r="A47" s="198">
        <v>44027</v>
      </c>
      <c r="B47" s="199" t="s">
        <v>292</v>
      </c>
      <c r="C47" s="201">
        <v>114803.8</v>
      </c>
      <c r="D47" s="157"/>
      <c r="E47" s="209"/>
      <c r="F47" s="198">
        <v>44043</v>
      </c>
      <c r="G47" s="199" t="s">
        <v>387</v>
      </c>
      <c r="H47" s="201">
        <v>159463.24</v>
      </c>
      <c r="I47" s="215"/>
      <c r="J47" s="219"/>
      <c r="K47" s="219"/>
      <c r="L47" s="219"/>
      <c r="M47" s="219"/>
      <c r="N47" s="219"/>
      <c r="O47" s="219"/>
      <c r="P47" s="220"/>
    </row>
    <row r="48" spans="1:16" x14ac:dyDescent="0.25">
      <c r="A48" s="198">
        <v>44027</v>
      </c>
      <c r="B48" s="199" t="s">
        <v>293</v>
      </c>
      <c r="C48" s="201">
        <v>110970</v>
      </c>
      <c r="D48" s="157"/>
      <c r="E48" s="209"/>
      <c r="F48" s="198">
        <v>44043</v>
      </c>
      <c r="G48" s="199" t="s">
        <v>388</v>
      </c>
      <c r="H48" s="201">
        <v>20485</v>
      </c>
      <c r="I48" s="215"/>
      <c r="J48" s="219"/>
      <c r="K48" s="219"/>
      <c r="L48" s="219"/>
      <c r="M48" s="219"/>
      <c r="N48" s="219"/>
      <c r="O48" s="219"/>
      <c r="P48" s="220"/>
    </row>
    <row r="49" spans="1:16" x14ac:dyDescent="0.25">
      <c r="A49" s="198">
        <v>44027</v>
      </c>
      <c r="B49" s="199" t="s">
        <v>294</v>
      </c>
      <c r="C49" s="201">
        <v>5080</v>
      </c>
      <c r="D49" s="157"/>
      <c r="E49" s="209"/>
      <c r="F49" s="198">
        <v>44043</v>
      </c>
      <c r="G49" s="199" t="s">
        <v>389</v>
      </c>
      <c r="H49" s="201">
        <v>36874</v>
      </c>
      <c r="I49" s="215"/>
      <c r="J49" s="219"/>
      <c r="K49" s="219"/>
      <c r="L49" s="219"/>
      <c r="M49" s="219"/>
      <c r="N49" s="219"/>
      <c r="O49" s="219"/>
      <c r="P49" s="220"/>
    </row>
    <row r="50" spans="1:16" x14ac:dyDescent="0.25">
      <c r="A50" s="198">
        <v>44027</v>
      </c>
      <c r="B50" s="199" t="s">
        <v>295</v>
      </c>
      <c r="C50" s="200">
        <v>0</v>
      </c>
      <c r="D50" s="157"/>
      <c r="E50" s="209"/>
      <c r="F50" s="198">
        <v>44043</v>
      </c>
      <c r="G50" s="199" t="s">
        <v>390</v>
      </c>
      <c r="H50" s="201">
        <v>29999.97</v>
      </c>
      <c r="I50" s="215"/>
      <c r="J50" s="219"/>
      <c r="K50" s="219"/>
      <c r="L50" s="219"/>
      <c r="M50" s="219"/>
      <c r="N50" s="219"/>
      <c r="O50" s="219"/>
      <c r="P50" s="220"/>
    </row>
    <row r="51" spans="1:16" x14ac:dyDescent="0.25">
      <c r="A51" s="198">
        <v>44027</v>
      </c>
      <c r="B51" s="199" t="s">
        <v>296</v>
      </c>
      <c r="C51" s="201">
        <v>61379.6</v>
      </c>
      <c r="D51" s="157"/>
      <c r="E51" s="209"/>
      <c r="F51" s="198">
        <v>44043</v>
      </c>
      <c r="G51" s="199" t="s">
        <v>391</v>
      </c>
      <c r="H51" s="201">
        <v>4999.9399999999996</v>
      </c>
      <c r="I51" s="215"/>
      <c r="J51" s="219"/>
      <c r="K51" s="219"/>
      <c r="L51" s="219"/>
      <c r="M51" s="219"/>
      <c r="N51" s="219"/>
      <c r="O51" s="219"/>
      <c r="P51" s="220"/>
    </row>
    <row r="52" spans="1:16" x14ac:dyDescent="0.25">
      <c r="A52" s="198">
        <v>44028</v>
      </c>
      <c r="B52" s="199" t="s">
        <v>297</v>
      </c>
      <c r="C52" s="201">
        <v>157079.6</v>
      </c>
      <c r="D52" s="157"/>
      <c r="E52" s="209"/>
      <c r="F52" s="198">
        <v>44043</v>
      </c>
      <c r="G52" s="199" t="s">
        <v>392</v>
      </c>
      <c r="H52" s="201">
        <v>23304.6</v>
      </c>
      <c r="I52" s="215"/>
      <c r="J52" s="219"/>
      <c r="K52" s="219"/>
      <c r="L52" s="219"/>
      <c r="M52" s="219"/>
      <c r="N52" s="219"/>
      <c r="O52" s="219"/>
      <c r="P52" s="220"/>
    </row>
    <row r="53" spans="1:16" x14ac:dyDescent="0.25">
      <c r="A53" s="198">
        <v>44028</v>
      </c>
      <c r="B53" s="199" t="s">
        <v>298</v>
      </c>
      <c r="C53" s="201">
        <v>15630.4</v>
      </c>
      <c r="D53" s="157"/>
      <c r="E53" s="209"/>
      <c r="F53" s="198">
        <v>44043</v>
      </c>
      <c r="G53" s="199" t="s">
        <v>393</v>
      </c>
      <c r="H53" s="201">
        <v>1593.6</v>
      </c>
      <c r="I53" s="215"/>
      <c r="J53" s="219"/>
      <c r="K53" s="219"/>
      <c r="L53" s="219"/>
      <c r="M53" s="219"/>
      <c r="N53" s="219"/>
      <c r="O53" s="219"/>
      <c r="P53" s="220"/>
    </row>
    <row r="54" spans="1:16" x14ac:dyDescent="0.25">
      <c r="A54" s="198">
        <v>44028</v>
      </c>
      <c r="B54" s="199" t="s">
        <v>299</v>
      </c>
      <c r="C54" s="201">
        <v>14467.95</v>
      </c>
      <c r="D54" s="157"/>
      <c r="E54" s="209"/>
      <c r="F54" s="205">
        <v>44044</v>
      </c>
      <c r="G54" s="206" t="s">
        <v>246</v>
      </c>
      <c r="H54" s="210">
        <v>104862.52</v>
      </c>
      <c r="I54" s="217"/>
      <c r="J54" s="222"/>
      <c r="K54" s="222"/>
      <c r="L54" s="222"/>
      <c r="M54" s="222"/>
      <c r="N54" s="222"/>
      <c r="O54" s="222"/>
      <c r="P54" s="223"/>
    </row>
    <row r="55" spans="1:16" x14ac:dyDescent="0.25">
      <c r="A55" s="198">
        <v>44028</v>
      </c>
      <c r="B55" s="199" t="s">
        <v>300</v>
      </c>
      <c r="C55" s="201">
        <v>52300.800000000003</v>
      </c>
      <c r="D55" s="157"/>
      <c r="E55" s="209"/>
      <c r="F55" s="207">
        <v>44044</v>
      </c>
      <c r="G55" s="208" t="s">
        <v>247</v>
      </c>
      <c r="H55" s="211">
        <v>15690</v>
      </c>
      <c r="I55" s="218"/>
      <c r="J55" s="222"/>
      <c r="K55" s="222"/>
      <c r="L55" s="222"/>
      <c r="M55" s="222"/>
      <c r="N55" s="222"/>
      <c r="O55" s="222"/>
      <c r="P55" s="223"/>
    </row>
    <row r="56" spans="1:16" x14ac:dyDescent="0.25">
      <c r="A56" s="198">
        <v>44028</v>
      </c>
      <c r="B56" s="199" t="s">
        <v>301</v>
      </c>
      <c r="C56" s="201">
        <v>157715.4</v>
      </c>
      <c r="D56" s="157"/>
      <c r="E56" s="209"/>
      <c r="F56" s="207">
        <v>44044</v>
      </c>
      <c r="G56" s="208" t="s">
        <v>248</v>
      </c>
      <c r="H56" s="211">
        <v>101948</v>
      </c>
      <c r="I56" s="218"/>
      <c r="J56" s="222"/>
      <c r="K56" s="222"/>
      <c r="L56" s="222"/>
      <c r="M56" s="222"/>
      <c r="N56" s="222"/>
      <c r="O56" s="222"/>
      <c r="P56" s="223"/>
    </row>
    <row r="57" spans="1:16" x14ac:dyDescent="0.25">
      <c r="A57" s="198">
        <v>44028</v>
      </c>
      <c r="B57" s="199" t="s">
        <v>302</v>
      </c>
      <c r="C57" s="201">
        <v>32524.9</v>
      </c>
      <c r="D57" s="157"/>
      <c r="E57" s="209"/>
      <c r="F57" s="207">
        <v>44044</v>
      </c>
      <c r="G57" s="208" t="s">
        <v>249</v>
      </c>
      <c r="H57" s="211">
        <v>110231</v>
      </c>
      <c r="I57" s="218"/>
      <c r="J57" s="222"/>
      <c r="K57" s="222"/>
      <c r="L57" s="222"/>
      <c r="M57" s="222"/>
      <c r="N57" s="222"/>
      <c r="O57" s="222"/>
      <c r="P57" s="223"/>
    </row>
    <row r="58" spans="1:16" x14ac:dyDescent="0.25">
      <c r="A58" s="198">
        <v>44028</v>
      </c>
      <c r="B58" s="199" t="s">
        <v>303</v>
      </c>
      <c r="C58" s="201">
        <v>1168</v>
      </c>
      <c r="D58" s="157"/>
      <c r="E58" s="209"/>
      <c r="F58" s="207">
        <v>44044</v>
      </c>
      <c r="G58" s="208" t="s">
        <v>250</v>
      </c>
      <c r="H58" s="211">
        <v>87575.6</v>
      </c>
      <c r="I58" s="218"/>
      <c r="J58" s="222"/>
      <c r="K58" s="222"/>
      <c r="L58" s="222"/>
      <c r="M58" s="222"/>
      <c r="N58" s="222"/>
      <c r="O58" s="222"/>
      <c r="P58" s="223"/>
    </row>
    <row r="59" spans="1:16" x14ac:dyDescent="0.25">
      <c r="A59" s="198">
        <v>44028</v>
      </c>
      <c r="B59" s="199" t="s">
        <v>304</v>
      </c>
      <c r="C59" s="201">
        <v>17768</v>
      </c>
      <c r="D59" s="157"/>
      <c r="E59" s="209"/>
      <c r="F59" s="207">
        <v>44044</v>
      </c>
      <c r="G59" s="208" t="s">
        <v>251</v>
      </c>
      <c r="H59" s="211">
        <v>5658</v>
      </c>
      <c r="I59" s="218"/>
      <c r="J59" s="222"/>
      <c r="K59" s="222"/>
      <c r="L59" s="222"/>
      <c r="M59" s="222"/>
      <c r="N59" s="222"/>
      <c r="O59" s="222"/>
      <c r="P59" s="223"/>
    </row>
    <row r="60" spans="1:16" x14ac:dyDescent="0.25">
      <c r="A60" s="198">
        <v>44029</v>
      </c>
      <c r="B60" s="199" t="s">
        <v>305</v>
      </c>
      <c r="C60" s="201">
        <v>148740.1</v>
      </c>
      <c r="D60" s="157"/>
      <c r="E60" s="209"/>
      <c r="F60" s="207">
        <v>44044</v>
      </c>
      <c r="G60" s="208" t="s">
        <v>252</v>
      </c>
      <c r="H60" s="211">
        <v>88228.6</v>
      </c>
      <c r="I60" s="218"/>
      <c r="J60" s="222"/>
      <c r="K60" s="222"/>
      <c r="L60" s="222"/>
      <c r="M60" s="222"/>
      <c r="N60" s="222"/>
      <c r="O60" s="222"/>
      <c r="P60" s="223"/>
    </row>
    <row r="61" spans="1:16" x14ac:dyDescent="0.25">
      <c r="A61" s="198">
        <v>44029</v>
      </c>
      <c r="B61" s="199" t="s">
        <v>306</v>
      </c>
      <c r="C61" s="201">
        <v>12656.7</v>
      </c>
      <c r="D61" s="157"/>
      <c r="E61" s="209"/>
      <c r="F61" s="207">
        <v>44044</v>
      </c>
      <c r="G61" s="208" t="s">
        <v>253</v>
      </c>
      <c r="H61" s="211">
        <v>19168.8</v>
      </c>
      <c r="I61" s="218"/>
      <c r="J61" s="222"/>
      <c r="K61" s="222"/>
      <c r="L61" s="222"/>
      <c r="M61" s="222"/>
      <c r="N61" s="222"/>
      <c r="O61" s="222"/>
      <c r="P61" s="223"/>
    </row>
    <row r="62" spans="1:16" x14ac:dyDescent="0.25">
      <c r="A62" s="198">
        <v>44029</v>
      </c>
      <c r="B62" s="199" t="s">
        <v>307</v>
      </c>
      <c r="C62" s="201">
        <v>139403.79999999999</v>
      </c>
      <c r="D62" s="157"/>
      <c r="E62" s="209"/>
      <c r="F62" s="207">
        <v>44045</v>
      </c>
      <c r="G62" s="208" t="s">
        <v>254</v>
      </c>
      <c r="H62" s="211">
        <v>74279.399999999994</v>
      </c>
      <c r="I62" s="218"/>
      <c r="J62" s="222"/>
      <c r="K62" s="222"/>
      <c r="L62" s="222"/>
      <c r="M62" s="222"/>
      <c r="N62" s="222"/>
      <c r="O62" s="222"/>
      <c r="P62" s="223"/>
    </row>
    <row r="63" spans="1:16" x14ac:dyDescent="0.25">
      <c r="A63" s="198">
        <v>44029</v>
      </c>
      <c r="B63" s="199" t="s">
        <v>308</v>
      </c>
      <c r="C63" s="201">
        <v>51816.6</v>
      </c>
      <c r="D63" s="157"/>
      <c r="E63" s="209"/>
      <c r="F63" s="207">
        <v>44045</v>
      </c>
      <c r="G63" s="208" t="s">
        <v>255</v>
      </c>
      <c r="H63" s="211">
        <v>63519.8</v>
      </c>
      <c r="I63" s="218"/>
      <c r="J63" s="222"/>
      <c r="K63" s="222"/>
      <c r="L63" s="222"/>
      <c r="M63" s="222"/>
      <c r="N63" s="222"/>
      <c r="O63" s="222"/>
      <c r="P63" s="223"/>
    </row>
    <row r="64" spans="1:16" x14ac:dyDescent="0.25">
      <c r="A64" s="198">
        <v>44029</v>
      </c>
      <c r="B64" s="199" t="s">
        <v>309</v>
      </c>
      <c r="C64" s="201">
        <v>358900</v>
      </c>
      <c r="D64" s="157"/>
      <c r="E64" s="209"/>
      <c r="H64" s="4">
        <v>0</v>
      </c>
    </row>
    <row r="65" spans="1:8" x14ac:dyDescent="0.25">
      <c r="A65" s="198">
        <v>44029</v>
      </c>
      <c r="B65" s="199" t="s">
        <v>310</v>
      </c>
      <c r="C65" s="201">
        <v>91328.2</v>
      </c>
      <c r="D65" s="157"/>
      <c r="E65" s="209"/>
      <c r="G65" s="42" t="s">
        <v>394</v>
      </c>
      <c r="H65" s="4">
        <f>SUM(H4:H64)</f>
        <v>4090512.9499999993</v>
      </c>
    </row>
    <row r="66" spans="1:8" x14ac:dyDescent="0.25">
      <c r="A66" s="198">
        <v>44029</v>
      </c>
      <c r="B66" s="199" t="s">
        <v>311</v>
      </c>
      <c r="C66" s="201">
        <v>36114.85</v>
      </c>
      <c r="D66" s="157"/>
      <c r="E66" s="209"/>
      <c r="G66" s="42" t="s">
        <v>20</v>
      </c>
      <c r="H66" s="4">
        <f>C99</f>
        <v>7825029.4700000016</v>
      </c>
    </row>
    <row r="67" spans="1:8" ht="15.75" thickBot="1" x14ac:dyDescent="0.3">
      <c r="A67" s="198">
        <v>44030</v>
      </c>
      <c r="B67" s="199" t="s">
        <v>312</v>
      </c>
      <c r="C67" s="201">
        <v>11251.8</v>
      </c>
      <c r="D67" s="157"/>
      <c r="E67" s="209"/>
      <c r="H67" s="107">
        <v>0</v>
      </c>
    </row>
    <row r="68" spans="1:8" ht="16.5" customHeight="1" x14ac:dyDescent="0.25">
      <c r="A68" s="198">
        <v>44030</v>
      </c>
      <c r="B68" s="199" t="s">
        <v>313</v>
      </c>
      <c r="C68" s="201">
        <v>218418</v>
      </c>
      <c r="D68" s="157"/>
      <c r="E68" s="209"/>
      <c r="G68" s="289" t="s">
        <v>395</v>
      </c>
      <c r="H68" s="291">
        <f>H66+H65</f>
        <v>11915542.420000002</v>
      </c>
    </row>
    <row r="69" spans="1:8" ht="15.75" thickBot="1" x14ac:dyDescent="0.3">
      <c r="A69" s="198">
        <v>44030</v>
      </c>
      <c r="B69" s="199" t="s">
        <v>314</v>
      </c>
      <c r="C69" s="201">
        <v>764.4</v>
      </c>
      <c r="D69" s="157"/>
      <c r="E69" s="209"/>
      <c r="G69" s="290"/>
      <c r="H69" s="292"/>
    </row>
    <row r="70" spans="1:8" x14ac:dyDescent="0.25">
      <c r="A70" s="198">
        <v>44030</v>
      </c>
      <c r="B70" s="199" t="s">
        <v>315</v>
      </c>
      <c r="C70" s="201">
        <v>141051.70000000001</v>
      </c>
      <c r="D70" s="157"/>
      <c r="E70" s="209"/>
    </row>
    <row r="71" spans="1:8" x14ac:dyDescent="0.25">
      <c r="A71" s="198">
        <v>44030</v>
      </c>
      <c r="B71" s="198" t="s">
        <v>316</v>
      </c>
      <c r="C71" s="201">
        <v>76584.02</v>
      </c>
      <c r="D71" s="157"/>
      <c r="E71" s="209"/>
    </row>
    <row r="72" spans="1:8" x14ac:dyDescent="0.25">
      <c r="A72" s="198">
        <v>44030</v>
      </c>
      <c r="B72" s="199" t="s">
        <v>317</v>
      </c>
      <c r="C72" s="201">
        <v>116198.5</v>
      </c>
      <c r="D72" s="157"/>
      <c r="E72" s="209"/>
    </row>
    <row r="73" spans="1:8" x14ac:dyDescent="0.25">
      <c r="A73" s="198">
        <v>44030</v>
      </c>
      <c r="B73" s="199" t="s">
        <v>318</v>
      </c>
      <c r="C73" s="201">
        <v>44292.9</v>
      </c>
      <c r="D73" s="157"/>
      <c r="E73" s="209"/>
    </row>
    <row r="74" spans="1:8" x14ac:dyDescent="0.25">
      <c r="A74" s="198">
        <v>44030</v>
      </c>
      <c r="B74" s="199" t="s">
        <v>319</v>
      </c>
      <c r="C74" s="201">
        <v>53294.400000000001</v>
      </c>
      <c r="D74" s="157"/>
      <c r="E74" s="209"/>
    </row>
    <row r="75" spans="1:8" x14ac:dyDescent="0.25">
      <c r="A75" s="198">
        <v>44031</v>
      </c>
      <c r="B75" s="199" t="s">
        <v>320</v>
      </c>
      <c r="C75" s="201">
        <v>84013.2</v>
      </c>
      <c r="D75" s="157"/>
      <c r="E75" s="209"/>
    </row>
    <row r="76" spans="1:8" x14ac:dyDescent="0.25">
      <c r="A76" s="198">
        <v>44031</v>
      </c>
      <c r="B76" s="199" t="s">
        <v>321</v>
      </c>
      <c r="C76" s="201">
        <v>2400</v>
      </c>
      <c r="D76" s="157"/>
      <c r="E76" s="209"/>
    </row>
    <row r="77" spans="1:8" x14ac:dyDescent="0.25">
      <c r="A77" s="198">
        <v>44031</v>
      </c>
      <c r="B77" s="199" t="s">
        <v>322</v>
      </c>
      <c r="C77" s="201">
        <v>46601</v>
      </c>
      <c r="D77" s="157"/>
      <c r="E77" s="209"/>
    </row>
    <row r="78" spans="1:8" x14ac:dyDescent="0.25">
      <c r="A78" s="198">
        <v>44031</v>
      </c>
      <c r="B78" s="199" t="s">
        <v>323</v>
      </c>
      <c r="C78" s="201">
        <v>1800</v>
      </c>
      <c r="D78" s="157"/>
      <c r="E78" s="209"/>
    </row>
    <row r="79" spans="1:8" x14ac:dyDescent="0.25">
      <c r="A79" s="198">
        <v>44032</v>
      </c>
      <c r="B79" s="199" t="s">
        <v>324</v>
      </c>
      <c r="C79" s="201">
        <v>591159</v>
      </c>
      <c r="D79" s="157"/>
      <c r="E79" s="209"/>
    </row>
    <row r="80" spans="1:8" x14ac:dyDescent="0.25">
      <c r="A80" s="198">
        <v>44032</v>
      </c>
      <c r="B80" s="199" t="s">
        <v>325</v>
      </c>
      <c r="C80" s="201">
        <v>120389.5</v>
      </c>
      <c r="D80" s="157"/>
      <c r="E80" s="209"/>
    </row>
    <row r="81" spans="1:5" x14ac:dyDescent="0.25">
      <c r="A81" s="198">
        <v>44032</v>
      </c>
      <c r="B81" s="199" t="s">
        <v>326</v>
      </c>
      <c r="C81" s="201">
        <v>5743.4</v>
      </c>
      <c r="D81" s="157"/>
      <c r="E81" s="209"/>
    </row>
    <row r="82" spans="1:5" x14ac:dyDescent="0.25">
      <c r="A82" s="198">
        <v>44032</v>
      </c>
      <c r="B82" s="199" t="s">
        <v>327</v>
      </c>
      <c r="C82" s="201">
        <v>84656</v>
      </c>
      <c r="D82" s="157"/>
      <c r="E82" s="209"/>
    </row>
    <row r="83" spans="1:5" x14ac:dyDescent="0.25">
      <c r="A83" s="198">
        <v>44032</v>
      </c>
      <c r="B83" s="199" t="s">
        <v>328</v>
      </c>
      <c r="C83" s="201">
        <v>55739.65</v>
      </c>
      <c r="D83" s="157"/>
      <c r="E83" s="209"/>
    </row>
    <row r="84" spans="1:5" x14ac:dyDescent="0.25">
      <c r="A84" s="198">
        <v>44033</v>
      </c>
      <c r="B84" s="199" t="s">
        <v>329</v>
      </c>
      <c r="C84" s="201">
        <v>33664.300000000003</v>
      </c>
      <c r="D84" s="157"/>
      <c r="E84" s="209"/>
    </row>
    <row r="85" spans="1:5" x14ac:dyDescent="0.25">
      <c r="A85" s="198">
        <v>44033</v>
      </c>
      <c r="B85" s="199" t="s">
        <v>330</v>
      </c>
      <c r="C85" s="201">
        <v>26374.400000000001</v>
      </c>
      <c r="D85" s="157"/>
      <c r="E85" s="209"/>
    </row>
    <row r="86" spans="1:5" x14ac:dyDescent="0.25">
      <c r="A86" s="198">
        <v>44033</v>
      </c>
      <c r="B86" s="199" t="s">
        <v>331</v>
      </c>
      <c r="C86" s="201">
        <v>5235</v>
      </c>
      <c r="D86" s="157"/>
      <c r="E86" s="209"/>
    </row>
    <row r="87" spans="1:5" x14ac:dyDescent="0.25">
      <c r="A87" s="198">
        <v>44033</v>
      </c>
      <c r="B87" s="199" t="s">
        <v>332</v>
      </c>
      <c r="C87" s="201">
        <v>197394.24</v>
      </c>
      <c r="D87" s="157"/>
      <c r="E87" s="209"/>
    </row>
    <row r="88" spans="1:5" x14ac:dyDescent="0.25">
      <c r="A88" s="198">
        <v>44033</v>
      </c>
      <c r="B88" s="199" t="s">
        <v>333</v>
      </c>
      <c r="C88" s="200">
        <v>0</v>
      </c>
      <c r="D88" s="157"/>
      <c r="E88" s="209"/>
    </row>
    <row r="89" spans="1:5" x14ac:dyDescent="0.25">
      <c r="A89" s="198">
        <v>44033</v>
      </c>
      <c r="B89" s="199" t="s">
        <v>334</v>
      </c>
      <c r="C89" s="201">
        <v>202461.6</v>
      </c>
      <c r="D89" s="157"/>
      <c r="E89" s="209"/>
    </row>
    <row r="90" spans="1:5" x14ac:dyDescent="0.25">
      <c r="A90" s="198">
        <v>44033</v>
      </c>
      <c r="B90" s="199" t="s">
        <v>335</v>
      </c>
      <c r="C90" s="201">
        <v>15067.5</v>
      </c>
      <c r="D90" s="157"/>
      <c r="E90" s="209"/>
    </row>
    <row r="91" spans="1:5" x14ac:dyDescent="0.25">
      <c r="A91" s="198">
        <v>44034</v>
      </c>
      <c r="B91" s="199" t="s">
        <v>336</v>
      </c>
      <c r="C91" s="201">
        <v>79113.5</v>
      </c>
      <c r="D91" s="157"/>
      <c r="E91" s="209"/>
    </row>
    <row r="92" spans="1:5" x14ac:dyDescent="0.25">
      <c r="A92" s="198">
        <v>44034</v>
      </c>
      <c r="B92" s="199" t="s">
        <v>337</v>
      </c>
      <c r="C92" s="201">
        <v>79230</v>
      </c>
      <c r="D92" s="157"/>
      <c r="E92" s="209"/>
    </row>
    <row r="93" spans="1:5" x14ac:dyDescent="0.25">
      <c r="A93" s="198">
        <v>44034</v>
      </c>
      <c r="B93" s="199" t="s">
        <v>338</v>
      </c>
      <c r="C93" s="201">
        <v>181165.2</v>
      </c>
      <c r="D93" s="157"/>
      <c r="E93" s="209"/>
    </row>
    <row r="94" spans="1:5" x14ac:dyDescent="0.25">
      <c r="A94" s="198">
        <v>44034</v>
      </c>
      <c r="B94" s="199" t="s">
        <v>339</v>
      </c>
      <c r="C94" s="200">
        <v>0</v>
      </c>
      <c r="D94" s="157"/>
      <c r="E94" s="209"/>
    </row>
    <row r="95" spans="1:5" x14ac:dyDescent="0.25">
      <c r="A95" s="198">
        <v>44034</v>
      </c>
      <c r="B95" s="199" t="s">
        <v>340</v>
      </c>
      <c r="C95" s="201">
        <v>32900</v>
      </c>
      <c r="D95" s="157"/>
      <c r="E95" s="209"/>
    </row>
    <row r="96" spans="1:5" x14ac:dyDescent="0.25">
      <c r="A96" s="198">
        <v>44035</v>
      </c>
      <c r="B96" s="199" t="s">
        <v>341</v>
      </c>
      <c r="C96" s="201">
        <v>20194</v>
      </c>
      <c r="D96" s="157"/>
      <c r="E96" s="209"/>
    </row>
    <row r="97" spans="1:5" x14ac:dyDescent="0.25">
      <c r="A97" s="198">
        <v>44035</v>
      </c>
      <c r="B97" s="199" t="s">
        <v>342</v>
      </c>
      <c r="C97" s="201">
        <v>10350</v>
      </c>
      <c r="D97" s="157"/>
      <c r="E97" s="209"/>
    </row>
    <row r="98" spans="1:5" x14ac:dyDescent="0.25">
      <c r="A98" s="198">
        <v>44035</v>
      </c>
      <c r="B98" s="199" t="s">
        <v>343</v>
      </c>
      <c r="C98" s="201">
        <v>28080.5</v>
      </c>
      <c r="D98" s="157"/>
      <c r="E98" s="209"/>
    </row>
    <row r="99" spans="1:5" x14ac:dyDescent="0.25">
      <c r="C99" s="4">
        <f>SUM(C4:C98)</f>
        <v>7825029.4700000016</v>
      </c>
    </row>
  </sheetData>
  <mergeCells count="4">
    <mergeCell ref="A2:D2"/>
    <mergeCell ref="F2:I2"/>
    <mergeCell ref="G68:G69"/>
    <mergeCell ref="H68:H69"/>
  </mergeCells>
  <pageMargins left="0.3" right="0.13" top="0.28999999999999998" bottom="0.4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2941-C89A-4253-B12B-FC463FA833EF}">
  <sheetPr>
    <tabColor rgb="FF7030A0"/>
  </sheetPr>
  <dimension ref="A1:S81"/>
  <sheetViews>
    <sheetView topLeftCell="A34" workbookViewId="0">
      <selection activeCell="N44" sqref="N44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9.42578125" style="7" customWidth="1"/>
    <col min="4" max="4" width="2.5703125" customWidth="1"/>
    <col min="5" max="5" width="12.85546875" customWidth="1"/>
    <col min="6" max="6" width="18.85546875" style="7" bestFit="1" customWidth="1"/>
    <col min="7" max="7" width="7.28515625" customWidth="1"/>
    <col min="9" max="9" width="18.140625" style="7" customWidth="1"/>
    <col min="10" max="10" width="11.7109375" style="19" customWidth="1"/>
    <col min="11" max="11" width="13.28515625" customWidth="1"/>
    <col min="12" max="12" width="14.5703125" customWidth="1"/>
    <col min="13" max="13" width="18.140625" style="7" customWidth="1"/>
    <col min="14" max="14" width="17.5703125" style="4" customWidth="1"/>
    <col min="15" max="15" width="24.42578125" style="4" customWidth="1"/>
    <col min="16" max="16" width="15.5703125" style="5" bestFit="1" customWidth="1"/>
    <col min="17" max="17" width="14.42578125" style="5" customWidth="1"/>
  </cols>
  <sheetData>
    <row r="1" spans="1:18" ht="24" thickBot="1" x14ac:dyDescent="0.4">
      <c r="C1" s="274" t="s">
        <v>402</v>
      </c>
      <c r="D1" s="274"/>
      <c r="E1" s="274"/>
      <c r="F1" s="274"/>
      <c r="G1" s="274"/>
      <c r="H1" s="274"/>
      <c r="I1" s="274"/>
      <c r="J1" s="274"/>
      <c r="K1" s="274"/>
      <c r="L1" s="2"/>
      <c r="M1" s="3"/>
    </row>
    <row r="2" spans="1:18" ht="20.25" customHeight="1" thickTop="1" thickBot="1" x14ac:dyDescent="0.35">
      <c r="A2" s="8" t="s">
        <v>0</v>
      </c>
      <c r="B2" s="135"/>
      <c r="C2" s="136">
        <v>1111032.9099999999</v>
      </c>
      <c r="D2" s="293">
        <v>44045</v>
      </c>
      <c r="E2" s="293"/>
      <c r="F2" s="154"/>
      <c r="G2" s="142"/>
      <c r="J2" s="146"/>
      <c r="K2" s="9"/>
      <c r="L2" s="9"/>
      <c r="O2" s="10"/>
      <c r="P2" s="10"/>
      <c r="Q2" s="11"/>
    </row>
    <row r="3" spans="1:18" ht="19.5" customHeight="1" thickTop="1" thickBot="1" x14ac:dyDescent="0.35">
      <c r="A3" s="119"/>
      <c r="B3" s="294" t="s">
        <v>241</v>
      </c>
      <c r="C3" s="295"/>
      <c r="D3" s="141"/>
      <c r="E3" s="282" t="s">
        <v>240</v>
      </c>
      <c r="F3" s="283"/>
      <c r="H3" s="275" t="s">
        <v>1</v>
      </c>
      <c r="I3" s="276"/>
      <c r="J3" s="147"/>
      <c r="K3" s="120"/>
      <c r="L3" s="120"/>
      <c r="M3" s="197" t="s">
        <v>2</v>
      </c>
      <c r="N3" s="132" t="s">
        <v>3</v>
      </c>
      <c r="O3" s="10"/>
      <c r="P3" s="10"/>
      <c r="Q3" s="11"/>
    </row>
    <row r="4" spans="1:18" ht="17.25" customHeight="1" thickBot="1" x14ac:dyDescent="0.35">
      <c r="A4" s="119"/>
      <c r="B4" s="137">
        <v>44046</v>
      </c>
      <c r="C4" s="230">
        <v>444315.23</v>
      </c>
      <c r="D4" s="131"/>
      <c r="E4" s="139">
        <v>44046</v>
      </c>
      <c r="F4" s="138">
        <v>41699.5</v>
      </c>
      <c r="H4" s="18">
        <v>44046</v>
      </c>
      <c r="I4" s="143">
        <v>28988.799999999999</v>
      </c>
      <c r="J4" s="150"/>
      <c r="K4" s="162"/>
      <c r="L4" s="163"/>
      <c r="M4" s="193">
        <v>318053</v>
      </c>
      <c r="N4" s="134">
        <f>28968.87+26604.12</f>
        <v>55572.99</v>
      </c>
      <c r="O4" s="10"/>
      <c r="P4" s="10">
        <f>F4+I4+L4+M4+N4</f>
        <v>444314.29</v>
      </c>
      <c r="Q4" s="11">
        <f>P4-C4</f>
        <v>-0.94000000000232831</v>
      </c>
    </row>
    <row r="5" spans="1:18" ht="16.5" thickBot="1" x14ac:dyDescent="0.3">
      <c r="A5" s="12" t="s">
        <v>4</v>
      </c>
      <c r="B5" s="137">
        <v>44047</v>
      </c>
      <c r="C5" s="17">
        <v>415727.73</v>
      </c>
      <c r="D5" s="15"/>
      <c r="E5" s="139">
        <v>44047</v>
      </c>
      <c r="F5" s="14">
        <v>22562.560000000001</v>
      </c>
      <c r="H5" s="18">
        <v>44047</v>
      </c>
      <c r="I5" s="144">
        <v>8663</v>
      </c>
      <c r="J5" s="151"/>
      <c r="K5" s="164"/>
      <c r="L5" s="165"/>
      <c r="M5" s="193">
        <v>337979</v>
      </c>
      <c r="N5" s="134">
        <f>46523.04</f>
        <v>46523.040000000001</v>
      </c>
      <c r="O5" s="22"/>
      <c r="P5" s="10">
        <f t="shared" ref="P5:P32" si="0">F5+I5+L5+M5+N5</f>
        <v>415727.6</v>
      </c>
      <c r="Q5" s="11">
        <f t="shared" ref="Q5:Q34" si="1">P5-C5</f>
        <v>-0.13000000000465661</v>
      </c>
    </row>
    <row r="6" spans="1:18" ht="16.5" thickBot="1" x14ac:dyDescent="0.3">
      <c r="A6" s="12"/>
      <c r="B6" s="137">
        <v>44048</v>
      </c>
      <c r="C6" s="17">
        <v>384451.34</v>
      </c>
      <c r="D6" s="23"/>
      <c r="E6" s="139">
        <v>44048</v>
      </c>
      <c r="F6" s="14">
        <v>31335.5</v>
      </c>
      <c r="H6" s="18">
        <v>44048</v>
      </c>
      <c r="I6" s="145">
        <v>12334.5</v>
      </c>
      <c r="J6" s="151"/>
      <c r="K6" s="166"/>
      <c r="L6" s="167"/>
      <c r="M6" s="193">
        <v>317771</v>
      </c>
      <c r="N6" s="134">
        <f>11628.51+11371.57</f>
        <v>23000.080000000002</v>
      </c>
      <c r="O6" s="27"/>
      <c r="P6" s="10">
        <f t="shared" si="0"/>
        <v>384441.08</v>
      </c>
      <c r="Q6" s="11">
        <f t="shared" si="1"/>
        <v>-10.260000000009313</v>
      </c>
    </row>
    <row r="7" spans="1:18" ht="16.5" thickBot="1" x14ac:dyDescent="0.3">
      <c r="A7" s="12"/>
      <c r="B7" s="137">
        <v>44049</v>
      </c>
      <c r="C7" s="17">
        <v>434458.89</v>
      </c>
      <c r="D7" s="114"/>
      <c r="E7" s="139">
        <v>44049</v>
      </c>
      <c r="F7" s="14">
        <v>124439.5</v>
      </c>
      <c r="H7" s="18">
        <v>44049</v>
      </c>
      <c r="I7" s="145">
        <v>1452</v>
      </c>
      <c r="J7" s="171"/>
      <c r="K7" s="168"/>
      <c r="L7" s="169"/>
      <c r="M7" s="193">
        <v>269966</v>
      </c>
      <c r="N7" s="134">
        <f>22132.82+16475.48</f>
        <v>38608.300000000003</v>
      </c>
      <c r="O7" s="30"/>
      <c r="P7" s="10">
        <f t="shared" si="0"/>
        <v>434465.8</v>
      </c>
      <c r="Q7" s="11">
        <f t="shared" si="1"/>
        <v>6.9099999999743886</v>
      </c>
    </row>
    <row r="8" spans="1:18" ht="16.5" thickBot="1" x14ac:dyDescent="0.3">
      <c r="A8" s="12"/>
      <c r="B8" s="137">
        <v>44050</v>
      </c>
      <c r="C8" s="17">
        <v>642397.79</v>
      </c>
      <c r="D8" s="116"/>
      <c r="E8" s="139">
        <v>44050</v>
      </c>
      <c r="F8" s="14">
        <v>12450.5</v>
      </c>
      <c r="H8" s="18">
        <v>44050</v>
      </c>
      <c r="I8" s="145">
        <v>28478.080000000002</v>
      </c>
      <c r="J8" s="151"/>
      <c r="K8" s="170"/>
      <c r="L8" s="167"/>
      <c r="M8" s="193">
        <v>516109.5</v>
      </c>
      <c r="N8" s="134">
        <f>43184.78+42175.44</f>
        <v>85360.22</v>
      </c>
      <c r="O8" s="27"/>
      <c r="P8" s="10">
        <f t="shared" si="0"/>
        <v>642398.29999999993</v>
      </c>
      <c r="Q8" s="11">
        <f t="shared" si="1"/>
        <v>0.5099999998928979</v>
      </c>
    </row>
    <row r="9" spans="1:18" ht="16.5" thickBot="1" x14ac:dyDescent="0.3">
      <c r="A9" s="12"/>
      <c r="B9" s="137">
        <v>44051</v>
      </c>
      <c r="C9" s="14">
        <v>655122.85</v>
      </c>
      <c r="D9" s="117"/>
      <c r="E9" s="139">
        <v>44051</v>
      </c>
      <c r="F9" s="17">
        <v>61300</v>
      </c>
      <c r="H9" s="18">
        <v>44051</v>
      </c>
      <c r="I9" s="145">
        <v>13521.42</v>
      </c>
      <c r="J9" s="152"/>
      <c r="K9" s="170" t="s">
        <v>408</v>
      </c>
      <c r="L9" s="167">
        <f>61089.3+42264.95</f>
        <v>103354.25</v>
      </c>
      <c r="M9" s="193">
        <v>486773</v>
      </c>
      <c r="N9" s="134">
        <f>26586.27+5858.66</f>
        <v>32444.93</v>
      </c>
      <c r="O9" s="27"/>
      <c r="P9" s="10">
        <f>F9+I9+L9+M9+N9</f>
        <v>697393.6</v>
      </c>
      <c r="Q9" s="11">
        <f t="shared" si="1"/>
        <v>42270.75</v>
      </c>
    </row>
    <row r="10" spans="1:18" ht="16.5" thickBot="1" x14ac:dyDescent="0.3">
      <c r="A10" s="12"/>
      <c r="B10" s="137">
        <v>44052</v>
      </c>
      <c r="C10" s="14">
        <v>454332.98</v>
      </c>
      <c r="D10" s="114"/>
      <c r="E10" s="139">
        <v>44052</v>
      </c>
      <c r="F10" s="17">
        <v>11114</v>
      </c>
      <c r="H10" s="18">
        <v>44052</v>
      </c>
      <c r="I10" s="145">
        <v>9850.5</v>
      </c>
      <c r="J10" s="189"/>
      <c r="K10" s="148"/>
      <c r="L10" s="34"/>
      <c r="M10" s="193">
        <v>410480.5</v>
      </c>
      <c r="N10" s="134">
        <f>19770.66+3117.86</f>
        <v>22888.52</v>
      </c>
      <c r="O10" s="30"/>
      <c r="P10" s="10">
        <f t="shared" si="0"/>
        <v>454333.52</v>
      </c>
      <c r="Q10" s="11">
        <f t="shared" si="1"/>
        <v>0.5400000000372529</v>
      </c>
    </row>
    <row r="11" spans="1:18" ht="16.5" thickBot="1" x14ac:dyDescent="0.3">
      <c r="A11" s="12"/>
      <c r="B11" s="137">
        <v>44053</v>
      </c>
      <c r="C11" s="14">
        <v>365660.71</v>
      </c>
      <c r="D11" s="118"/>
      <c r="E11" s="139">
        <v>44053</v>
      </c>
      <c r="F11" s="17">
        <v>30299.24</v>
      </c>
      <c r="H11" s="18">
        <v>44053</v>
      </c>
      <c r="I11" s="145">
        <v>5048</v>
      </c>
      <c r="J11" s="153"/>
      <c r="K11" s="149"/>
      <c r="L11" s="35"/>
      <c r="M11" s="193">
        <v>296641</v>
      </c>
      <c r="N11" s="134">
        <f>11388.66+22289.69</f>
        <v>33678.35</v>
      </c>
      <c r="O11" s="27"/>
      <c r="P11" s="10">
        <f t="shared" si="0"/>
        <v>365666.58999999997</v>
      </c>
      <c r="Q11" s="11">
        <f t="shared" si="1"/>
        <v>5.879999999946449</v>
      </c>
    </row>
    <row r="12" spans="1:18" ht="16.5" thickBot="1" x14ac:dyDescent="0.3">
      <c r="A12" s="12"/>
      <c r="B12" s="137">
        <v>44054</v>
      </c>
      <c r="C12" s="14">
        <v>427107</v>
      </c>
      <c r="D12" s="23"/>
      <c r="E12" s="139">
        <v>44054</v>
      </c>
      <c r="F12" s="17">
        <v>49562.28</v>
      </c>
      <c r="H12" s="18">
        <v>44054</v>
      </c>
      <c r="I12" s="24">
        <v>9676.4699999999993</v>
      </c>
      <c r="J12" s="25"/>
      <c r="K12" s="32"/>
      <c r="L12" s="35"/>
      <c r="M12" s="193">
        <v>309175</v>
      </c>
      <c r="N12" s="134">
        <f>58678.95</f>
        <v>58678.95</v>
      </c>
      <c r="O12" s="36"/>
      <c r="P12" s="10">
        <f t="shared" si="0"/>
        <v>427092.7</v>
      </c>
      <c r="Q12" s="231">
        <f t="shared" si="1"/>
        <v>-14.299999999988358</v>
      </c>
      <c r="R12" t="s">
        <v>409</v>
      </c>
    </row>
    <row r="13" spans="1:18" ht="16.5" thickBot="1" x14ac:dyDescent="0.3">
      <c r="A13" s="12"/>
      <c r="B13" s="137">
        <v>44055</v>
      </c>
      <c r="C13" s="14">
        <v>409587</v>
      </c>
      <c r="D13" s="31"/>
      <c r="E13" s="139">
        <v>44055</v>
      </c>
      <c r="F13" s="17">
        <v>25495.4</v>
      </c>
      <c r="H13" s="18">
        <v>44055</v>
      </c>
      <c r="I13" s="24">
        <v>9472.2999999999993</v>
      </c>
      <c r="J13" s="25"/>
      <c r="K13" s="32"/>
      <c r="L13" s="35"/>
      <c r="M13" s="193">
        <v>348338</v>
      </c>
      <c r="N13" s="134">
        <f>16436.3+9830.45</f>
        <v>26266.75</v>
      </c>
      <c r="O13" s="27"/>
      <c r="P13" s="10">
        <f t="shared" si="0"/>
        <v>409572.45</v>
      </c>
      <c r="Q13" s="231">
        <f t="shared" si="1"/>
        <v>-14.549999999988358</v>
      </c>
      <c r="R13" s="12">
        <v>44058</v>
      </c>
    </row>
    <row r="14" spans="1:18" ht="16.5" thickBot="1" x14ac:dyDescent="0.3">
      <c r="A14" s="12"/>
      <c r="B14" s="137">
        <v>44056</v>
      </c>
      <c r="C14" s="14">
        <v>474615</v>
      </c>
      <c r="D14" s="28"/>
      <c r="E14" s="139">
        <v>44056</v>
      </c>
      <c r="F14" s="17">
        <v>20831</v>
      </c>
      <c r="H14" s="18">
        <v>44056</v>
      </c>
      <c r="I14" s="24">
        <v>2387</v>
      </c>
      <c r="J14" s="171"/>
      <c r="K14" s="32"/>
      <c r="L14" s="35"/>
      <c r="M14" s="193">
        <v>410864</v>
      </c>
      <c r="N14" s="134">
        <f>15156+25378</f>
        <v>40534</v>
      </c>
      <c r="O14" s="27"/>
      <c r="P14" s="10">
        <f t="shared" si="0"/>
        <v>474616</v>
      </c>
      <c r="Q14" s="11">
        <f t="shared" si="1"/>
        <v>1</v>
      </c>
    </row>
    <row r="15" spans="1:18" ht="16.5" thickBot="1" x14ac:dyDescent="0.3">
      <c r="A15" s="12"/>
      <c r="B15" s="137">
        <v>44057</v>
      </c>
      <c r="C15" s="14">
        <v>679199</v>
      </c>
      <c r="D15" s="23"/>
      <c r="E15" s="139">
        <v>44057</v>
      </c>
      <c r="F15" s="17">
        <v>14542</v>
      </c>
      <c r="H15" s="18">
        <v>44057</v>
      </c>
      <c r="I15" s="24">
        <v>27721</v>
      </c>
      <c r="J15" s="25"/>
      <c r="K15" s="32"/>
      <c r="L15" s="35"/>
      <c r="M15" s="193">
        <v>593622</v>
      </c>
      <c r="N15" s="134">
        <f>18804+24506</f>
        <v>43310</v>
      </c>
      <c r="O15" s="27"/>
      <c r="P15" s="10">
        <f t="shared" si="0"/>
        <v>679195</v>
      </c>
      <c r="Q15" s="231">
        <f t="shared" si="1"/>
        <v>-4</v>
      </c>
      <c r="R15" s="12">
        <v>44036</v>
      </c>
    </row>
    <row r="16" spans="1:18" ht="16.5" thickBot="1" x14ac:dyDescent="0.3">
      <c r="A16" s="12"/>
      <c r="B16" s="137">
        <v>44058</v>
      </c>
      <c r="C16" s="14">
        <v>676737</v>
      </c>
      <c r="D16" s="23"/>
      <c r="E16" s="139">
        <v>44058</v>
      </c>
      <c r="F16" s="17">
        <v>80846.399999999994</v>
      </c>
      <c r="H16" s="18">
        <v>44058</v>
      </c>
      <c r="I16" s="24">
        <v>59799.9</v>
      </c>
      <c r="J16" s="244" t="s">
        <v>411</v>
      </c>
      <c r="K16" s="32" t="s">
        <v>410</v>
      </c>
      <c r="L16" s="5">
        <f>59331.58+40821.58</f>
        <v>100153.16</v>
      </c>
      <c r="M16" s="193">
        <v>436616.5</v>
      </c>
      <c r="N16" s="134">
        <f>15170+24825</f>
        <v>39995</v>
      </c>
      <c r="O16" s="27"/>
      <c r="P16" s="10">
        <f t="shared" si="0"/>
        <v>717410.96</v>
      </c>
      <c r="Q16" s="231">
        <f t="shared" si="1"/>
        <v>40673.959999999963</v>
      </c>
      <c r="R16" s="42" t="s">
        <v>412</v>
      </c>
    </row>
    <row r="17" spans="1:19" ht="16.5" thickBot="1" x14ac:dyDescent="0.3">
      <c r="A17" s="12"/>
      <c r="B17" s="137">
        <v>44059</v>
      </c>
      <c r="C17" s="14">
        <v>587327</v>
      </c>
      <c r="D17" s="31"/>
      <c r="E17" s="139">
        <v>44059</v>
      </c>
      <c r="F17" s="17">
        <v>49587.8</v>
      </c>
      <c r="H17" s="18">
        <v>44059</v>
      </c>
      <c r="I17" s="24">
        <v>17442</v>
      </c>
      <c r="J17" s="37"/>
      <c r="K17" s="32"/>
      <c r="L17" s="34"/>
      <c r="M17" s="193">
        <v>491864</v>
      </c>
      <c r="N17" s="134">
        <f>15561+12892</f>
        <v>28453</v>
      </c>
      <c r="O17" s="27"/>
      <c r="P17" s="10">
        <f t="shared" si="0"/>
        <v>587346.80000000005</v>
      </c>
      <c r="Q17" s="11">
        <f t="shared" si="1"/>
        <v>19.800000000046566</v>
      </c>
      <c r="R17" s="42" t="s">
        <v>413</v>
      </c>
    </row>
    <row r="18" spans="1:19" ht="16.5" thickBot="1" x14ac:dyDescent="0.3">
      <c r="A18" s="12"/>
      <c r="B18" s="137">
        <v>44060</v>
      </c>
      <c r="C18" s="14">
        <v>435120</v>
      </c>
      <c r="D18" s="23"/>
      <c r="E18" s="139">
        <v>44060</v>
      </c>
      <c r="F18" s="17">
        <v>5828</v>
      </c>
      <c r="H18" s="18">
        <v>44060</v>
      </c>
      <c r="I18" s="24">
        <v>14495</v>
      </c>
      <c r="J18" s="37"/>
      <c r="K18" s="38"/>
      <c r="L18" s="35"/>
      <c r="M18" s="193">
        <v>387305</v>
      </c>
      <c r="N18" s="134">
        <f>19162+4075</f>
        <v>23237</v>
      </c>
      <c r="O18" s="27"/>
      <c r="P18" s="10">
        <f t="shared" si="0"/>
        <v>430865</v>
      </c>
      <c r="Q18" s="231">
        <f t="shared" si="1"/>
        <v>-4255</v>
      </c>
      <c r="R18" s="245" t="s">
        <v>414</v>
      </c>
    </row>
    <row r="19" spans="1:19" ht="16.5" thickBot="1" x14ac:dyDescent="0.3">
      <c r="A19" s="12"/>
      <c r="B19" s="137">
        <v>44061</v>
      </c>
      <c r="C19" s="14">
        <v>396730</v>
      </c>
      <c r="D19" s="23"/>
      <c r="E19" s="139">
        <v>44061</v>
      </c>
      <c r="F19" s="17">
        <v>34837.660000000003</v>
      </c>
      <c r="H19" s="18">
        <v>44061</v>
      </c>
      <c r="I19" s="24">
        <v>2140.9899999999998</v>
      </c>
      <c r="J19" s="37"/>
      <c r="K19" s="39"/>
      <c r="L19" s="40"/>
      <c r="M19" s="193">
        <v>304000</v>
      </c>
      <c r="N19" s="134">
        <f>55410</f>
        <v>55410</v>
      </c>
      <c r="O19" s="27"/>
      <c r="P19" s="10">
        <f t="shared" si="0"/>
        <v>396388.65</v>
      </c>
      <c r="Q19" s="231">
        <f t="shared" si="1"/>
        <v>-341.34999999997672</v>
      </c>
      <c r="R19" s="245" t="s">
        <v>415</v>
      </c>
    </row>
    <row r="20" spans="1:19" ht="16.5" thickBot="1" x14ac:dyDescent="0.3">
      <c r="A20" s="12"/>
      <c r="B20" s="137">
        <v>44062</v>
      </c>
      <c r="C20" s="14">
        <v>392540</v>
      </c>
      <c r="D20" s="23"/>
      <c r="E20" s="139">
        <v>44062</v>
      </c>
      <c r="F20" s="17">
        <v>41930.5</v>
      </c>
      <c r="H20" s="18">
        <v>44062</v>
      </c>
      <c r="I20" s="24">
        <v>6381.5</v>
      </c>
      <c r="J20" s="25"/>
      <c r="K20" s="33"/>
      <c r="L20" s="34"/>
      <c r="M20" s="193">
        <v>312828</v>
      </c>
      <c r="N20" s="134">
        <f>17508+13892</f>
        <v>31400</v>
      </c>
      <c r="O20" s="27"/>
      <c r="P20" s="10">
        <f>F20+I20+L20+M20+N20</f>
        <v>392540</v>
      </c>
      <c r="Q20" s="11">
        <f t="shared" si="1"/>
        <v>0</v>
      </c>
    </row>
    <row r="21" spans="1:19" ht="16.5" thickBot="1" x14ac:dyDescent="0.3">
      <c r="A21" s="12"/>
      <c r="B21" s="137">
        <v>44063</v>
      </c>
      <c r="C21" s="14">
        <v>487631</v>
      </c>
      <c r="D21" s="23"/>
      <c r="E21" s="139">
        <v>44063</v>
      </c>
      <c r="F21" s="17">
        <v>122946.5</v>
      </c>
      <c r="G21" s="246"/>
      <c r="H21" s="18">
        <v>44063</v>
      </c>
      <c r="I21" s="24">
        <v>3979</v>
      </c>
      <c r="J21" s="41"/>
      <c r="K21" s="32"/>
      <c r="L21" s="34"/>
      <c r="M21" s="193">
        <v>323981</v>
      </c>
      <c r="N21" s="134">
        <f>22364+14364</f>
        <v>36728</v>
      </c>
      <c r="O21" s="27"/>
      <c r="P21" s="10">
        <f t="shared" si="0"/>
        <v>487634.5</v>
      </c>
      <c r="Q21" s="11">
        <f t="shared" si="1"/>
        <v>3.5</v>
      </c>
    </row>
    <row r="22" spans="1:19" ht="16.5" thickBot="1" x14ac:dyDescent="0.3">
      <c r="A22" s="12"/>
      <c r="B22" s="137">
        <v>44064</v>
      </c>
      <c r="C22" s="14">
        <v>761405</v>
      </c>
      <c r="D22" s="23"/>
      <c r="E22" s="139">
        <v>44064</v>
      </c>
      <c r="F22" s="17">
        <v>31897.5</v>
      </c>
      <c r="H22" s="18">
        <v>44064</v>
      </c>
      <c r="I22" s="24">
        <v>31406</v>
      </c>
      <c r="J22" s="196"/>
      <c r="K22" s="42"/>
      <c r="L22" s="43"/>
      <c r="M22" s="193">
        <v>652648.5</v>
      </c>
      <c r="N22" s="134">
        <f>33370+12082</f>
        <v>45452</v>
      </c>
      <c r="O22" s="27"/>
      <c r="P22" s="10">
        <f t="shared" si="0"/>
        <v>761404</v>
      </c>
      <c r="Q22" s="231">
        <f t="shared" si="1"/>
        <v>-1</v>
      </c>
    </row>
    <row r="23" spans="1:19" ht="16.5" thickBot="1" x14ac:dyDescent="0.3">
      <c r="A23" s="12"/>
      <c r="B23" s="137">
        <v>44065</v>
      </c>
      <c r="C23" s="14">
        <v>677938</v>
      </c>
      <c r="D23" s="23"/>
      <c r="E23" s="139">
        <v>44065</v>
      </c>
      <c r="F23" s="17">
        <v>42639.5</v>
      </c>
      <c r="H23" s="18">
        <v>44065</v>
      </c>
      <c r="I23" s="24">
        <v>4475.74</v>
      </c>
      <c r="J23" s="44"/>
      <c r="K23" s="224" t="s">
        <v>565</v>
      </c>
      <c r="L23" s="34">
        <f>56840.15+46288.98</f>
        <v>103129.13</v>
      </c>
      <c r="M23" s="193">
        <v>524299</v>
      </c>
      <c r="N23" s="134">
        <f>33561+15623</f>
        <v>49184</v>
      </c>
      <c r="O23" s="47"/>
      <c r="P23" s="10">
        <f t="shared" si="0"/>
        <v>723727.37</v>
      </c>
      <c r="Q23" s="11">
        <f t="shared" si="1"/>
        <v>45789.369999999995</v>
      </c>
      <c r="R23" s="245" t="s">
        <v>400</v>
      </c>
      <c r="S23" s="42" t="s">
        <v>566</v>
      </c>
    </row>
    <row r="24" spans="1:19" ht="16.5" thickBot="1" x14ac:dyDescent="0.3">
      <c r="A24" s="12"/>
      <c r="B24" s="137">
        <v>44066</v>
      </c>
      <c r="C24" s="14">
        <v>501131</v>
      </c>
      <c r="D24" s="23"/>
      <c r="E24" s="139">
        <v>44066</v>
      </c>
      <c r="F24" s="17">
        <v>27453.5</v>
      </c>
      <c r="H24" s="18">
        <v>44066</v>
      </c>
      <c r="I24" s="24">
        <v>19366.57</v>
      </c>
      <c r="J24" s="48"/>
      <c r="K24" s="49"/>
      <c r="L24" s="50"/>
      <c r="M24" s="193">
        <f>377193.5+63012</f>
        <v>440205.5</v>
      </c>
      <c r="N24" s="134">
        <f>7831+6345</f>
        <v>14176</v>
      </c>
      <c r="O24" s="27"/>
      <c r="P24" s="10">
        <f t="shared" si="0"/>
        <v>501201.57</v>
      </c>
      <c r="Q24" s="11">
        <f t="shared" si="1"/>
        <v>70.570000000006985</v>
      </c>
    </row>
    <row r="25" spans="1:19" ht="16.5" thickBot="1" x14ac:dyDescent="0.3">
      <c r="A25" s="12"/>
      <c r="B25" s="137">
        <v>44067</v>
      </c>
      <c r="C25" s="14">
        <v>419200</v>
      </c>
      <c r="D25" s="23"/>
      <c r="E25" s="139">
        <v>44067</v>
      </c>
      <c r="F25" s="17">
        <v>136763</v>
      </c>
      <c r="G25" s="246"/>
      <c r="H25" s="18">
        <v>44067</v>
      </c>
      <c r="I25" s="24">
        <v>4503.1000000000004</v>
      </c>
      <c r="J25" s="51"/>
      <c r="K25" s="52"/>
      <c r="L25" s="53"/>
      <c r="M25" s="193">
        <f>248702+271</f>
        <v>248973</v>
      </c>
      <c r="N25" s="134">
        <f>27295+1815</f>
        <v>29110</v>
      </c>
      <c r="O25" s="27"/>
      <c r="P25" s="10">
        <f t="shared" si="0"/>
        <v>419349.1</v>
      </c>
      <c r="Q25" s="11">
        <f t="shared" si="1"/>
        <v>149.09999999997672</v>
      </c>
      <c r="R25" s="42" t="s">
        <v>400</v>
      </c>
    </row>
    <row r="26" spans="1:19" ht="16.5" thickBot="1" x14ac:dyDescent="0.3">
      <c r="A26" s="12"/>
      <c r="B26" s="137">
        <v>44068</v>
      </c>
      <c r="C26" s="14">
        <v>357534</v>
      </c>
      <c r="D26" s="23"/>
      <c r="E26" s="139">
        <v>44068</v>
      </c>
      <c r="F26" s="17">
        <v>23780</v>
      </c>
      <c r="H26" s="18">
        <v>44068</v>
      </c>
      <c r="I26" s="24">
        <v>947</v>
      </c>
      <c r="J26" s="37"/>
      <c r="K26" s="54"/>
      <c r="L26" s="46"/>
      <c r="M26" s="193">
        <v>289310</v>
      </c>
      <c r="N26" s="134">
        <f>29940+13557</f>
        <v>43497</v>
      </c>
      <c r="O26" s="27"/>
      <c r="P26" s="10">
        <f t="shared" si="0"/>
        <v>357534</v>
      </c>
      <c r="Q26" s="11">
        <f t="shared" si="1"/>
        <v>0</v>
      </c>
    </row>
    <row r="27" spans="1:19" ht="16.5" thickBot="1" x14ac:dyDescent="0.3">
      <c r="A27" s="12"/>
      <c r="B27" s="137">
        <v>44069</v>
      </c>
      <c r="C27" s="14">
        <v>419368</v>
      </c>
      <c r="D27" s="23"/>
      <c r="E27" s="139">
        <v>44069</v>
      </c>
      <c r="F27" s="17">
        <v>125273.15</v>
      </c>
      <c r="G27" s="246"/>
      <c r="H27" s="18">
        <v>44069</v>
      </c>
      <c r="I27" s="24">
        <v>4919</v>
      </c>
      <c r="J27" s="156"/>
      <c r="K27" s="32"/>
      <c r="L27" s="155"/>
      <c r="M27" s="193">
        <v>242022</v>
      </c>
      <c r="N27" s="134">
        <f>33144.01+14010.01</f>
        <v>47154.020000000004</v>
      </c>
      <c r="O27" s="27"/>
      <c r="P27" s="10">
        <f t="shared" si="0"/>
        <v>419368.17000000004</v>
      </c>
      <c r="Q27" s="11">
        <f t="shared" si="1"/>
        <v>0.17000000004190952</v>
      </c>
    </row>
    <row r="28" spans="1:19" ht="16.5" thickBot="1" x14ac:dyDescent="0.3">
      <c r="A28" s="12"/>
      <c r="B28" s="137">
        <v>44070</v>
      </c>
      <c r="C28" s="14">
        <v>534236</v>
      </c>
      <c r="D28" s="57"/>
      <c r="E28" s="139">
        <v>44070</v>
      </c>
      <c r="F28" s="17">
        <v>9768</v>
      </c>
      <c r="H28" s="18">
        <v>44070</v>
      </c>
      <c r="I28" s="24">
        <v>2701</v>
      </c>
      <c r="J28" s="172"/>
      <c r="K28" s="32"/>
      <c r="L28" s="155"/>
      <c r="M28" s="193">
        <v>483375</v>
      </c>
      <c r="N28" s="134">
        <f>19856+18198</f>
        <v>38054</v>
      </c>
      <c r="O28" s="27"/>
      <c r="P28" s="10">
        <f t="shared" si="0"/>
        <v>533898</v>
      </c>
      <c r="Q28" s="231">
        <f t="shared" si="1"/>
        <v>-338</v>
      </c>
      <c r="R28" t="s">
        <v>416</v>
      </c>
    </row>
    <row r="29" spans="1:19" ht="16.5" thickBot="1" x14ac:dyDescent="0.3">
      <c r="A29" s="12"/>
      <c r="B29" s="137">
        <v>44071</v>
      </c>
      <c r="C29" s="14">
        <v>756120</v>
      </c>
      <c r="D29" s="58"/>
      <c r="E29" s="139">
        <v>44071</v>
      </c>
      <c r="F29" s="17">
        <v>159591.5</v>
      </c>
      <c r="G29" s="246"/>
      <c r="H29" s="18">
        <v>44071</v>
      </c>
      <c r="I29" s="24">
        <v>34974.5</v>
      </c>
      <c r="J29" s="55"/>
      <c r="K29" s="52"/>
      <c r="L29" s="53"/>
      <c r="M29" s="193">
        <v>473435</v>
      </c>
      <c r="N29" s="134">
        <f>27503+60616</f>
        <v>88119</v>
      </c>
      <c r="O29" s="27"/>
      <c r="P29" s="10">
        <f t="shared" si="0"/>
        <v>756120</v>
      </c>
      <c r="Q29" s="11">
        <f t="shared" si="1"/>
        <v>0</v>
      </c>
      <c r="R29" s="242"/>
    </row>
    <row r="30" spans="1:19" ht="16.5" thickBot="1" x14ac:dyDescent="0.3">
      <c r="A30" s="12"/>
      <c r="B30" s="137">
        <v>44072</v>
      </c>
      <c r="C30" s="14">
        <v>772687</v>
      </c>
      <c r="D30" s="58"/>
      <c r="E30" s="139">
        <v>44072</v>
      </c>
      <c r="F30" s="17">
        <v>16801</v>
      </c>
      <c r="H30" s="18">
        <v>44072</v>
      </c>
      <c r="I30" s="59">
        <v>12899.81</v>
      </c>
      <c r="J30" s="55"/>
      <c r="K30" s="225" t="s">
        <v>417</v>
      </c>
      <c r="L30" s="22">
        <f>57241.26+36463.53</f>
        <v>93704.790000000008</v>
      </c>
      <c r="M30" s="193">
        <f>602735.5+38360</f>
        <v>641095.5</v>
      </c>
      <c r="N30" s="134">
        <f>17767.5+26883</f>
        <v>44650.5</v>
      </c>
      <c r="O30" s="27"/>
      <c r="P30" s="10">
        <f t="shared" si="0"/>
        <v>809151.6</v>
      </c>
      <c r="Q30" s="11">
        <f t="shared" si="1"/>
        <v>36464.599999999977</v>
      </c>
      <c r="R30" s="5"/>
      <c r="S30" s="42"/>
    </row>
    <row r="31" spans="1:19" ht="16.5" thickBot="1" x14ac:dyDescent="0.3">
      <c r="A31" s="12"/>
      <c r="B31" s="137">
        <v>44073</v>
      </c>
      <c r="C31" s="62">
        <v>538372</v>
      </c>
      <c r="D31" s="58"/>
      <c r="E31" s="139">
        <v>44073</v>
      </c>
      <c r="F31" s="17">
        <v>9420</v>
      </c>
      <c r="H31" s="18">
        <v>44073</v>
      </c>
      <c r="I31" s="59">
        <v>17949</v>
      </c>
      <c r="J31" s="55"/>
      <c r="K31" s="52"/>
      <c r="L31" s="53"/>
      <c r="M31" s="193">
        <v>490518.5</v>
      </c>
      <c r="N31" s="134">
        <f>12708+7781</f>
        <v>20489</v>
      </c>
      <c r="O31" s="27"/>
      <c r="P31" s="10">
        <f t="shared" si="0"/>
        <v>538376.5</v>
      </c>
      <c r="Q31" s="11">
        <f t="shared" si="1"/>
        <v>4.5</v>
      </c>
    </row>
    <row r="32" spans="1:19" ht="16.5" thickBot="1" x14ac:dyDescent="0.3">
      <c r="A32" s="12"/>
      <c r="B32" s="13"/>
      <c r="C32" s="62"/>
      <c r="D32" s="58"/>
      <c r="E32" s="16"/>
      <c r="F32" s="63"/>
      <c r="H32" s="18"/>
      <c r="I32" s="59"/>
      <c r="J32" s="55"/>
      <c r="K32" s="56"/>
      <c r="L32" s="53"/>
      <c r="M32" s="193">
        <v>0</v>
      </c>
      <c r="N32" s="134">
        <v>0</v>
      </c>
      <c r="O32" s="27"/>
      <c r="P32" s="10">
        <f t="shared" si="0"/>
        <v>0</v>
      </c>
      <c r="Q32" s="11">
        <f t="shared" si="1"/>
        <v>0</v>
      </c>
    </row>
    <row r="33" spans="1:17" ht="16.5" thickBot="1" x14ac:dyDescent="0.3">
      <c r="A33" s="12"/>
      <c r="B33" s="13"/>
      <c r="C33" s="62"/>
      <c r="D33" s="64"/>
      <c r="E33" s="240">
        <v>44046</v>
      </c>
      <c r="F33" s="241">
        <v>118664.3</v>
      </c>
      <c r="G33" s="99" t="s">
        <v>401</v>
      </c>
      <c r="H33" s="18"/>
      <c r="I33" s="59"/>
      <c r="J33" s="55"/>
      <c r="K33" s="56"/>
      <c r="L33" s="53"/>
      <c r="M33" s="193">
        <v>0</v>
      </c>
      <c r="N33" s="134">
        <v>0</v>
      </c>
      <c r="O33" s="27"/>
      <c r="P33" s="10">
        <v>0</v>
      </c>
      <c r="Q33" s="11">
        <f t="shared" si="1"/>
        <v>0</v>
      </c>
    </row>
    <row r="34" spans="1:17" ht="16.5" thickBot="1" x14ac:dyDescent="0.3">
      <c r="A34" s="12"/>
      <c r="B34" s="13"/>
      <c r="C34" s="62"/>
      <c r="D34" s="66"/>
      <c r="E34" s="240">
        <v>44047</v>
      </c>
      <c r="F34" s="241">
        <v>124961</v>
      </c>
      <c r="G34" s="99" t="s">
        <v>401</v>
      </c>
      <c r="H34" s="18"/>
      <c r="I34" s="59"/>
      <c r="J34" s="55"/>
      <c r="K34" s="52"/>
      <c r="L34" s="53"/>
      <c r="M34" s="193">
        <v>0</v>
      </c>
      <c r="N34" s="134">
        <v>0</v>
      </c>
      <c r="O34" s="27"/>
      <c r="P34" s="10">
        <v>0</v>
      </c>
      <c r="Q34" s="11">
        <f t="shared" si="1"/>
        <v>0</v>
      </c>
    </row>
    <row r="35" spans="1:17" ht="16.5" thickBot="1" x14ac:dyDescent="0.3">
      <c r="A35" s="12"/>
      <c r="B35" s="13"/>
      <c r="C35" s="62"/>
      <c r="D35" s="66"/>
      <c r="E35" s="240">
        <v>44048</v>
      </c>
      <c r="F35" s="241">
        <v>119164.7</v>
      </c>
      <c r="G35" s="99" t="s">
        <v>401</v>
      </c>
      <c r="H35" s="18"/>
      <c r="I35" s="59"/>
      <c r="J35" s="55"/>
      <c r="K35" s="52"/>
      <c r="L35" s="53"/>
      <c r="M35" s="193">
        <v>0</v>
      </c>
      <c r="N35" s="134">
        <v>0</v>
      </c>
      <c r="O35" s="27"/>
      <c r="P35" s="10"/>
      <c r="Q35" s="11"/>
    </row>
    <row r="36" spans="1:17" ht="16.5" thickBot="1" x14ac:dyDescent="0.3">
      <c r="A36" s="12"/>
      <c r="B36" s="13"/>
      <c r="C36" s="62"/>
      <c r="D36" s="66"/>
      <c r="E36" s="240">
        <v>44050</v>
      </c>
      <c r="F36" s="241">
        <v>10801.6</v>
      </c>
      <c r="G36" s="99" t="s">
        <v>403</v>
      </c>
      <c r="H36" s="18"/>
      <c r="I36" s="59"/>
      <c r="J36" s="55"/>
      <c r="K36" s="52"/>
      <c r="L36" s="53"/>
      <c r="M36" s="193">
        <v>0</v>
      </c>
      <c r="N36" s="134">
        <v>0</v>
      </c>
      <c r="O36" s="27"/>
      <c r="P36" s="10"/>
      <c r="Q36" s="11"/>
    </row>
    <row r="37" spans="1:17" ht="16.5" thickBot="1" x14ac:dyDescent="0.3">
      <c r="A37" s="12"/>
      <c r="B37" s="13"/>
      <c r="C37" s="62"/>
      <c r="D37" s="66"/>
      <c r="E37" s="240">
        <v>44053</v>
      </c>
      <c r="F37" s="241">
        <v>113020</v>
      </c>
      <c r="G37" s="99" t="s">
        <v>401</v>
      </c>
      <c r="H37" s="18"/>
      <c r="I37" s="59"/>
      <c r="J37" s="55"/>
      <c r="K37" s="52"/>
      <c r="L37" s="53"/>
      <c r="M37" s="193">
        <v>0</v>
      </c>
      <c r="N37" s="134">
        <v>0</v>
      </c>
      <c r="O37" s="27"/>
      <c r="P37" s="10"/>
      <c r="Q37" s="11"/>
    </row>
    <row r="38" spans="1:17" ht="16.5" thickBot="1" x14ac:dyDescent="0.3">
      <c r="A38" s="12"/>
      <c r="B38" s="13"/>
      <c r="C38" s="62"/>
      <c r="D38" s="66"/>
      <c r="E38" s="240">
        <v>44054</v>
      </c>
      <c r="F38" s="241">
        <v>112896</v>
      </c>
      <c r="G38" s="99" t="s">
        <v>401</v>
      </c>
      <c r="H38" s="18"/>
      <c r="I38" s="59"/>
      <c r="J38" s="55"/>
      <c r="K38" s="52"/>
      <c r="L38" s="53"/>
      <c r="M38" s="193"/>
      <c r="N38" s="134"/>
      <c r="O38" s="27"/>
      <c r="P38" s="10"/>
      <c r="Q38" s="11"/>
    </row>
    <row r="39" spans="1:17" ht="16.5" thickBot="1" x14ac:dyDescent="0.3">
      <c r="A39" s="12"/>
      <c r="B39" s="13"/>
      <c r="C39" s="62"/>
      <c r="D39" s="66"/>
      <c r="E39" s="240">
        <v>44056</v>
      </c>
      <c r="F39" s="241">
        <v>105942.3</v>
      </c>
      <c r="G39" s="99" t="s">
        <v>401</v>
      </c>
      <c r="H39" s="18"/>
      <c r="I39" s="59"/>
      <c r="J39" s="239">
        <v>44057</v>
      </c>
      <c r="K39" s="187" t="s">
        <v>5</v>
      </c>
      <c r="L39" s="26">
        <v>1499</v>
      </c>
      <c r="M39" s="193"/>
      <c r="N39" s="134"/>
      <c r="O39" s="27"/>
      <c r="P39" s="10"/>
      <c r="Q39" s="11"/>
    </row>
    <row r="40" spans="1:17" ht="16.5" thickBot="1" x14ac:dyDescent="0.3">
      <c r="A40" s="12"/>
      <c r="B40" s="13"/>
      <c r="C40" s="62"/>
      <c r="D40" s="66"/>
      <c r="E40" s="240">
        <v>44060</v>
      </c>
      <c r="F40" s="241">
        <v>101442.2</v>
      </c>
      <c r="G40" s="99" t="s">
        <v>401</v>
      </c>
      <c r="H40" s="18"/>
      <c r="I40" s="59"/>
      <c r="J40" s="239">
        <v>44046</v>
      </c>
      <c r="K40" s="188" t="s">
        <v>6</v>
      </c>
      <c r="L40" s="29">
        <v>47638</v>
      </c>
      <c r="M40" s="193">
        <v>0</v>
      </c>
      <c r="N40" s="134">
        <v>0</v>
      </c>
      <c r="O40" s="27"/>
      <c r="P40" s="10"/>
      <c r="Q40" s="11"/>
    </row>
    <row r="41" spans="1:17" ht="16.5" thickBot="1" x14ac:dyDescent="0.3">
      <c r="A41" s="12"/>
      <c r="B41" s="13"/>
      <c r="C41" s="62"/>
      <c r="D41" s="64"/>
      <c r="E41" s="240">
        <v>44062</v>
      </c>
      <c r="F41" s="241">
        <v>107238.5</v>
      </c>
      <c r="G41" s="99" t="s">
        <v>401</v>
      </c>
      <c r="H41" s="18"/>
      <c r="I41" s="59"/>
      <c r="J41" s="55"/>
      <c r="K41" s="186" t="s">
        <v>7</v>
      </c>
      <c r="L41" s="159">
        <v>0</v>
      </c>
      <c r="M41" s="193">
        <v>0</v>
      </c>
      <c r="N41" s="134">
        <v>0</v>
      </c>
      <c r="O41" s="27"/>
      <c r="P41" s="10"/>
      <c r="Q41" s="11"/>
    </row>
    <row r="42" spans="1:17" ht="16.5" thickBot="1" x14ac:dyDescent="0.3">
      <c r="A42" s="12"/>
      <c r="B42" s="13"/>
      <c r="C42" s="62"/>
      <c r="D42" s="64"/>
      <c r="E42" s="240">
        <v>44072</v>
      </c>
      <c r="F42" s="241">
        <v>13398</v>
      </c>
      <c r="G42" s="99" t="s">
        <v>403</v>
      </c>
      <c r="H42" s="18"/>
      <c r="I42" s="59"/>
      <c r="J42" s="55"/>
      <c r="K42" s="52"/>
      <c r="L42" s="53"/>
      <c r="M42" s="193">
        <v>0</v>
      </c>
      <c r="N42" s="134">
        <v>0</v>
      </c>
      <c r="O42" s="27"/>
      <c r="P42" s="10"/>
      <c r="Q42" s="11"/>
    </row>
    <row r="43" spans="1:17" ht="15.75" thickBot="1" x14ac:dyDescent="0.3">
      <c r="A43" s="12"/>
      <c r="B43" s="13"/>
      <c r="C43" s="69">
        <v>0</v>
      </c>
      <c r="D43" s="71"/>
      <c r="E43" s="240"/>
      <c r="F43" s="241"/>
      <c r="G43" s="99"/>
      <c r="H43" s="18"/>
      <c r="I43" s="72">
        <v>0</v>
      </c>
      <c r="J43" s="55"/>
      <c r="K43" s="253"/>
      <c r="L43" s="159"/>
      <c r="M43" s="22">
        <f>SUM(M4:M42)</f>
        <v>11358248.5</v>
      </c>
      <c r="N43" s="22">
        <f>SUM(N4:N42)</f>
        <v>1141974.6499999999</v>
      </c>
      <c r="O43" s="27"/>
      <c r="P43" s="22">
        <f>SUM(P4:P42)</f>
        <v>14661533.149999999</v>
      </c>
      <c r="Q43" s="22">
        <f>SUM(Q4:Q42)</f>
        <v>160481.62999999989</v>
      </c>
    </row>
    <row r="44" spans="1:17" ht="15.75" thickBot="1" x14ac:dyDescent="0.3">
      <c r="A44" s="12"/>
      <c r="B44" s="232"/>
      <c r="C44" s="233"/>
      <c r="D44" s="71"/>
      <c r="E44" s="234"/>
      <c r="F44" s="22"/>
      <c r="G44" s="42"/>
      <c r="H44" s="235"/>
      <c r="I44" s="22"/>
      <c r="J44" s="236"/>
      <c r="K44" s="254"/>
      <c r="L44" s="238"/>
      <c r="M44" s="22"/>
      <c r="N44" s="22"/>
      <c r="O44" s="27"/>
      <c r="P44" s="22"/>
      <c r="Q44" s="22"/>
    </row>
    <row r="45" spans="1:17" ht="16.5" thickBot="1" x14ac:dyDescent="0.3">
      <c r="B45" s="73" t="s">
        <v>13</v>
      </c>
      <c r="C45" s="74">
        <f>SUM(C4:C43)</f>
        <v>14501051.52</v>
      </c>
      <c r="D45" s="75"/>
      <c r="E45" s="76" t="s">
        <v>13</v>
      </c>
      <c r="F45" s="77">
        <f>SUM(F4:F44)</f>
        <v>2292524.0900000003</v>
      </c>
      <c r="G45" s="75"/>
      <c r="H45" s="78" t="s">
        <v>14</v>
      </c>
      <c r="I45" s="79">
        <f>SUM(I4:I43)</f>
        <v>395973.17999999993</v>
      </c>
      <c r="J45" s="80"/>
      <c r="K45" s="81" t="s">
        <v>15</v>
      </c>
      <c r="L45" s="82">
        <f>SUM(L6:L43)</f>
        <v>449478.33000000007</v>
      </c>
      <c r="O45" s="83"/>
      <c r="P45" s="22"/>
      <c r="Q45" s="22"/>
    </row>
    <row r="46" spans="1:17" ht="20.25" thickTop="1" thickBot="1" x14ac:dyDescent="0.3">
      <c r="C46" s="6" t="s">
        <v>4</v>
      </c>
      <c r="M46" s="277">
        <f>M43+N43</f>
        <v>12500223.15</v>
      </c>
      <c r="N46" s="278"/>
      <c r="O46" s="84"/>
      <c r="P46" s="85"/>
    </row>
    <row r="47" spans="1:17" ht="15.75" customHeight="1" x14ac:dyDescent="0.25">
      <c r="A47" s="42"/>
      <c r="B47" s="86"/>
      <c r="C47" s="4"/>
      <c r="H47" s="264" t="s">
        <v>16</v>
      </c>
      <c r="I47" s="265"/>
      <c r="J47" s="265"/>
      <c r="K47" s="266">
        <f>I45+L45</f>
        <v>845451.51</v>
      </c>
      <c r="L47" s="267"/>
      <c r="P47" s="30"/>
    </row>
    <row r="48" spans="1:17" ht="15.75" x14ac:dyDescent="0.25">
      <c r="D48" s="268" t="s">
        <v>17</v>
      </c>
      <c r="E48" s="268"/>
      <c r="F48" s="87">
        <f>C45-F45-K47</f>
        <v>11363075.92</v>
      </c>
      <c r="I48" s="88"/>
      <c r="J48" s="89"/>
      <c r="O48" s="107"/>
      <c r="P48" s="30"/>
      <c r="Q48" s="22"/>
    </row>
    <row r="49" spans="2:17" ht="22.5" customHeight="1" thickBot="1" x14ac:dyDescent="0.35">
      <c r="D49" s="296" t="s">
        <v>18</v>
      </c>
      <c r="E49" s="296"/>
      <c r="F49" s="297">
        <v>-10819780.66</v>
      </c>
      <c r="I49" s="299" t="s">
        <v>19</v>
      </c>
      <c r="J49" s="300"/>
      <c r="K49" s="272">
        <f>F50+F51</f>
        <v>1626772.9499999997</v>
      </c>
      <c r="L49" s="273"/>
      <c r="O49" s="107"/>
      <c r="P49" s="108"/>
      <c r="Q49" s="22"/>
    </row>
    <row r="50" spans="2:17" ht="20.25" thickTop="1" thickBot="1" x14ac:dyDescent="0.35">
      <c r="C50" s="7" t="s">
        <v>4</v>
      </c>
      <c r="E50" s="42" t="s">
        <v>20</v>
      </c>
      <c r="F50" s="298">
        <f>SUM(F48:F49)</f>
        <v>543295.25999999978</v>
      </c>
      <c r="H50" s="12"/>
      <c r="I50" s="91" t="s">
        <v>21</v>
      </c>
      <c r="J50" s="92"/>
      <c r="K50" s="255">
        <f>-C2</f>
        <v>-1111032.9099999999</v>
      </c>
      <c r="L50" s="256"/>
      <c r="M50" s="93"/>
      <c r="O50" s="107"/>
      <c r="P50" s="30"/>
      <c r="Q50" s="22"/>
    </row>
    <row r="51" spans="2:17" ht="20.25" thickTop="1" thickBot="1" x14ac:dyDescent="0.35">
      <c r="C51" s="185">
        <v>44073</v>
      </c>
      <c r="D51" s="257" t="s">
        <v>22</v>
      </c>
      <c r="E51" s="258"/>
      <c r="F51" s="96">
        <v>1083477.69</v>
      </c>
      <c r="I51" s="259" t="s">
        <v>564</v>
      </c>
      <c r="J51" s="260"/>
      <c r="K51" s="261">
        <f>K49+K50</f>
        <v>515740.0399999998</v>
      </c>
      <c r="L51" s="262"/>
      <c r="O51" s="107"/>
      <c r="P51" s="109"/>
      <c r="Q51" s="22"/>
    </row>
    <row r="52" spans="2:17" ht="18.75" x14ac:dyDescent="0.3">
      <c r="C52" s="97"/>
      <c r="D52" s="98"/>
      <c r="E52" s="99"/>
      <c r="F52" s="100"/>
      <c r="J52" s="101"/>
      <c r="M52" s="102"/>
      <c r="O52" s="107"/>
      <c r="P52" s="22"/>
      <c r="Q52" s="22"/>
    </row>
    <row r="53" spans="2:17" x14ac:dyDescent="0.25">
      <c r="O53" s="107"/>
      <c r="P53" s="22"/>
      <c r="Q53" s="22"/>
    </row>
    <row r="54" spans="2:17" x14ac:dyDescent="0.25">
      <c r="B54"/>
      <c r="C54"/>
      <c r="D54" s="263"/>
      <c r="E54" s="263"/>
      <c r="M54" s="103"/>
      <c r="N54" s="42"/>
      <c r="O54" s="110"/>
      <c r="P54" s="111"/>
      <c r="Q54" s="112"/>
    </row>
    <row r="55" spans="2:17" x14ac:dyDescent="0.25">
      <c r="B55"/>
      <c r="C55"/>
      <c r="M55" s="103"/>
      <c r="N55" s="42"/>
      <c r="O55" s="42"/>
      <c r="P55" s="42"/>
      <c r="Q55" s="106"/>
    </row>
    <row r="56" spans="2:17" x14ac:dyDescent="0.25">
      <c r="B56"/>
      <c r="C56"/>
      <c r="N56" s="42"/>
      <c r="O56" s="42"/>
      <c r="P56" s="42"/>
      <c r="Q56" s="106"/>
    </row>
    <row r="57" spans="2:17" x14ac:dyDescent="0.25">
      <c r="B57"/>
      <c r="C57"/>
      <c r="F57"/>
      <c r="I57"/>
      <c r="J57" s="104"/>
      <c r="K57" s="142"/>
      <c r="L57" s="226"/>
      <c r="M57" s="142"/>
      <c r="N57" s="42"/>
      <c r="O57" s="42"/>
      <c r="P57" s="42"/>
      <c r="Q57" s="106"/>
    </row>
    <row r="58" spans="2:17" x14ac:dyDescent="0.25">
      <c r="B58"/>
      <c r="C58"/>
      <c r="F58" s="105"/>
      <c r="K58" s="142"/>
      <c r="L58" s="227"/>
      <c r="M58" s="105"/>
      <c r="N58" s="42"/>
      <c r="O58" s="42"/>
      <c r="P58" s="42"/>
      <c r="Q58" s="106"/>
    </row>
    <row r="59" spans="2:17" x14ac:dyDescent="0.25">
      <c r="F59" s="22"/>
      <c r="K59" s="142"/>
      <c r="L59" s="227"/>
      <c r="M59" s="107"/>
      <c r="N59" s="42"/>
      <c r="O59" s="42"/>
      <c r="P59" s="42"/>
      <c r="Q59" s="106"/>
    </row>
    <row r="60" spans="2:17" x14ac:dyDescent="0.25">
      <c r="F60" s="22"/>
      <c r="K60" s="142"/>
      <c r="L60" s="61"/>
      <c r="M60" s="107"/>
      <c r="N60" s="42"/>
      <c r="O60" s="42"/>
      <c r="P60" s="42"/>
      <c r="Q60" s="106"/>
    </row>
    <row r="61" spans="2:17" x14ac:dyDescent="0.25">
      <c r="F61" s="22"/>
      <c r="K61" s="142"/>
      <c r="L61" s="227"/>
      <c r="M61" s="107"/>
      <c r="N61" s="42"/>
      <c r="O61" s="42"/>
      <c r="P61" s="42"/>
      <c r="Q61" s="106"/>
    </row>
    <row r="62" spans="2:17" x14ac:dyDescent="0.25">
      <c r="F62" s="22"/>
      <c r="K62" s="142"/>
      <c r="L62" s="227"/>
      <c r="M62" s="107"/>
      <c r="N62" s="42"/>
      <c r="O62" s="42"/>
      <c r="P62" s="42"/>
      <c r="Q62" s="106"/>
    </row>
    <row r="63" spans="2:17" x14ac:dyDescent="0.25">
      <c r="F63" s="22"/>
      <c r="K63" s="142"/>
      <c r="L63" s="227"/>
      <c r="M63" s="107"/>
    </row>
    <row r="64" spans="2:17" x14ac:dyDescent="0.25">
      <c r="F64" s="22"/>
      <c r="K64" s="142"/>
      <c r="L64" s="227"/>
      <c r="M64" s="107"/>
    </row>
    <row r="65" spans="6:13" x14ac:dyDescent="0.25">
      <c r="F65" s="22"/>
      <c r="K65" s="142"/>
      <c r="L65" s="223"/>
      <c r="M65" s="107"/>
    </row>
    <row r="66" spans="6:13" x14ac:dyDescent="0.25">
      <c r="F66" s="22"/>
      <c r="K66" s="142"/>
      <c r="L66" s="227"/>
      <c r="M66" s="107"/>
    </row>
    <row r="67" spans="6:13" x14ac:dyDescent="0.25">
      <c r="F67" s="22"/>
      <c r="K67" s="142"/>
      <c r="L67" s="228"/>
      <c r="M67" s="107"/>
    </row>
    <row r="68" spans="6:13" x14ac:dyDescent="0.25">
      <c r="F68" s="105"/>
      <c r="K68" s="142"/>
      <c r="L68" s="142"/>
      <c r="M68" s="107"/>
    </row>
    <row r="69" spans="6:13" x14ac:dyDescent="0.25">
      <c r="K69" s="142"/>
      <c r="L69" s="142"/>
      <c r="M69" s="107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  <row r="81" spans="13:13" x14ac:dyDescent="0.25">
      <c r="M81" s="4"/>
    </row>
  </sheetData>
  <sortState xmlns:xlrd2="http://schemas.microsoft.com/office/spreadsheetml/2017/richdata2" ref="E33:G43">
    <sortCondition ref="E33:E43"/>
  </sortState>
  <mergeCells count="17">
    <mergeCell ref="K50:L50"/>
    <mergeCell ref="D51:E51"/>
    <mergeCell ref="I51:J51"/>
    <mergeCell ref="K51:L51"/>
    <mergeCell ref="D54:E54"/>
    <mergeCell ref="H47:J47"/>
    <mergeCell ref="K47:L47"/>
    <mergeCell ref="D48:E48"/>
    <mergeCell ref="D49:E49"/>
    <mergeCell ref="I49:J49"/>
    <mergeCell ref="K49:L49"/>
    <mergeCell ref="M46:N46"/>
    <mergeCell ref="C1:K1"/>
    <mergeCell ref="D2:E2"/>
    <mergeCell ref="B3:C3"/>
    <mergeCell ref="E3:F3"/>
    <mergeCell ref="H3:I3"/>
  </mergeCells>
  <pageMargins left="0.62992125984251968" right="0.15748031496062992" top="0.31496062992125984" bottom="0.27559055118110237" header="0.31496062992125984" footer="0.31496062992125984"/>
  <pageSetup scale="67" orientation="landscape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55C6F-FDF7-4161-AF01-8BE01EC7471B}">
  <sheetPr>
    <tabColor rgb="FF7030A0"/>
  </sheetPr>
  <dimension ref="A2:K99"/>
  <sheetViews>
    <sheetView tabSelected="1" topLeftCell="A64" workbookViewId="0">
      <selection activeCell="M76" sqref="M76"/>
    </sheetView>
  </sheetViews>
  <sheetFormatPr baseColWidth="10" defaultRowHeight="15" x14ac:dyDescent="0.25"/>
  <cols>
    <col min="1" max="1" width="11.42578125" style="104"/>
    <col min="3" max="3" width="17.42578125" style="6" customWidth="1"/>
    <col min="4" max="4" width="4.5703125" customWidth="1"/>
    <col min="5" max="5" width="6" customWidth="1"/>
    <col min="6" max="7" width="11.42578125" style="42"/>
    <col min="8" max="8" width="20" style="4" customWidth="1"/>
    <col min="9" max="9" width="4.28515625" customWidth="1"/>
    <col min="10" max="11" width="11.42578125" style="142"/>
  </cols>
  <sheetData>
    <row r="2" spans="1:11" ht="15.75" thickBot="1" x14ac:dyDescent="0.3">
      <c r="A2" s="287" t="s">
        <v>26</v>
      </c>
      <c r="B2" s="288"/>
      <c r="C2" s="288"/>
      <c r="D2" s="288"/>
      <c r="F2" s="287" t="s">
        <v>26</v>
      </c>
      <c r="G2" s="288"/>
      <c r="H2" s="288"/>
      <c r="I2" s="288"/>
    </row>
    <row r="3" spans="1:11" ht="16.5" thickTop="1" thickBot="1" x14ac:dyDescent="0.3">
      <c r="A3" s="249" t="s">
        <v>27</v>
      </c>
      <c r="B3" s="121" t="s">
        <v>28</v>
      </c>
      <c r="C3" s="173" t="s">
        <v>29</v>
      </c>
      <c r="D3" s="121"/>
      <c r="E3" s="209"/>
      <c r="F3" s="212" t="s">
        <v>27</v>
      </c>
      <c r="G3" s="212" t="s">
        <v>28</v>
      </c>
      <c r="H3" s="213" t="s">
        <v>29</v>
      </c>
      <c r="I3" s="214"/>
    </row>
    <row r="4" spans="1:11" ht="15.75" thickTop="1" x14ac:dyDescent="0.25">
      <c r="A4" s="250">
        <v>44046</v>
      </c>
      <c r="B4" s="122" t="s">
        <v>418</v>
      </c>
      <c r="C4" s="174">
        <v>9988</v>
      </c>
      <c r="D4" s="157"/>
      <c r="E4" s="209"/>
      <c r="F4" s="247">
        <v>44061</v>
      </c>
      <c r="G4" s="122" t="s">
        <v>502</v>
      </c>
      <c r="H4" s="174">
        <v>93386.3</v>
      </c>
      <c r="I4" s="215"/>
      <c r="J4" s="219"/>
      <c r="K4" s="219"/>
    </row>
    <row r="5" spans="1:11" x14ac:dyDescent="0.25">
      <c r="A5" s="250">
        <v>44046</v>
      </c>
      <c r="B5" s="122" t="s">
        <v>419</v>
      </c>
      <c r="C5" s="174">
        <v>125405.4</v>
      </c>
      <c r="D5" s="157"/>
      <c r="E5" s="209"/>
      <c r="F5" s="247">
        <v>44061</v>
      </c>
      <c r="G5" s="122" t="s">
        <v>503</v>
      </c>
      <c r="H5" s="174">
        <v>60233.96</v>
      </c>
      <c r="I5" s="215"/>
      <c r="J5" s="219"/>
      <c r="K5" s="219"/>
    </row>
    <row r="6" spans="1:11" x14ac:dyDescent="0.25">
      <c r="A6" s="250">
        <v>44046</v>
      </c>
      <c r="B6" s="122" t="s">
        <v>420</v>
      </c>
      <c r="C6" s="174">
        <v>23090</v>
      </c>
      <c r="D6" s="157"/>
      <c r="E6" s="209"/>
      <c r="F6" s="247">
        <v>44062</v>
      </c>
      <c r="G6" s="122" t="s">
        <v>504</v>
      </c>
      <c r="H6" s="174">
        <v>72072.3</v>
      </c>
      <c r="I6" s="215"/>
      <c r="J6" s="219"/>
      <c r="K6" s="219"/>
    </row>
    <row r="7" spans="1:11" x14ac:dyDescent="0.25">
      <c r="A7" s="250">
        <v>44046</v>
      </c>
      <c r="B7" s="122" t="s">
        <v>421</v>
      </c>
      <c r="C7" s="174">
        <v>189788.1</v>
      </c>
      <c r="D7" s="157"/>
      <c r="E7" s="209"/>
      <c r="F7" s="247">
        <v>44062</v>
      </c>
      <c r="G7" s="122" t="s">
        <v>505</v>
      </c>
      <c r="H7" s="174">
        <v>215393.4</v>
      </c>
      <c r="I7" s="215"/>
      <c r="J7" s="219"/>
      <c r="K7" s="219"/>
    </row>
    <row r="8" spans="1:11" x14ac:dyDescent="0.25">
      <c r="A8" s="250">
        <v>44046</v>
      </c>
      <c r="B8" s="122" t="s">
        <v>422</v>
      </c>
      <c r="C8" s="174">
        <v>84951</v>
      </c>
      <c r="D8" s="157"/>
      <c r="E8" s="209"/>
      <c r="F8" s="247">
        <v>44062</v>
      </c>
      <c r="G8" s="122" t="s">
        <v>506</v>
      </c>
      <c r="H8" s="174">
        <v>82641.600000000006</v>
      </c>
      <c r="I8" s="215"/>
      <c r="J8" s="219"/>
      <c r="K8" s="219"/>
    </row>
    <row r="9" spans="1:11" x14ac:dyDescent="0.25">
      <c r="A9" s="250">
        <v>44046</v>
      </c>
      <c r="B9" s="122" t="s">
        <v>423</v>
      </c>
      <c r="C9" s="174">
        <v>123514.3</v>
      </c>
      <c r="D9" s="157"/>
      <c r="E9" s="209"/>
      <c r="F9" s="247">
        <v>44063</v>
      </c>
      <c r="G9" s="122" t="s">
        <v>507</v>
      </c>
      <c r="H9" s="174">
        <v>278007.28000000003</v>
      </c>
      <c r="I9" s="215"/>
      <c r="J9" s="219"/>
      <c r="K9" s="219"/>
    </row>
    <row r="10" spans="1:11" x14ac:dyDescent="0.25">
      <c r="A10" s="250">
        <v>44046</v>
      </c>
      <c r="B10" s="122" t="s">
        <v>424</v>
      </c>
      <c r="C10" s="174">
        <v>23278.1</v>
      </c>
      <c r="D10" s="157"/>
      <c r="E10" s="209"/>
      <c r="F10" s="247">
        <v>44063</v>
      </c>
      <c r="G10" s="122" t="s">
        <v>508</v>
      </c>
      <c r="H10" s="174">
        <v>73879.399999999994</v>
      </c>
      <c r="I10" s="215"/>
      <c r="J10" s="219"/>
      <c r="K10" s="219"/>
    </row>
    <row r="11" spans="1:11" x14ac:dyDescent="0.25">
      <c r="A11" s="250">
        <v>44047</v>
      </c>
      <c r="B11" s="122" t="s">
        <v>425</v>
      </c>
      <c r="C11" s="174">
        <v>127567.32</v>
      </c>
      <c r="D11" s="157"/>
      <c r="E11" s="209"/>
      <c r="F11" s="247">
        <v>44063</v>
      </c>
      <c r="G11" s="122" t="s">
        <v>509</v>
      </c>
      <c r="H11" s="174">
        <v>16227</v>
      </c>
      <c r="I11" s="215"/>
      <c r="J11" s="219"/>
      <c r="K11" s="219"/>
    </row>
    <row r="12" spans="1:11" x14ac:dyDescent="0.25">
      <c r="A12" s="250">
        <v>44047</v>
      </c>
      <c r="B12" s="122" t="s">
        <v>426</v>
      </c>
      <c r="C12" s="174">
        <v>92097.600000000006</v>
      </c>
      <c r="D12" s="157"/>
      <c r="E12" s="209"/>
      <c r="F12" s="247">
        <v>44063</v>
      </c>
      <c r="G12" s="122" t="s">
        <v>510</v>
      </c>
      <c r="H12" s="174">
        <v>27126</v>
      </c>
      <c r="I12" s="215"/>
      <c r="J12" s="219"/>
      <c r="K12" s="219"/>
    </row>
    <row r="13" spans="1:11" x14ac:dyDescent="0.25">
      <c r="A13" s="250">
        <v>44047</v>
      </c>
      <c r="B13" s="122" t="s">
        <v>427</v>
      </c>
      <c r="C13" s="174">
        <v>80446.850000000006</v>
      </c>
      <c r="D13" s="157"/>
      <c r="E13" s="209"/>
      <c r="F13" s="247">
        <v>44063</v>
      </c>
      <c r="G13" s="122" t="s">
        <v>511</v>
      </c>
      <c r="H13" s="174">
        <v>28682</v>
      </c>
      <c r="I13" s="215"/>
      <c r="J13" s="219"/>
      <c r="K13" s="219"/>
    </row>
    <row r="14" spans="1:11" x14ac:dyDescent="0.25">
      <c r="A14" s="250">
        <v>44047</v>
      </c>
      <c r="B14" s="122" t="s">
        <v>428</v>
      </c>
      <c r="C14" s="174">
        <v>9108</v>
      </c>
      <c r="D14" s="157"/>
      <c r="E14" s="209"/>
      <c r="F14" s="247">
        <v>44064</v>
      </c>
      <c r="G14" s="122" t="s">
        <v>512</v>
      </c>
      <c r="H14" s="174">
        <v>124514.84</v>
      </c>
      <c r="I14" s="215"/>
      <c r="J14" s="219"/>
      <c r="K14" s="219"/>
    </row>
    <row r="15" spans="1:11" x14ac:dyDescent="0.25">
      <c r="A15" s="250">
        <v>44048</v>
      </c>
      <c r="B15" s="122" t="s">
        <v>429</v>
      </c>
      <c r="C15" s="174">
        <v>73094.039999999994</v>
      </c>
      <c r="D15" s="157"/>
      <c r="E15" s="209"/>
      <c r="F15" s="247">
        <v>44064</v>
      </c>
      <c r="G15" s="122" t="s">
        <v>513</v>
      </c>
      <c r="H15" s="174">
        <v>165915.4</v>
      </c>
      <c r="I15" s="215"/>
      <c r="J15" s="219"/>
      <c r="K15" s="219"/>
    </row>
    <row r="16" spans="1:11" x14ac:dyDescent="0.25">
      <c r="A16" s="250">
        <v>44048</v>
      </c>
      <c r="B16" s="122" t="s">
        <v>430</v>
      </c>
      <c r="C16" s="174">
        <v>10120</v>
      </c>
      <c r="D16" s="157"/>
      <c r="E16" s="209"/>
      <c r="F16" s="247">
        <v>44064</v>
      </c>
      <c r="G16" s="122" t="s">
        <v>514</v>
      </c>
      <c r="H16" s="174">
        <v>33919.599999999999</v>
      </c>
      <c r="I16" s="216"/>
      <c r="J16" s="221"/>
      <c r="K16" s="221"/>
    </row>
    <row r="17" spans="1:11" x14ac:dyDescent="0.25">
      <c r="A17" s="250">
        <v>44048</v>
      </c>
      <c r="B17" s="122" t="s">
        <v>431</v>
      </c>
      <c r="C17" s="174">
        <v>1171.2</v>
      </c>
      <c r="D17" s="157"/>
      <c r="E17" s="209"/>
      <c r="F17" s="247">
        <v>44064</v>
      </c>
      <c r="G17" s="122" t="s">
        <v>515</v>
      </c>
      <c r="H17" s="174">
        <v>5869.6</v>
      </c>
      <c r="I17" s="215"/>
      <c r="J17" s="219"/>
      <c r="K17" s="219"/>
    </row>
    <row r="18" spans="1:11" x14ac:dyDescent="0.25">
      <c r="A18" s="250">
        <v>44048</v>
      </c>
      <c r="B18" s="122" t="s">
        <v>432</v>
      </c>
      <c r="C18" s="174">
        <v>65982.399999999994</v>
      </c>
      <c r="D18" s="157"/>
      <c r="E18" s="209"/>
      <c r="F18" s="247">
        <v>44064</v>
      </c>
      <c r="G18" s="122" t="s">
        <v>516</v>
      </c>
      <c r="H18" s="174">
        <v>19093.8</v>
      </c>
      <c r="I18" s="216"/>
      <c r="J18" s="221"/>
      <c r="K18" s="221"/>
    </row>
    <row r="19" spans="1:11" x14ac:dyDescent="0.25">
      <c r="A19" s="250">
        <v>44048</v>
      </c>
      <c r="B19" s="122" t="s">
        <v>433</v>
      </c>
      <c r="C19" s="174">
        <v>22932.7</v>
      </c>
      <c r="D19" s="157"/>
      <c r="E19" s="209"/>
      <c r="F19" s="247">
        <v>44065</v>
      </c>
      <c r="G19" s="122" t="s">
        <v>517</v>
      </c>
      <c r="H19" s="174">
        <v>84362.6</v>
      </c>
      <c r="I19" s="215"/>
      <c r="J19" s="219"/>
      <c r="K19" s="219"/>
    </row>
    <row r="20" spans="1:11" x14ac:dyDescent="0.25">
      <c r="A20" s="250">
        <v>44048</v>
      </c>
      <c r="B20" s="122" t="s">
        <v>434</v>
      </c>
      <c r="C20" s="174">
        <v>92574</v>
      </c>
      <c r="D20" s="157"/>
      <c r="E20" s="209"/>
      <c r="F20" s="247">
        <v>44065</v>
      </c>
      <c r="G20" s="122" t="s">
        <v>518</v>
      </c>
      <c r="H20" s="174">
        <v>228909.2</v>
      </c>
      <c r="I20" s="215"/>
      <c r="J20" s="219"/>
      <c r="K20" s="219"/>
    </row>
    <row r="21" spans="1:11" x14ac:dyDescent="0.25">
      <c r="A21" s="250">
        <v>44048</v>
      </c>
      <c r="B21" s="122" t="s">
        <v>435</v>
      </c>
      <c r="C21" s="174">
        <v>95828.6</v>
      </c>
      <c r="D21" s="157"/>
      <c r="E21" s="209"/>
      <c r="F21" s="247">
        <v>44065</v>
      </c>
      <c r="G21" s="122" t="s">
        <v>519</v>
      </c>
      <c r="H21" s="174">
        <v>148840</v>
      </c>
      <c r="I21" s="216"/>
      <c r="J21" s="221"/>
      <c r="K21" s="221"/>
    </row>
    <row r="22" spans="1:11" x14ac:dyDescent="0.25">
      <c r="A22" s="250">
        <v>44048</v>
      </c>
      <c r="B22" s="122" t="s">
        <v>436</v>
      </c>
      <c r="C22" s="176">
        <v>0</v>
      </c>
      <c r="D22" s="157"/>
      <c r="E22" s="209"/>
      <c r="F22" s="247">
        <v>44065</v>
      </c>
      <c r="G22" s="122" t="s">
        <v>520</v>
      </c>
      <c r="H22" s="174">
        <v>97931.199999999997</v>
      </c>
      <c r="I22" s="215"/>
      <c r="J22" s="219"/>
      <c r="K22" s="219"/>
    </row>
    <row r="23" spans="1:11" x14ac:dyDescent="0.25">
      <c r="A23" s="250">
        <v>44049</v>
      </c>
      <c r="B23" s="122" t="s">
        <v>437</v>
      </c>
      <c r="C23" s="174">
        <v>171141.14</v>
      </c>
      <c r="D23" s="157"/>
      <c r="E23" s="209"/>
      <c r="F23" s="247">
        <v>44065</v>
      </c>
      <c r="G23" s="122" t="s">
        <v>521</v>
      </c>
      <c r="H23" s="174">
        <v>98197.08</v>
      </c>
      <c r="I23" s="215"/>
      <c r="J23" s="219"/>
      <c r="K23" s="219"/>
    </row>
    <row r="24" spans="1:11" x14ac:dyDescent="0.25">
      <c r="A24" s="250">
        <v>44049</v>
      </c>
      <c r="B24" s="122" t="s">
        <v>438</v>
      </c>
      <c r="C24" s="174">
        <v>145996.70000000001</v>
      </c>
      <c r="D24" s="157"/>
      <c r="E24" s="209"/>
      <c r="F24" s="247">
        <v>44065</v>
      </c>
      <c r="G24" s="122" t="s">
        <v>522</v>
      </c>
      <c r="H24" s="174">
        <v>65358.6</v>
      </c>
      <c r="I24" s="215"/>
      <c r="J24" s="219"/>
      <c r="K24" s="219"/>
    </row>
    <row r="25" spans="1:11" x14ac:dyDescent="0.25">
      <c r="A25" s="250">
        <v>44049</v>
      </c>
      <c r="B25" s="122" t="s">
        <v>439</v>
      </c>
      <c r="C25" s="174">
        <v>77261.8</v>
      </c>
      <c r="D25" s="157"/>
      <c r="E25" s="209"/>
      <c r="F25" s="247">
        <v>44065</v>
      </c>
      <c r="G25" s="122" t="s">
        <v>523</v>
      </c>
      <c r="H25" s="174">
        <v>86712.5</v>
      </c>
      <c r="I25" s="215"/>
      <c r="J25" s="219"/>
      <c r="K25" s="219"/>
    </row>
    <row r="26" spans="1:11" x14ac:dyDescent="0.25">
      <c r="A26" s="250">
        <v>44049</v>
      </c>
      <c r="B26" s="122" t="s">
        <v>440</v>
      </c>
      <c r="C26" s="174">
        <v>21918.6</v>
      </c>
      <c r="D26" s="157"/>
      <c r="E26" s="209"/>
      <c r="F26" s="247">
        <v>44066</v>
      </c>
      <c r="G26" s="122" t="s">
        <v>524</v>
      </c>
      <c r="H26" s="174">
        <v>72912.399999999994</v>
      </c>
      <c r="I26" s="215"/>
      <c r="J26" s="219"/>
      <c r="K26" s="219"/>
    </row>
    <row r="27" spans="1:11" x14ac:dyDescent="0.25">
      <c r="A27" s="250">
        <v>44049</v>
      </c>
      <c r="B27" s="122" t="s">
        <v>441</v>
      </c>
      <c r="C27" s="174">
        <v>63884.2</v>
      </c>
      <c r="D27" s="157"/>
      <c r="E27" s="209"/>
      <c r="F27" s="247">
        <v>44067</v>
      </c>
      <c r="G27" s="122" t="s">
        <v>525</v>
      </c>
      <c r="H27" s="174">
        <v>6099</v>
      </c>
      <c r="I27" s="215"/>
      <c r="J27" s="219"/>
      <c r="K27" s="219"/>
    </row>
    <row r="28" spans="1:11" x14ac:dyDescent="0.25">
      <c r="A28" s="250">
        <v>44049</v>
      </c>
      <c r="B28" s="122" t="s">
        <v>442</v>
      </c>
      <c r="C28" s="174">
        <v>18141.2</v>
      </c>
      <c r="D28" s="157"/>
      <c r="E28" s="209"/>
      <c r="F28" s="247">
        <v>44067</v>
      </c>
      <c r="G28" s="122" t="s">
        <v>526</v>
      </c>
      <c r="H28" s="174">
        <v>166782</v>
      </c>
      <c r="I28" s="215"/>
      <c r="J28" s="219"/>
      <c r="K28" s="219"/>
    </row>
    <row r="29" spans="1:11" x14ac:dyDescent="0.25">
      <c r="A29" s="251">
        <v>44050</v>
      </c>
      <c r="B29" s="248" t="s">
        <v>443</v>
      </c>
      <c r="C29" s="179">
        <v>10238.4</v>
      </c>
      <c r="D29" s="157"/>
      <c r="E29" s="209"/>
      <c r="F29" s="247">
        <v>44067</v>
      </c>
      <c r="G29" s="122" t="s">
        <v>527</v>
      </c>
      <c r="H29" s="174">
        <v>83525.600000000006</v>
      </c>
      <c r="I29" s="215"/>
      <c r="J29" s="219"/>
      <c r="K29" s="219"/>
    </row>
    <row r="30" spans="1:11" x14ac:dyDescent="0.25">
      <c r="A30" s="251">
        <v>44050</v>
      </c>
      <c r="B30" s="248" t="s">
        <v>444</v>
      </c>
      <c r="C30" s="179">
        <v>70422</v>
      </c>
      <c r="D30" s="157"/>
      <c r="E30" s="209"/>
      <c r="F30" s="247">
        <v>44067</v>
      </c>
      <c r="G30" s="122" t="s">
        <v>528</v>
      </c>
      <c r="H30" s="174">
        <v>103133</v>
      </c>
      <c r="I30" s="215"/>
      <c r="J30" s="219"/>
      <c r="K30" s="219"/>
    </row>
    <row r="31" spans="1:11" x14ac:dyDescent="0.25">
      <c r="A31" s="251">
        <v>44050</v>
      </c>
      <c r="B31" s="248" t="s">
        <v>445</v>
      </c>
      <c r="C31" s="179">
        <v>25000.080000000002</v>
      </c>
      <c r="D31" s="157"/>
      <c r="E31" s="209"/>
      <c r="F31" s="247">
        <v>44068</v>
      </c>
      <c r="G31" s="122" t="s">
        <v>529</v>
      </c>
      <c r="H31" s="176">
        <v>0</v>
      </c>
      <c r="I31" s="215"/>
      <c r="J31" s="219"/>
      <c r="K31" s="219"/>
    </row>
    <row r="32" spans="1:11" x14ac:dyDescent="0.25">
      <c r="A32" s="250">
        <v>44050</v>
      </c>
      <c r="B32" s="122" t="s">
        <v>446</v>
      </c>
      <c r="C32" s="174">
        <v>168068.12</v>
      </c>
      <c r="D32" s="157"/>
      <c r="E32" s="209"/>
      <c r="F32" s="247">
        <v>44068</v>
      </c>
      <c r="G32" s="122" t="s">
        <v>530</v>
      </c>
      <c r="H32" s="174">
        <v>84104.2</v>
      </c>
      <c r="I32" s="215"/>
      <c r="J32" s="219"/>
      <c r="K32" s="219"/>
    </row>
    <row r="33" spans="1:11" x14ac:dyDescent="0.25">
      <c r="A33" s="250">
        <v>44050</v>
      </c>
      <c r="B33" s="122" t="s">
        <v>447</v>
      </c>
      <c r="C33" s="174">
        <v>31459.4</v>
      </c>
      <c r="D33" s="157"/>
      <c r="E33" s="209"/>
      <c r="F33" s="247">
        <v>44068</v>
      </c>
      <c r="G33" s="122" t="s">
        <v>531</v>
      </c>
      <c r="H33" s="174">
        <v>95799.3</v>
      </c>
      <c r="I33" s="215"/>
      <c r="J33" s="219"/>
      <c r="K33" s="219"/>
    </row>
    <row r="34" spans="1:11" x14ac:dyDescent="0.25">
      <c r="A34" s="250">
        <v>44051</v>
      </c>
      <c r="B34" s="122" t="s">
        <v>448</v>
      </c>
      <c r="C34" s="174">
        <v>104666.08</v>
      </c>
      <c r="D34" s="157"/>
      <c r="E34" s="209"/>
      <c r="F34" s="247">
        <v>44068</v>
      </c>
      <c r="G34" s="122" t="s">
        <v>532</v>
      </c>
      <c r="H34" s="174">
        <v>44919</v>
      </c>
      <c r="I34" s="215"/>
      <c r="J34" s="219"/>
      <c r="K34" s="219"/>
    </row>
    <row r="35" spans="1:11" x14ac:dyDescent="0.25">
      <c r="A35" s="250">
        <v>44051</v>
      </c>
      <c r="B35" s="122" t="s">
        <v>449</v>
      </c>
      <c r="C35" s="174">
        <v>174313.9</v>
      </c>
      <c r="D35" s="157"/>
      <c r="E35" s="209"/>
      <c r="F35" s="247">
        <v>44069</v>
      </c>
      <c r="G35" s="122" t="s">
        <v>533</v>
      </c>
      <c r="H35" s="174">
        <v>34399.18</v>
      </c>
      <c r="I35" s="215"/>
      <c r="J35" s="219"/>
      <c r="K35" s="219"/>
    </row>
    <row r="36" spans="1:11" x14ac:dyDescent="0.25">
      <c r="A36" s="250">
        <v>44051</v>
      </c>
      <c r="B36" s="122" t="s">
        <v>450</v>
      </c>
      <c r="C36" s="174">
        <v>86067.8</v>
      </c>
      <c r="D36" s="157"/>
      <c r="E36" s="209"/>
      <c r="F36" s="247">
        <v>44069</v>
      </c>
      <c r="G36" s="122" t="s">
        <v>534</v>
      </c>
      <c r="H36" s="174">
        <v>236608.7</v>
      </c>
      <c r="I36" s="215"/>
      <c r="J36" s="219"/>
      <c r="K36" s="219"/>
    </row>
    <row r="37" spans="1:11" x14ac:dyDescent="0.25">
      <c r="A37" s="250">
        <v>44051</v>
      </c>
      <c r="B37" s="122" t="s">
        <v>451</v>
      </c>
      <c r="C37" s="174">
        <v>97921.600000000006</v>
      </c>
      <c r="D37" s="157"/>
      <c r="E37" s="209"/>
      <c r="F37" s="247">
        <v>44069</v>
      </c>
      <c r="G37" s="122" t="s">
        <v>535</v>
      </c>
      <c r="H37" s="174">
        <v>91362.06</v>
      </c>
      <c r="I37" s="215"/>
      <c r="J37" s="219"/>
      <c r="K37" s="219"/>
    </row>
    <row r="38" spans="1:11" x14ac:dyDescent="0.25">
      <c r="A38" s="250">
        <v>44051</v>
      </c>
      <c r="B38" s="122" t="s">
        <v>452</v>
      </c>
      <c r="C38" s="174">
        <v>103623.5</v>
      </c>
      <c r="D38" s="157"/>
      <c r="E38" s="209"/>
      <c r="F38" s="247">
        <v>44069</v>
      </c>
      <c r="G38" s="122" t="s">
        <v>536</v>
      </c>
      <c r="H38" s="174">
        <v>77135.100000000006</v>
      </c>
      <c r="I38" s="215"/>
      <c r="J38" s="219"/>
      <c r="K38" s="219"/>
    </row>
    <row r="39" spans="1:11" x14ac:dyDescent="0.25">
      <c r="A39" s="250">
        <v>44051</v>
      </c>
      <c r="B39" s="122" t="s">
        <v>453</v>
      </c>
      <c r="C39" s="174">
        <v>167705.98000000001</v>
      </c>
      <c r="D39" s="157"/>
      <c r="E39" s="209"/>
      <c r="F39" s="247">
        <v>44069</v>
      </c>
      <c r="G39" s="122" t="s">
        <v>537</v>
      </c>
      <c r="H39" s="174">
        <v>31507.200000000001</v>
      </c>
      <c r="I39" s="215"/>
      <c r="J39" s="219"/>
      <c r="K39" s="219"/>
    </row>
    <row r="40" spans="1:11" x14ac:dyDescent="0.25">
      <c r="A40" s="250">
        <v>44053</v>
      </c>
      <c r="B40" s="122" t="s">
        <v>454</v>
      </c>
      <c r="C40" s="174">
        <v>149387.79999999999</v>
      </c>
      <c r="D40" s="157"/>
      <c r="E40" s="209"/>
      <c r="F40" s="247">
        <v>44069</v>
      </c>
      <c r="G40" s="122" t="s">
        <v>538</v>
      </c>
      <c r="H40" s="174">
        <v>1276.8</v>
      </c>
      <c r="I40" s="215"/>
      <c r="J40" s="219"/>
      <c r="K40" s="219"/>
    </row>
    <row r="41" spans="1:11" x14ac:dyDescent="0.25">
      <c r="A41" s="250">
        <v>44053</v>
      </c>
      <c r="B41" s="122" t="s">
        <v>455</v>
      </c>
      <c r="C41" s="174">
        <v>44175.3</v>
      </c>
      <c r="D41" s="157"/>
      <c r="E41" s="209"/>
      <c r="F41" s="247">
        <v>44070</v>
      </c>
      <c r="G41" s="122" t="s">
        <v>539</v>
      </c>
      <c r="H41" s="174">
        <v>96327</v>
      </c>
      <c r="I41" s="215"/>
      <c r="J41" s="219"/>
      <c r="K41" s="219"/>
    </row>
    <row r="42" spans="1:11" x14ac:dyDescent="0.25">
      <c r="A42" s="250">
        <v>44053</v>
      </c>
      <c r="B42" s="122" t="s">
        <v>456</v>
      </c>
      <c r="C42" s="174">
        <v>4264.8</v>
      </c>
      <c r="D42" s="157"/>
      <c r="E42" s="209"/>
      <c r="F42" s="247">
        <v>44070</v>
      </c>
      <c r="G42" s="122" t="s">
        <v>540</v>
      </c>
      <c r="H42" s="174">
        <v>60134.1</v>
      </c>
      <c r="I42" s="215"/>
      <c r="J42" s="219"/>
      <c r="K42" s="219"/>
    </row>
    <row r="43" spans="1:11" x14ac:dyDescent="0.25">
      <c r="A43" s="250">
        <v>44053</v>
      </c>
      <c r="B43" s="122" t="s">
        <v>457</v>
      </c>
      <c r="C43" s="174">
        <v>5680</v>
      </c>
      <c r="D43" s="157"/>
      <c r="E43" s="209"/>
      <c r="F43" s="247">
        <v>44070</v>
      </c>
      <c r="G43" s="122" t="s">
        <v>541</v>
      </c>
      <c r="H43" s="174">
        <v>73647.8</v>
      </c>
      <c r="I43" s="216"/>
      <c r="J43" s="221"/>
      <c r="K43" s="221"/>
    </row>
    <row r="44" spans="1:11" x14ac:dyDescent="0.25">
      <c r="A44" s="250">
        <v>44053</v>
      </c>
      <c r="B44" s="122" t="s">
        <v>458</v>
      </c>
      <c r="C44" s="174">
        <v>11718.4</v>
      </c>
      <c r="D44" s="157"/>
      <c r="E44" s="209"/>
      <c r="F44" s="247">
        <v>44070</v>
      </c>
      <c r="G44" s="122" t="s">
        <v>542</v>
      </c>
      <c r="H44" s="174">
        <v>1354</v>
      </c>
      <c r="I44" s="215"/>
      <c r="J44" s="219"/>
      <c r="K44" s="219"/>
    </row>
    <row r="45" spans="1:11" x14ac:dyDescent="0.25">
      <c r="A45" s="250">
        <v>44054</v>
      </c>
      <c r="B45" s="122" t="s">
        <v>459</v>
      </c>
      <c r="C45" s="174">
        <v>100529.9</v>
      </c>
      <c r="D45" s="157"/>
      <c r="E45" s="209"/>
      <c r="F45" s="247">
        <v>44071</v>
      </c>
      <c r="G45" s="122" t="s">
        <v>543</v>
      </c>
      <c r="H45" s="174">
        <v>11673</v>
      </c>
      <c r="I45" s="215"/>
      <c r="J45" s="219"/>
      <c r="K45" s="219"/>
    </row>
    <row r="46" spans="1:11" x14ac:dyDescent="0.25">
      <c r="A46" s="250">
        <v>44054</v>
      </c>
      <c r="B46" s="122" t="s">
        <v>460</v>
      </c>
      <c r="C46" s="174">
        <v>76902.8</v>
      </c>
      <c r="D46" s="157"/>
      <c r="E46" s="209"/>
      <c r="F46" s="247">
        <v>44071</v>
      </c>
      <c r="G46" s="122" t="s">
        <v>544</v>
      </c>
      <c r="H46" s="174">
        <v>103202.7</v>
      </c>
      <c r="I46" s="215"/>
      <c r="J46" s="219"/>
      <c r="K46" s="219"/>
    </row>
    <row r="47" spans="1:11" x14ac:dyDescent="0.25">
      <c r="A47" s="250">
        <v>44054</v>
      </c>
      <c r="B47" s="122" t="s">
        <v>461</v>
      </c>
      <c r="C47" s="174">
        <v>41480</v>
      </c>
      <c r="D47" s="157"/>
      <c r="E47" s="209"/>
      <c r="F47" s="247">
        <v>44071</v>
      </c>
      <c r="G47" s="122" t="s">
        <v>545</v>
      </c>
      <c r="H47" s="174">
        <v>123828.4</v>
      </c>
      <c r="I47" s="215"/>
      <c r="J47" s="219"/>
      <c r="K47" s="219"/>
    </row>
    <row r="48" spans="1:11" x14ac:dyDescent="0.25">
      <c r="A48" s="250">
        <v>44054</v>
      </c>
      <c r="B48" s="122" t="s">
        <v>462</v>
      </c>
      <c r="C48" s="174">
        <v>37288.300000000003</v>
      </c>
      <c r="D48" s="157"/>
      <c r="E48" s="209"/>
      <c r="F48" s="247">
        <v>44071</v>
      </c>
      <c r="G48" s="122" t="s">
        <v>546</v>
      </c>
      <c r="H48" s="174">
        <v>50934.400000000001</v>
      </c>
      <c r="I48" s="215"/>
      <c r="J48" s="219"/>
      <c r="K48" s="219"/>
    </row>
    <row r="49" spans="1:11" x14ac:dyDescent="0.25">
      <c r="A49" s="250">
        <v>44055</v>
      </c>
      <c r="B49" s="122" t="s">
        <v>463</v>
      </c>
      <c r="C49" s="174">
        <v>77724</v>
      </c>
      <c r="D49" s="157"/>
      <c r="E49" s="209"/>
      <c r="F49" s="247">
        <v>44071</v>
      </c>
      <c r="G49" s="122" t="s">
        <v>547</v>
      </c>
      <c r="H49" s="174">
        <v>60966</v>
      </c>
      <c r="I49" s="215"/>
      <c r="J49" s="219"/>
      <c r="K49" s="219"/>
    </row>
    <row r="50" spans="1:11" x14ac:dyDescent="0.25">
      <c r="A50" s="250">
        <v>44055</v>
      </c>
      <c r="B50" s="122" t="s">
        <v>464</v>
      </c>
      <c r="C50" s="174">
        <v>54862.1</v>
      </c>
      <c r="D50" s="157"/>
      <c r="E50" s="209"/>
      <c r="F50" s="247">
        <v>44071</v>
      </c>
      <c r="G50" s="122" t="s">
        <v>548</v>
      </c>
      <c r="H50" s="174">
        <v>31047.84</v>
      </c>
      <c r="I50" s="215"/>
      <c r="J50" s="219"/>
      <c r="K50" s="219"/>
    </row>
    <row r="51" spans="1:11" x14ac:dyDescent="0.25">
      <c r="A51" s="250">
        <v>44055</v>
      </c>
      <c r="B51" s="122" t="s">
        <v>465</v>
      </c>
      <c r="C51" s="174">
        <v>54275.1</v>
      </c>
      <c r="D51" s="157"/>
      <c r="E51" s="209"/>
      <c r="F51" s="247">
        <v>44071</v>
      </c>
      <c r="G51" s="122" t="s">
        <v>549</v>
      </c>
      <c r="H51" s="174">
        <v>20000.05</v>
      </c>
      <c r="I51" s="215"/>
      <c r="J51" s="219"/>
      <c r="K51" s="219"/>
    </row>
    <row r="52" spans="1:11" x14ac:dyDescent="0.25">
      <c r="A52" s="250">
        <v>44055</v>
      </c>
      <c r="B52" s="122" t="s">
        <v>466</v>
      </c>
      <c r="C52" s="174">
        <v>4807.3999999999996</v>
      </c>
      <c r="D52" s="157"/>
      <c r="E52" s="209"/>
      <c r="F52" s="247">
        <v>44071</v>
      </c>
      <c r="G52" s="122" t="s">
        <v>550</v>
      </c>
      <c r="H52" s="174">
        <v>84191.4</v>
      </c>
      <c r="I52" s="215"/>
      <c r="J52" s="219"/>
      <c r="K52" s="219"/>
    </row>
    <row r="53" spans="1:11" x14ac:dyDescent="0.25">
      <c r="A53" s="250">
        <v>44055</v>
      </c>
      <c r="B53" s="122" t="s">
        <v>467</v>
      </c>
      <c r="C53" s="174">
        <v>67249</v>
      </c>
      <c r="D53" s="157"/>
      <c r="E53" s="209"/>
      <c r="F53" s="247">
        <v>44071</v>
      </c>
      <c r="G53" s="122" t="s">
        <v>551</v>
      </c>
      <c r="H53" s="176">
        <v>0</v>
      </c>
      <c r="I53" s="215"/>
      <c r="J53" s="219"/>
      <c r="K53" s="219"/>
    </row>
    <row r="54" spans="1:11" x14ac:dyDescent="0.25">
      <c r="A54" s="250">
        <v>44055</v>
      </c>
      <c r="B54" s="122" t="s">
        <v>468</v>
      </c>
      <c r="C54" s="174">
        <v>16984.400000000001</v>
      </c>
      <c r="D54" s="157"/>
      <c r="E54" s="209"/>
      <c r="F54" s="247">
        <v>44071</v>
      </c>
      <c r="G54" s="122" t="s">
        <v>552</v>
      </c>
      <c r="H54" s="176">
        <v>0</v>
      </c>
      <c r="I54" s="217"/>
      <c r="J54" s="222"/>
      <c r="K54" s="222"/>
    </row>
    <row r="55" spans="1:11" x14ac:dyDescent="0.25">
      <c r="A55" s="250">
        <v>44056</v>
      </c>
      <c r="B55" s="122" t="s">
        <v>469</v>
      </c>
      <c r="C55" s="174">
        <v>90114</v>
      </c>
      <c r="D55" s="157"/>
      <c r="E55" s="209"/>
      <c r="F55" s="247">
        <v>44072</v>
      </c>
      <c r="G55" s="122" t="s">
        <v>553</v>
      </c>
      <c r="H55" s="174">
        <v>77559.399999999994</v>
      </c>
      <c r="I55" s="218"/>
      <c r="J55" s="222"/>
      <c r="K55" s="222"/>
    </row>
    <row r="56" spans="1:11" x14ac:dyDescent="0.25">
      <c r="A56" s="250">
        <v>44056</v>
      </c>
      <c r="B56" s="122" t="s">
        <v>470</v>
      </c>
      <c r="C56" s="174">
        <v>136629.64000000001</v>
      </c>
      <c r="D56" s="157"/>
      <c r="E56" s="209"/>
      <c r="F56" s="247">
        <v>44072</v>
      </c>
      <c r="G56" s="122" t="s">
        <v>554</v>
      </c>
      <c r="H56" s="174">
        <v>248284.26</v>
      </c>
      <c r="I56" s="218"/>
      <c r="J56" s="222"/>
      <c r="K56" s="222"/>
    </row>
    <row r="57" spans="1:11" x14ac:dyDescent="0.25">
      <c r="A57" s="250">
        <v>44056</v>
      </c>
      <c r="B57" s="122" t="s">
        <v>471</v>
      </c>
      <c r="C57" s="174">
        <v>59876.2</v>
      </c>
      <c r="D57" s="157"/>
      <c r="E57" s="209"/>
      <c r="F57" s="247">
        <v>44072</v>
      </c>
      <c r="G57" s="122" t="s">
        <v>555</v>
      </c>
      <c r="H57" s="174">
        <v>34053.1</v>
      </c>
      <c r="I57" s="218"/>
      <c r="J57" s="222"/>
      <c r="K57" s="222"/>
    </row>
    <row r="58" spans="1:11" x14ac:dyDescent="0.25">
      <c r="A58" s="250">
        <v>44056</v>
      </c>
      <c r="B58" s="122" t="s">
        <v>472</v>
      </c>
      <c r="C58" s="174">
        <v>108921.2</v>
      </c>
      <c r="D58" s="157"/>
      <c r="E58" s="209"/>
      <c r="F58" s="247">
        <v>44072</v>
      </c>
      <c r="G58" s="122" t="s">
        <v>556</v>
      </c>
      <c r="H58" s="174">
        <v>81781.58</v>
      </c>
      <c r="I58" s="218"/>
      <c r="J58" s="222"/>
      <c r="K58" s="222"/>
    </row>
    <row r="59" spans="1:11" x14ac:dyDescent="0.25">
      <c r="A59" s="250">
        <v>44056</v>
      </c>
      <c r="B59" s="122" t="s">
        <v>473</v>
      </c>
      <c r="C59" s="174">
        <v>22108.400000000001</v>
      </c>
      <c r="D59" s="157"/>
      <c r="E59" s="209"/>
      <c r="F59" s="247">
        <v>44072</v>
      </c>
      <c r="G59" s="122" t="s">
        <v>557</v>
      </c>
      <c r="H59" s="174">
        <v>26039.200000000001</v>
      </c>
      <c r="I59" s="218"/>
      <c r="J59" s="222"/>
      <c r="K59" s="222"/>
    </row>
    <row r="60" spans="1:11" x14ac:dyDescent="0.25">
      <c r="A60" s="250">
        <v>44056</v>
      </c>
      <c r="B60" s="122" t="s">
        <v>474</v>
      </c>
      <c r="C60" s="174">
        <v>121853.48</v>
      </c>
      <c r="D60" s="157"/>
      <c r="E60" s="209"/>
      <c r="F60" s="247">
        <v>44072</v>
      </c>
      <c r="G60" s="122" t="s">
        <v>558</v>
      </c>
      <c r="H60" s="174">
        <v>173474.2</v>
      </c>
      <c r="I60" s="218"/>
      <c r="J60" s="222"/>
      <c r="K60" s="222"/>
    </row>
    <row r="61" spans="1:11" x14ac:dyDescent="0.25">
      <c r="A61" s="250">
        <v>44056</v>
      </c>
      <c r="B61" s="122" t="s">
        <v>475</v>
      </c>
      <c r="C61" s="174">
        <v>93659.199999999997</v>
      </c>
      <c r="D61" s="157"/>
      <c r="E61" s="209"/>
      <c r="F61" s="247">
        <v>44072</v>
      </c>
      <c r="G61" s="122" t="s">
        <v>559</v>
      </c>
      <c r="H61" s="174">
        <v>10560</v>
      </c>
      <c r="I61" s="218"/>
      <c r="J61" s="222"/>
      <c r="K61" s="222"/>
    </row>
    <row r="62" spans="1:11" x14ac:dyDescent="0.25">
      <c r="A62" s="250">
        <v>44057</v>
      </c>
      <c r="B62" s="122" t="s">
        <v>476</v>
      </c>
      <c r="C62" s="174">
        <v>120598.2</v>
      </c>
      <c r="D62" s="157"/>
      <c r="E62" s="209"/>
      <c r="F62" s="247">
        <v>44072</v>
      </c>
      <c r="G62" s="122" t="s">
        <v>560</v>
      </c>
      <c r="H62" s="174">
        <v>27500</v>
      </c>
      <c r="I62" s="218"/>
      <c r="J62" s="222"/>
      <c r="K62" s="222"/>
    </row>
    <row r="63" spans="1:11" x14ac:dyDescent="0.25">
      <c r="A63" s="250">
        <v>44057</v>
      </c>
      <c r="B63" s="122" t="s">
        <v>477</v>
      </c>
      <c r="C63" s="174">
        <v>64856</v>
      </c>
      <c r="D63" s="157"/>
      <c r="E63" s="209"/>
      <c r="F63" s="247">
        <v>44072</v>
      </c>
      <c r="G63" s="122" t="s">
        <v>561</v>
      </c>
      <c r="H63" s="174">
        <v>32897.599999999999</v>
      </c>
      <c r="I63" s="218"/>
      <c r="J63" s="222"/>
      <c r="K63" s="222"/>
    </row>
    <row r="64" spans="1:11" x14ac:dyDescent="0.25">
      <c r="A64" s="250">
        <v>44057</v>
      </c>
      <c r="B64" s="122" t="s">
        <v>478</v>
      </c>
      <c r="C64" s="174">
        <v>16074</v>
      </c>
      <c r="D64" s="157"/>
      <c r="E64" s="209"/>
      <c r="F64" s="247">
        <v>44073</v>
      </c>
      <c r="G64" s="122" t="s">
        <v>562</v>
      </c>
      <c r="H64" s="174">
        <v>15752</v>
      </c>
    </row>
    <row r="65" spans="1:8" x14ac:dyDescent="0.25">
      <c r="A65" s="250">
        <v>44057</v>
      </c>
      <c r="B65" s="122" t="s">
        <v>479</v>
      </c>
      <c r="C65" s="174">
        <v>151912.6</v>
      </c>
      <c r="D65" s="157"/>
      <c r="E65" s="209"/>
      <c r="F65" s="247">
        <v>44073</v>
      </c>
      <c r="G65" s="122" t="s">
        <v>563</v>
      </c>
      <c r="H65" s="174">
        <v>10161.6</v>
      </c>
    </row>
    <row r="66" spans="1:8" x14ac:dyDescent="0.25">
      <c r="A66" s="250">
        <v>44057</v>
      </c>
      <c r="B66" s="122" t="s">
        <v>480</v>
      </c>
      <c r="C66" s="176">
        <v>0</v>
      </c>
      <c r="D66" s="157"/>
      <c r="E66" s="209"/>
      <c r="F66" s="247"/>
      <c r="G66" s="122"/>
      <c r="H66" s="174">
        <v>0</v>
      </c>
    </row>
    <row r="67" spans="1:8" x14ac:dyDescent="0.25">
      <c r="A67" s="250">
        <v>44057</v>
      </c>
      <c r="B67" s="122" t="s">
        <v>481</v>
      </c>
      <c r="C67" s="174">
        <v>24670.6</v>
      </c>
      <c r="D67" s="157"/>
      <c r="E67" s="209"/>
      <c r="F67" s="247"/>
      <c r="G67" s="122"/>
      <c r="H67" s="174">
        <v>0</v>
      </c>
    </row>
    <row r="68" spans="1:8" ht="16.5" customHeight="1" x14ac:dyDescent="0.25">
      <c r="A68" s="250">
        <v>44057</v>
      </c>
      <c r="B68" s="122" t="s">
        <v>482</v>
      </c>
      <c r="C68" s="174">
        <v>56896</v>
      </c>
      <c r="D68" s="157"/>
      <c r="E68" s="209"/>
      <c r="F68" s="247"/>
      <c r="G68" s="122"/>
      <c r="H68" s="174">
        <v>0</v>
      </c>
    </row>
    <row r="69" spans="1:8" ht="15.75" customHeight="1" x14ac:dyDescent="0.25">
      <c r="A69" s="250">
        <v>44057</v>
      </c>
      <c r="B69" s="122" t="s">
        <v>483</v>
      </c>
      <c r="C69" s="174">
        <v>347.5</v>
      </c>
      <c r="D69" s="157"/>
      <c r="E69" s="209"/>
      <c r="F69" s="247"/>
      <c r="G69" s="122"/>
      <c r="H69" s="174">
        <v>0</v>
      </c>
    </row>
    <row r="70" spans="1:8" x14ac:dyDescent="0.25">
      <c r="A70" s="250">
        <v>44057</v>
      </c>
      <c r="B70" s="122" t="s">
        <v>484</v>
      </c>
      <c r="C70" s="174">
        <v>14868</v>
      </c>
      <c r="D70" s="157"/>
      <c r="E70" s="209"/>
      <c r="H70" s="4">
        <v>0</v>
      </c>
    </row>
    <row r="71" spans="1:8" x14ac:dyDescent="0.25">
      <c r="A71" s="250">
        <v>44057</v>
      </c>
      <c r="B71" s="122" t="s">
        <v>485</v>
      </c>
      <c r="C71" s="174">
        <v>12616</v>
      </c>
      <c r="D71" s="157"/>
      <c r="E71" s="209"/>
      <c r="H71" s="4">
        <v>0</v>
      </c>
    </row>
    <row r="72" spans="1:8" x14ac:dyDescent="0.25">
      <c r="A72" s="250">
        <v>44057</v>
      </c>
      <c r="B72" s="122" t="s">
        <v>486</v>
      </c>
      <c r="C72" s="174">
        <v>18470.5</v>
      </c>
      <c r="D72" s="157"/>
      <c r="E72" s="209"/>
      <c r="H72" s="4">
        <v>0</v>
      </c>
    </row>
    <row r="73" spans="1:8" x14ac:dyDescent="0.25">
      <c r="A73" s="250">
        <v>44058</v>
      </c>
      <c r="B73" s="122" t="s">
        <v>487</v>
      </c>
      <c r="C73" s="174">
        <v>35609.4</v>
      </c>
      <c r="D73" s="157"/>
      <c r="E73" s="209"/>
      <c r="H73" s="4">
        <v>0</v>
      </c>
    </row>
    <row r="74" spans="1:8" x14ac:dyDescent="0.25">
      <c r="A74" s="250">
        <v>44058</v>
      </c>
      <c r="B74" s="122" t="s">
        <v>488</v>
      </c>
      <c r="C74" s="174">
        <v>217080.6</v>
      </c>
      <c r="D74" s="157"/>
      <c r="E74" s="209"/>
      <c r="H74" s="4">
        <v>0</v>
      </c>
    </row>
    <row r="75" spans="1:8" x14ac:dyDescent="0.25">
      <c r="A75" s="250">
        <v>44058</v>
      </c>
      <c r="B75" s="122" t="s">
        <v>489</v>
      </c>
      <c r="C75" s="174">
        <v>49585.4</v>
      </c>
      <c r="D75" s="157"/>
      <c r="E75" s="209"/>
      <c r="H75" s="4">
        <v>0</v>
      </c>
    </row>
    <row r="76" spans="1:8" x14ac:dyDescent="0.25">
      <c r="A76" s="250">
        <v>44058</v>
      </c>
      <c r="B76" s="122" t="s">
        <v>490</v>
      </c>
      <c r="C76" s="174">
        <v>131098.79999999999</v>
      </c>
      <c r="D76" s="157"/>
      <c r="E76" s="209"/>
      <c r="H76" s="4">
        <v>0</v>
      </c>
    </row>
    <row r="77" spans="1:8" x14ac:dyDescent="0.25">
      <c r="A77" s="250">
        <v>44058</v>
      </c>
      <c r="B77" s="122" t="s">
        <v>491</v>
      </c>
      <c r="C77" s="174">
        <v>69824.2</v>
      </c>
      <c r="D77" s="157"/>
      <c r="E77" s="209"/>
      <c r="H77" s="4">
        <v>0</v>
      </c>
    </row>
    <row r="78" spans="1:8" x14ac:dyDescent="0.25">
      <c r="A78" s="250">
        <v>44058</v>
      </c>
      <c r="B78" s="122" t="s">
        <v>492</v>
      </c>
      <c r="C78" s="174">
        <v>106987</v>
      </c>
      <c r="D78" s="157"/>
      <c r="E78" s="209"/>
      <c r="H78" s="4">
        <v>0</v>
      </c>
    </row>
    <row r="79" spans="1:8" x14ac:dyDescent="0.25">
      <c r="A79" s="250">
        <v>44058</v>
      </c>
      <c r="B79" s="122" t="s">
        <v>493</v>
      </c>
      <c r="C79" s="174">
        <v>25576</v>
      </c>
      <c r="D79" s="157"/>
      <c r="E79" s="209"/>
      <c r="H79" s="4">
        <v>0</v>
      </c>
    </row>
    <row r="80" spans="1:8" x14ac:dyDescent="0.25">
      <c r="A80" s="250">
        <v>44059</v>
      </c>
      <c r="B80" s="122" t="s">
        <v>494</v>
      </c>
      <c r="C80" s="174">
        <v>95356.08</v>
      </c>
      <c r="D80" s="157"/>
      <c r="E80" s="209"/>
      <c r="H80" s="4">
        <v>0</v>
      </c>
    </row>
    <row r="81" spans="1:8" x14ac:dyDescent="0.25">
      <c r="A81" s="250">
        <v>44059</v>
      </c>
      <c r="B81" s="122" t="s">
        <v>495</v>
      </c>
      <c r="C81" s="174">
        <v>43177.8</v>
      </c>
      <c r="D81" s="157"/>
      <c r="E81" s="209"/>
      <c r="G81" s="42" t="s">
        <v>394</v>
      </c>
      <c r="H81" s="4">
        <f>SUM(H4:H80)</f>
        <v>4692206.8299999991</v>
      </c>
    </row>
    <row r="82" spans="1:8" x14ac:dyDescent="0.25">
      <c r="A82" s="250">
        <v>44060</v>
      </c>
      <c r="B82" s="122" t="s">
        <v>496</v>
      </c>
      <c r="C82" s="174">
        <v>165662.12</v>
      </c>
      <c r="D82" s="157"/>
      <c r="E82" s="209"/>
      <c r="G82" s="42" t="s">
        <v>20</v>
      </c>
      <c r="H82" s="4">
        <f>C99</f>
        <v>6127573.8300000001</v>
      </c>
    </row>
    <row r="83" spans="1:8" ht="15.75" thickBot="1" x14ac:dyDescent="0.3">
      <c r="A83" s="250">
        <v>44060</v>
      </c>
      <c r="B83" s="122" t="s">
        <v>497</v>
      </c>
      <c r="C83" s="174">
        <v>99733.7</v>
      </c>
      <c r="D83" s="157"/>
      <c r="E83" s="209"/>
      <c r="H83" s="107">
        <v>0</v>
      </c>
    </row>
    <row r="84" spans="1:8" x14ac:dyDescent="0.25">
      <c r="A84" s="250">
        <v>44060</v>
      </c>
      <c r="B84" s="122" t="s">
        <v>498</v>
      </c>
      <c r="C84" s="174">
        <v>82534.399999999994</v>
      </c>
      <c r="D84" s="157"/>
      <c r="E84" s="209"/>
      <c r="G84" s="289" t="s">
        <v>395</v>
      </c>
      <c r="H84" s="291">
        <f>H82+H81</f>
        <v>10819780.66</v>
      </c>
    </row>
    <row r="85" spans="1:8" ht="15.75" thickBot="1" x14ac:dyDescent="0.3">
      <c r="A85" s="250">
        <v>44060</v>
      </c>
      <c r="B85" s="122" t="s">
        <v>499</v>
      </c>
      <c r="C85" s="174">
        <v>26767</v>
      </c>
      <c r="D85" s="157"/>
      <c r="E85" s="209"/>
      <c r="G85" s="290"/>
      <c r="H85" s="292"/>
    </row>
    <row r="86" spans="1:8" x14ac:dyDescent="0.25">
      <c r="A86" s="250">
        <v>44060</v>
      </c>
      <c r="B86" s="122" t="s">
        <v>500</v>
      </c>
      <c r="C86" s="176">
        <v>0</v>
      </c>
      <c r="D86" s="157"/>
      <c r="E86" s="209"/>
    </row>
    <row r="87" spans="1:8" x14ac:dyDescent="0.25">
      <c r="A87" s="250">
        <v>44061</v>
      </c>
      <c r="B87" s="122" t="s">
        <v>501</v>
      </c>
      <c r="C87" s="174">
        <v>197499.4</v>
      </c>
      <c r="D87" s="157"/>
      <c r="E87" s="209"/>
    </row>
    <row r="88" spans="1:8" x14ac:dyDescent="0.25">
      <c r="A88" s="250"/>
      <c r="B88" s="122"/>
      <c r="C88" s="301">
        <v>130513</v>
      </c>
      <c r="D88" s="157"/>
      <c r="E88" s="209"/>
    </row>
    <row r="89" spans="1:8" x14ac:dyDescent="0.25">
      <c r="A89" s="250"/>
      <c r="B89" s="122"/>
      <c r="C89" s="174"/>
      <c r="D89" s="157"/>
      <c r="E89" s="209"/>
    </row>
    <row r="90" spans="1:8" x14ac:dyDescent="0.25">
      <c r="A90" s="250"/>
      <c r="B90" s="122"/>
      <c r="C90" s="174"/>
      <c r="D90" s="157"/>
      <c r="E90" s="209"/>
    </row>
    <row r="91" spans="1:8" x14ac:dyDescent="0.25">
      <c r="A91" s="250"/>
      <c r="B91" s="122"/>
      <c r="C91" s="174"/>
      <c r="D91" s="157"/>
      <c r="E91" s="209"/>
    </row>
    <row r="92" spans="1:8" x14ac:dyDescent="0.25">
      <c r="A92" s="250"/>
      <c r="B92" s="122"/>
      <c r="C92" s="174"/>
      <c r="D92" s="157"/>
      <c r="E92" s="209"/>
    </row>
    <row r="93" spans="1:8" x14ac:dyDescent="0.25">
      <c r="A93" s="250"/>
      <c r="B93" s="122"/>
      <c r="C93" s="174"/>
      <c r="D93" s="157"/>
      <c r="E93" s="209"/>
    </row>
    <row r="94" spans="1:8" x14ac:dyDescent="0.25">
      <c r="A94" s="250"/>
      <c r="B94" s="122"/>
      <c r="C94" s="174"/>
      <c r="D94" s="157"/>
      <c r="E94" s="209"/>
    </row>
    <row r="95" spans="1:8" x14ac:dyDescent="0.25">
      <c r="A95" s="250"/>
      <c r="B95" s="122"/>
      <c r="C95" s="174"/>
      <c r="D95" s="157"/>
      <c r="E95" s="209"/>
    </row>
    <row r="96" spans="1:8" x14ac:dyDescent="0.25">
      <c r="A96" s="250"/>
      <c r="B96" s="122"/>
      <c r="C96" s="176"/>
      <c r="D96" s="157"/>
      <c r="E96" s="209"/>
    </row>
    <row r="97" spans="1:5" x14ac:dyDescent="0.25">
      <c r="A97" s="250"/>
      <c r="B97" s="122"/>
      <c r="C97" s="174"/>
      <c r="D97" s="157"/>
      <c r="E97" s="209"/>
    </row>
    <row r="98" spans="1:5" x14ac:dyDescent="0.25">
      <c r="A98" s="252"/>
      <c r="B98" s="199"/>
      <c r="C98" s="201">
        <v>0</v>
      </c>
      <c r="D98" s="157"/>
      <c r="E98" s="209"/>
    </row>
    <row r="99" spans="1:5" ht="15.75" x14ac:dyDescent="0.25">
      <c r="C99" s="90">
        <f>SUM(C4:C98)</f>
        <v>6127573.8300000001</v>
      </c>
    </row>
  </sheetData>
  <mergeCells count="4">
    <mergeCell ref="A2:D2"/>
    <mergeCell ref="F2:I2"/>
    <mergeCell ref="G84:G85"/>
    <mergeCell ref="H84:H85"/>
  </mergeCells>
  <pageMargins left="0.51181102362204722" right="0.11811023622047245" top="0.31496062992125984" bottom="0.23622047244094491" header="0.31496062992125984" footer="0.31496062992125984"/>
  <pageSetup scale="9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D0149-C479-4AD2-BF63-707CBDC7362E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CENTRAL   JUNIO   2020  </vt:lpstr>
      <vt:lpstr>SALIDAS MERCANCIA </vt:lpstr>
      <vt:lpstr>CENTRAL   J U L I O  2020 </vt:lpstr>
      <vt:lpstr>SALIDAS MERCANCIA JULIO 202</vt:lpstr>
      <vt:lpstr>CENTRAL   AGOSTO    2020   </vt:lpstr>
      <vt:lpstr>COMPRAS  AGOSTOS  2020   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2020-09-10T16:32:57Z</cp:lastPrinted>
  <dcterms:created xsi:type="dcterms:W3CDTF">2020-07-13T15:23:27Z</dcterms:created>
  <dcterms:modified xsi:type="dcterms:W3CDTF">2020-09-10T16:35:11Z</dcterms:modified>
</cp:coreProperties>
</file>